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codeName="ThisWorkbook"/>
  <mc:AlternateContent xmlns:mc="http://schemas.openxmlformats.org/markup-compatibility/2006">
    <mc:Choice Requires="x15">
      <x15ac:absPath xmlns:x15ac="http://schemas.microsoft.com/office/spreadsheetml/2010/11/ac" url="/Users/mariegutgesell/Desktop/thermal_nutrients_2/data/raw_data/"/>
    </mc:Choice>
  </mc:AlternateContent>
  <xr:revisionPtr revIDLastSave="0" documentId="13_ncr:1_{2F2CD784-29F7-FA49-AD99-082C5A55EB65}" xr6:coauthVersionLast="47" xr6:coauthVersionMax="47" xr10:uidLastSave="{00000000-0000-0000-0000-000000000000}"/>
  <bookViews>
    <workbookView xWindow="260" yWindow="500" windowWidth="28540" windowHeight="16580" tabRatio="659" firstSheet="3" activeTab="11" xr2:uid="{00000000-000D-0000-FFFF-FFFF00000000}"/>
  </bookViews>
  <sheets>
    <sheet name="Copyright" sheetId="19" r:id="rId1"/>
    <sheet name="Codes" sheetId="2" r:id="rId2"/>
    <sheet name="Food groups" sheetId="3" r:id="rId3"/>
    <sheet name="01 Cereals" sheetId="4" r:id="rId4"/>
    <sheet name="02 Starchy Roots &amp; Tubers" sheetId="5" r:id="rId5"/>
    <sheet name="03 Legumes" sheetId="6" r:id="rId6"/>
    <sheet name="04 Nuts &amp; Seeds" sheetId="7" r:id="rId7"/>
    <sheet name="05 Vegetables" sheetId="8" r:id="rId8"/>
    <sheet name="06 Fruits" sheetId="9" r:id="rId9"/>
    <sheet name="07 Meat" sheetId="10" r:id="rId10"/>
    <sheet name="08 Eggs" sheetId="11" r:id="rId11"/>
    <sheet name="09 Fish &amp; Shellfish" sheetId="12" r:id="rId12"/>
    <sheet name="09 Fish &amp; Shellfish_fatty acids" sheetId="13" r:id="rId13"/>
    <sheet name="10 Milk" sheetId="14" r:id="rId14"/>
    <sheet name="11 Herbs &amp; Spices" sheetId="15" r:id="rId15"/>
    <sheet name="12 Miscellaneous" sheetId="16" r:id="rId16"/>
    <sheet name="Components" sheetId="17" r:id="rId17"/>
    <sheet name="Bibliography" sheetId="18" r:id="rId18"/>
  </sheets>
  <definedNames>
    <definedName name="_xlnm._FilterDatabase" localSheetId="3" hidden="1">'01 Cereals'!$A$2:$IW$2</definedName>
    <definedName name="_xlnm._FilterDatabase" localSheetId="11" hidden="1">'09 Fish &amp; Shellfish'!$A$1:$IM$986</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3" i="6" l="1"/>
  <c r="P3" i="6"/>
  <c r="Q3" i="6"/>
  <c r="R3" i="6"/>
  <c r="S3" i="6"/>
  <c r="T3" i="6"/>
  <c r="U3" i="6"/>
  <c r="V3" i="6"/>
  <c r="W3" i="6"/>
  <c r="X3" i="6"/>
  <c r="Y3" i="6"/>
  <c r="Z3" i="6"/>
  <c r="AA3" i="6"/>
  <c r="AB3" i="6"/>
  <c r="AC3" i="6"/>
  <c r="AD3" i="6"/>
  <c r="AE3" i="6"/>
  <c r="AF3" i="6"/>
  <c r="AG3" i="6"/>
  <c r="AH3" i="6"/>
  <c r="AI3" i="6"/>
  <c r="AJ3" i="6"/>
  <c r="AK3" i="6"/>
  <c r="AL3" i="6"/>
  <c r="AM3" i="6"/>
  <c r="AN3" i="6"/>
  <c r="AO3" i="6"/>
  <c r="AP3" i="6"/>
  <c r="AQ3" i="6"/>
  <c r="AR3" i="6"/>
  <c r="AS3" i="6"/>
  <c r="AT3" i="6"/>
  <c r="AU3" i="6"/>
  <c r="AV3" i="6"/>
  <c r="AW3" i="6"/>
  <c r="AX3" i="6"/>
  <c r="AY3" i="6"/>
  <c r="AZ3" i="6"/>
  <c r="BA3" i="6"/>
  <c r="BB3" i="6"/>
  <c r="BC3" i="6"/>
  <c r="BD3" i="6"/>
  <c r="BE3" i="6"/>
  <c r="BF3" i="6"/>
  <c r="BG3" i="6"/>
  <c r="BH3" i="6"/>
  <c r="BI3" i="6"/>
  <c r="BJ3" i="6"/>
  <c r="BK3" i="6"/>
  <c r="BL3" i="6"/>
  <c r="BM3" i="6"/>
  <c r="BN3" i="6"/>
  <c r="BO3" i="6"/>
  <c r="BP3" i="6"/>
  <c r="BQ3" i="6"/>
  <c r="BR3" i="6"/>
  <c r="BS3" i="6"/>
  <c r="BT3" i="6"/>
  <c r="BU3" i="6"/>
  <c r="BV3" i="6"/>
  <c r="BW3" i="6"/>
  <c r="BX3" i="6"/>
  <c r="BY3" i="6"/>
  <c r="BZ3" i="6"/>
  <c r="CA3" i="6"/>
  <c r="CB3" i="6"/>
  <c r="CC3" i="6"/>
  <c r="CD3" i="6"/>
  <c r="CE3" i="6"/>
  <c r="CF3" i="6"/>
  <c r="CG3" i="6"/>
  <c r="CH3" i="6"/>
  <c r="CI3" i="6"/>
  <c r="CJ3" i="6"/>
  <c r="CK3" i="6"/>
  <c r="CL3" i="6"/>
  <c r="CM3" i="6"/>
  <c r="CN3" i="6"/>
  <c r="CO3" i="6"/>
  <c r="CP3" i="6"/>
  <c r="CQ3" i="6"/>
  <c r="CR3" i="6"/>
  <c r="CS3" i="6"/>
  <c r="CT3" i="6"/>
  <c r="CU3" i="6"/>
  <c r="CV3" i="6"/>
  <c r="CW3" i="6"/>
  <c r="CX3" i="6"/>
  <c r="CY3" i="6"/>
  <c r="CZ3" i="6"/>
  <c r="DA3" i="6"/>
  <c r="DB3" i="6"/>
  <c r="DC3" i="6"/>
  <c r="DD3" i="6"/>
  <c r="DE3" i="6"/>
  <c r="DF3" i="6"/>
  <c r="DG3" i="6"/>
  <c r="DH3" i="6"/>
  <c r="DI3" i="6"/>
  <c r="DJ3" i="6"/>
  <c r="DK3" i="6"/>
  <c r="DL3" i="6"/>
  <c r="DM3" i="6"/>
  <c r="DN3" i="6"/>
  <c r="DO3" i="6"/>
  <c r="DP3" i="6"/>
  <c r="DQ3" i="6"/>
  <c r="DR3" i="6"/>
  <c r="DS3" i="6"/>
  <c r="DT3" i="6"/>
  <c r="DU3" i="6"/>
  <c r="DV3" i="6"/>
  <c r="DW3" i="6"/>
  <c r="DX3" i="6"/>
  <c r="DY3" i="6"/>
  <c r="DZ3" i="6"/>
  <c r="EA3" i="6"/>
  <c r="EB3" i="6"/>
  <c r="EC3" i="6"/>
  <c r="ED3" i="6"/>
  <c r="EE3" i="6"/>
  <c r="EF3" i="6"/>
  <c r="EG3" i="6"/>
  <c r="EH3" i="6"/>
  <c r="EI3" i="6"/>
  <c r="EJ3" i="6"/>
  <c r="EK3" i="6"/>
  <c r="EL3" i="6"/>
  <c r="EM3" i="6"/>
  <c r="EN3" i="6"/>
  <c r="EO3" i="6"/>
  <c r="EP3" i="6"/>
  <c r="EQ3" i="6"/>
  <c r="ER3" i="6"/>
  <c r="ES3" i="6"/>
  <c r="ET3" i="6"/>
  <c r="EU3" i="6"/>
  <c r="EV3" i="6"/>
  <c r="EW3" i="6"/>
  <c r="EX3" i="6"/>
  <c r="EY3" i="6"/>
  <c r="EZ3" i="6"/>
  <c r="FA3" i="6"/>
  <c r="FB3" i="6"/>
  <c r="FC3" i="6"/>
  <c r="FD3" i="6"/>
  <c r="FE3" i="6"/>
  <c r="FF3" i="6"/>
  <c r="FG3" i="6"/>
  <c r="FH3" i="6"/>
  <c r="FI3" i="6"/>
  <c r="FJ3" i="6"/>
  <c r="FK3" i="6"/>
  <c r="FL3" i="6"/>
  <c r="FM3" i="6"/>
  <c r="FN3" i="6"/>
  <c r="FO3" i="6"/>
  <c r="FP3" i="6"/>
  <c r="FQ3" i="6"/>
  <c r="FR3" i="6"/>
  <c r="FS3" i="6"/>
  <c r="FT3" i="6"/>
  <c r="FU3" i="6"/>
  <c r="FV3" i="6"/>
  <c r="FW3" i="6"/>
  <c r="FX3" i="6"/>
  <c r="FY3" i="6"/>
  <c r="FZ3" i="6"/>
  <c r="GA3" i="6"/>
  <c r="GB3" i="6"/>
  <c r="GC3" i="6"/>
  <c r="GD3" i="6"/>
  <c r="GE3" i="6"/>
  <c r="GF3" i="6"/>
  <c r="GG3" i="6"/>
  <c r="GH3" i="6"/>
  <c r="GI3" i="6"/>
  <c r="GJ3" i="6"/>
  <c r="GK3" i="6"/>
  <c r="GL3" i="6"/>
  <c r="GM3" i="6"/>
  <c r="GN3" i="6"/>
  <c r="GO3" i="6"/>
  <c r="GP3" i="6"/>
  <c r="GQ3" i="6"/>
  <c r="GR3" i="6"/>
  <c r="GS3" i="6"/>
  <c r="GT3" i="6"/>
  <c r="GU3" i="6"/>
  <c r="GV3" i="6"/>
  <c r="GW3" i="6"/>
  <c r="GX3" i="6"/>
  <c r="GY3" i="6"/>
  <c r="GZ3" i="6"/>
  <c r="HA3" i="6"/>
  <c r="HB3" i="6"/>
  <c r="HC3" i="6"/>
  <c r="HD3" i="6"/>
  <c r="HE3" i="6"/>
  <c r="HF3" i="6"/>
  <c r="HG3" i="6"/>
  <c r="HH3" i="6"/>
  <c r="HI3" i="6"/>
  <c r="HJ3" i="6"/>
  <c r="HK3" i="6"/>
  <c r="HL3" i="6"/>
  <c r="HM3" i="6"/>
  <c r="HN3" i="6"/>
  <c r="HO3" i="6"/>
  <c r="HP3" i="6"/>
  <c r="HQ3" i="6"/>
  <c r="HR3" i="6"/>
  <c r="V104" i="4"/>
  <c r="V103" i="4"/>
  <c r="V102" i="4"/>
  <c r="V101" i="4"/>
  <c r="V100" i="4"/>
  <c r="V99" i="4"/>
  <c r="V98" i="4"/>
  <c r="V97" i="4"/>
  <c r="V96" i="4"/>
  <c r="V95" i="4"/>
  <c r="V94" i="4"/>
  <c r="V93" i="4"/>
  <c r="V92" i="4"/>
  <c r="V91" i="4"/>
  <c r="V90" i="4"/>
  <c r="V89" i="4"/>
  <c r="V85" i="4"/>
  <c r="AD85" i="4"/>
  <c r="V84" i="4"/>
  <c r="AG84" i="4"/>
  <c r="AG3" i="4"/>
  <c r="V83" i="4"/>
  <c r="BM83" i="4"/>
  <c r="V80" i="4"/>
  <c r="BV80" i="4"/>
  <c r="V79" i="4"/>
  <c r="BS79" i="4"/>
  <c r="V78" i="4"/>
  <c r="BQ78" i="4"/>
  <c r="BV78" i="4"/>
  <c r="V77" i="4"/>
  <c r="BY77" i="4"/>
  <c r="V76" i="4"/>
  <c r="BV76" i="4"/>
  <c r="V75" i="4"/>
  <c r="BO75" i="4"/>
  <c r="V74" i="4"/>
  <c r="BO74" i="4"/>
  <c r="BV74" i="4"/>
  <c r="V42" i="4"/>
  <c r="V41" i="4"/>
  <c r="AD36" i="4"/>
  <c r="AD35" i="4"/>
  <c r="AD34" i="4"/>
  <c r="AD33" i="4"/>
  <c r="AD32" i="4"/>
  <c r="R32" i="4"/>
  <c r="BY28" i="4"/>
  <c r="BU28" i="4"/>
  <c r="BT28" i="4"/>
  <c r="BR28" i="4"/>
  <c r="BQ28" i="4"/>
  <c r="BO28" i="4"/>
  <c r="BM28" i="4"/>
  <c r="BF28" i="4"/>
  <c r="AF28" i="4"/>
  <c r="AB28" i="4"/>
  <c r="BY27" i="4"/>
  <c r="BU27" i="4"/>
  <c r="BT27" i="4"/>
  <c r="BR27" i="4"/>
  <c r="BQ27" i="4"/>
  <c r="BO27" i="4"/>
  <c r="BM27" i="4"/>
  <c r="BF27" i="4"/>
  <c r="AF27" i="4"/>
  <c r="AB27" i="4"/>
  <c r="BY26" i="4"/>
  <c r="BU26" i="4"/>
  <c r="BT26" i="4"/>
  <c r="BR26" i="4"/>
  <c r="BQ26" i="4"/>
  <c r="BO26" i="4"/>
  <c r="BM26" i="4"/>
  <c r="BF26" i="4"/>
  <c r="AF26" i="4"/>
  <c r="AB26" i="4"/>
  <c r="BY25" i="4"/>
  <c r="BU25" i="4"/>
  <c r="BT25" i="4"/>
  <c r="BR25" i="4"/>
  <c r="BQ25" i="4"/>
  <c r="BO25" i="4"/>
  <c r="BM25" i="4"/>
  <c r="BF25" i="4"/>
  <c r="AF25" i="4"/>
  <c r="AB25" i="4"/>
  <c r="BY24" i="4"/>
  <c r="BU24" i="4"/>
  <c r="BT24" i="4"/>
  <c r="BR24" i="4"/>
  <c r="BQ24" i="4"/>
  <c r="BO24" i="4"/>
  <c r="BM24" i="4"/>
  <c r="BF24" i="4"/>
  <c r="AF24" i="4"/>
  <c r="AB24" i="4"/>
  <c r="BY23" i="4"/>
  <c r="BU23" i="4"/>
  <c r="BT23" i="4"/>
  <c r="BR23" i="4"/>
  <c r="BQ23" i="4"/>
  <c r="BO23" i="4"/>
  <c r="BM23" i="4"/>
  <c r="BF23" i="4"/>
  <c r="AF23" i="4"/>
  <c r="AB23" i="4"/>
  <c r="AB3" i="4"/>
  <c r="BY22" i="4"/>
  <c r="BU22" i="4"/>
  <c r="BT22" i="4"/>
  <c r="BR22" i="4"/>
  <c r="BQ22" i="4"/>
  <c r="BO22" i="4"/>
  <c r="BM22" i="4"/>
  <c r="BF22" i="4"/>
  <c r="AF22" i="4"/>
  <c r="AB22" i="4"/>
  <c r="BY21" i="4"/>
  <c r="BU21" i="4"/>
  <c r="BT21" i="4"/>
  <c r="BR21" i="4"/>
  <c r="BQ21" i="4"/>
  <c r="BO21" i="4"/>
  <c r="BM21" i="4"/>
  <c r="BF21" i="4"/>
  <c r="AF21" i="4"/>
  <c r="AB21" i="4"/>
  <c r="BB18" i="4"/>
  <c r="U15" i="4"/>
  <c r="V15" i="4"/>
  <c r="BM15" i="4"/>
  <c r="BT75" i="4"/>
  <c r="BT77" i="4"/>
  <c r="BT79" i="4"/>
  <c r="BF83" i="4"/>
  <c r="BO77" i="4"/>
  <c r="X83" i="4"/>
  <c r="AG85" i="4"/>
  <c r="BV75" i="4"/>
  <c r="BR77" i="4"/>
  <c r="BV77" i="4"/>
  <c r="AG83" i="4"/>
  <c r="X85" i="4"/>
  <c r="AG15" i="4"/>
  <c r="BI15" i="4"/>
  <c r="BK15" i="4"/>
  <c r="EX15" i="4"/>
  <c r="BS74" i="4"/>
  <c r="BU74" i="4"/>
  <c r="BQ76" i="4"/>
  <c r="BS76" i="4"/>
  <c r="BU76" i="4"/>
  <c r="BY76" i="4"/>
  <c r="BS78" i="4"/>
  <c r="BU78" i="4"/>
  <c r="BQ80" i="4"/>
  <c r="BS80" i="4"/>
  <c r="BU80" i="4"/>
  <c r="BY80" i="4"/>
  <c r="AR84" i="4"/>
  <c r="BM84" i="4"/>
  <c r="AD15" i="4"/>
  <c r="AM15" i="4"/>
  <c r="BJ15" i="4"/>
  <c r="BQ75" i="4"/>
  <c r="BS75" i="4"/>
  <c r="BO76" i="4"/>
  <c r="BR76" i="4"/>
  <c r="BT76" i="4"/>
  <c r="BQ77" i="4"/>
  <c r="BS77" i="4"/>
  <c r="BU77" i="4"/>
  <c r="BO78" i="4"/>
  <c r="BT78" i="4"/>
  <c r="BQ79" i="4"/>
  <c r="BO80" i="4"/>
  <c r="BR80" i="4"/>
  <c r="BT80" i="4"/>
  <c r="AD83" i="4"/>
  <c r="AR83" i="4"/>
  <c r="X84" i="4"/>
  <c r="AD3" i="4"/>
  <c r="T888" i="13"/>
  <c r="T887" i="13"/>
  <c r="T886" i="13"/>
  <c r="T885" i="13"/>
  <c r="T884" i="13"/>
  <c r="T883" i="13"/>
  <c r="T882" i="13"/>
  <c r="BD3" i="4"/>
  <c r="FE37" i="5"/>
  <c r="FE36" i="5"/>
  <c r="FE35" i="5"/>
  <c r="IO3" i="16"/>
  <c r="IN3" i="16"/>
  <c r="IM3" i="16"/>
  <c r="IL3" i="16"/>
  <c r="IK3" i="16"/>
  <c r="IJ3" i="16"/>
  <c r="II3" i="16"/>
  <c r="IH3" i="16"/>
  <c r="IG3" i="16"/>
  <c r="IF3" i="16"/>
  <c r="IE3" i="16"/>
  <c r="ID3" i="16"/>
  <c r="IC3" i="16"/>
  <c r="IB3" i="16"/>
  <c r="IA3" i="16"/>
  <c r="HZ3" i="16"/>
  <c r="HY3" i="16"/>
  <c r="HX3" i="16"/>
  <c r="HW3" i="16"/>
  <c r="HV3" i="16"/>
  <c r="HU3" i="16"/>
  <c r="HT3" i="16"/>
  <c r="HS3" i="16"/>
  <c r="HR3" i="16"/>
  <c r="HQ3" i="16"/>
  <c r="HP3" i="16"/>
  <c r="HO3" i="16"/>
  <c r="HN3" i="16"/>
  <c r="HM3" i="16"/>
  <c r="HL3" i="16"/>
  <c r="HK3" i="16"/>
  <c r="HJ3" i="16"/>
  <c r="HI3" i="16"/>
  <c r="HH3" i="16"/>
  <c r="HG3" i="16"/>
  <c r="HF3" i="16"/>
  <c r="HE3" i="16"/>
  <c r="HD3" i="16"/>
  <c r="HC3" i="16"/>
  <c r="HB3" i="16"/>
  <c r="HA3" i="16"/>
  <c r="GZ3" i="16"/>
  <c r="GY3" i="16"/>
  <c r="GX3" i="16"/>
  <c r="GW3" i="16"/>
  <c r="GV3" i="16"/>
  <c r="GU3" i="16"/>
  <c r="GT3" i="16"/>
  <c r="GS3" i="16"/>
  <c r="GR3" i="16"/>
  <c r="GQ3" i="16"/>
  <c r="GP3" i="16"/>
  <c r="GO3" i="16"/>
  <c r="GN3" i="16"/>
  <c r="GM3" i="16"/>
  <c r="GL3" i="16"/>
  <c r="GK3" i="16"/>
  <c r="GJ3" i="16"/>
  <c r="GI3" i="16"/>
  <c r="GH3" i="16"/>
  <c r="GG3" i="16"/>
  <c r="GF3" i="16"/>
  <c r="GE3" i="16"/>
  <c r="GD3" i="16"/>
  <c r="GC3" i="16"/>
  <c r="GB3" i="16"/>
  <c r="GA3" i="16"/>
  <c r="FZ3" i="16"/>
  <c r="FY3" i="16"/>
  <c r="FX3" i="16"/>
  <c r="FW3" i="16"/>
  <c r="FV3" i="16"/>
  <c r="FU3" i="16"/>
  <c r="FT3" i="16"/>
  <c r="FS3" i="16"/>
  <c r="FR3" i="16"/>
  <c r="FQ3" i="16"/>
  <c r="FP3" i="16"/>
  <c r="FO3" i="16"/>
  <c r="FN3" i="16"/>
  <c r="FM3" i="16"/>
  <c r="FL3" i="16"/>
  <c r="FK3" i="16"/>
  <c r="FJ3" i="16"/>
  <c r="FI3" i="16"/>
  <c r="FH3" i="16"/>
  <c r="FG3" i="16"/>
  <c r="FF3" i="16"/>
  <c r="FE3" i="16"/>
  <c r="FD3" i="16"/>
  <c r="FC3" i="16"/>
  <c r="FB3" i="16"/>
  <c r="FA3" i="16"/>
  <c r="EZ3" i="16"/>
  <c r="EY3" i="16"/>
  <c r="EX3" i="16"/>
  <c r="EW3" i="16"/>
  <c r="EV3" i="16"/>
  <c r="EU3" i="16"/>
  <c r="ET3" i="16"/>
  <c r="ES3" i="16"/>
  <c r="ER3" i="16"/>
  <c r="EQ3" i="16"/>
  <c r="EP3" i="16"/>
  <c r="EO3" i="16"/>
  <c r="EN3" i="16"/>
  <c r="EM3" i="16"/>
  <c r="EL3" i="16"/>
  <c r="EK3" i="16"/>
  <c r="EJ3" i="16"/>
  <c r="EI3" i="16"/>
  <c r="EH3" i="16"/>
  <c r="EG3" i="16"/>
  <c r="EF3" i="16"/>
  <c r="EE3" i="16"/>
  <c r="ED3" i="16"/>
  <c r="EC3" i="16"/>
  <c r="EB3" i="16"/>
  <c r="EA3" i="16"/>
  <c r="DZ3" i="16"/>
  <c r="DY3" i="16"/>
  <c r="DX3" i="16"/>
  <c r="DW3" i="16"/>
  <c r="DV3" i="16"/>
  <c r="DU3" i="16"/>
  <c r="DT3" i="16"/>
  <c r="DS3" i="16"/>
  <c r="DR3" i="16"/>
  <c r="DQ3" i="16"/>
  <c r="DP3" i="16"/>
  <c r="DO3" i="16"/>
  <c r="DN3" i="16"/>
  <c r="DM3" i="16"/>
  <c r="DL3" i="16"/>
  <c r="DK3" i="16"/>
  <c r="DJ3" i="16"/>
  <c r="DI3" i="16"/>
  <c r="DH3" i="16"/>
  <c r="DG3" i="16"/>
  <c r="DF3" i="16"/>
  <c r="DE3" i="16"/>
  <c r="DD3" i="16"/>
  <c r="DC3" i="16"/>
  <c r="DB3" i="16"/>
  <c r="DA3" i="16"/>
  <c r="CZ3" i="16"/>
  <c r="CY3" i="16"/>
  <c r="CX3" i="16"/>
  <c r="CW3" i="16"/>
  <c r="CV3" i="16"/>
  <c r="CU3" i="16"/>
  <c r="CT3" i="16"/>
  <c r="CS3" i="16"/>
  <c r="CR3" i="16"/>
  <c r="CQ3" i="16"/>
  <c r="CP3" i="16"/>
  <c r="CO3" i="16"/>
  <c r="CN3" i="16"/>
  <c r="CM3" i="16"/>
  <c r="CL3" i="16"/>
  <c r="CK3" i="16"/>
  <c r="CJ3" i="16"/>
  <c r="CI3" i="16"/>
  <c r="CH3" i="16"/>
  <c r="CG3" i="16"/>
  <c r="CF3" i="16"/>
  <c r="CE3" i="16"/>
  <c r="CD3" i="16"/>
  <c r="CC3" i="16"/>
  <c r="CB3" i="16"/>
  <c r="CA3" i="16"/>
  <c r="BZ3" i="16"/>
  <c r="BY3" i="16"/>
  <c r="BX3" i="16"/>
  <c r="BW3" i="16"/>
  <c r="BV3" i="16"/>
  <c r="BU3" i="16"/>
  <c r="BT3" i="16"/>
  <c r="BS3" i="16"/>
  <c r="BR3" i="16"/>
  <c r="BQ3" i="16"/>
  <c r="BP3" i="16"/>
  <c r="BO3" i="16"/>
  <c r="BN3" i="16"/>
  <c r="BM3" i="16"/>
  <c r="BL3" i="16"/>
  <c r="BK3" i="16"/>
  <c r="BJ3" i="16"/>
  <c r="BI3" i="16"/>
  <c r="BH3" i="16"/>
  <c r="BG3" i="16"/>
  <c r="BF3" i="16"/>
  <c r="BE3" i="16"/>
  <c r="BD3" i="16"/>
  <c r="BC3" i="16"/>
  <c r="BB3" i="16"/>
  <c r="BA3" i="16"/>
  <c r="AZ3" i="16"/>
  <c r="AY3" i="16"/>
  <c r="AX3" i="16"/>
  <c r="AW3" i="16"/>
  <c r="AV3" i="16"/>
  <c r="AU3" i="16"/>
  <c r="AT3" i="16"/>
  <c r="AS3" i="16"/>
  <c r="AR3" i="16"/>
  <c r="AQ3" i="16"/>
  <c r="AP3" i="16"/>
  <c r="AO3" i="16"/>
  <c r="AN3" i="16"/>
  <c r="AM3" i="16"/>
  <c r="AL3" i="16"/>
  <c r="AK3" i="16"/>
  <c r="AJ3" i="16"/>
  <c r="AI3" i="16"/>
  <c r="AH3" i="16"/>
  <c r="AG3" i="16"/>
  <c r="AF3" i="16"/>
  <c r="AE3" i="16"/>
  <c r="AD3" i="16"/>
  <c r="AC3" i="16"/>
  <c r="AB3" i="16"/>
  <c r="AA3" i="16"/>
  <c r="Z3" i="16"/>
  <c r="Y3" i="16"/>
  <c r="X3" i="16"/>
  <c r="W3" i="16"/>
  <c r="V3" i="16"/>
  <c r="U3" i="16"/>
  <c r="T3" i="16"/>
  <c r="S3" i="16"/>
  <c r="R3" i="16"/>
  <c r="Q3" i="16"/>
  <c r="P3" i="16"/>
  <c r="O3" i="16"/>
  <c r="O3" i="4"/>
  <c r="P3" i="4"/>
  <c r="T3" i="4"/>
  <c r="IO3" i="13"/>
  <c r="IN3" i="13"/>
  <c r="IM3" i="13"/>
  <c r="IL3" i="13"/>
  <c r="IK3" i="13"/>
  <c r="IJ3" i="13"/>
  <c r="II3" i="13"/>
  <c r="IH3" i="13"/>
  <c r="IG3" i="13"/>
  <c r="IF3" i="13"/>
  <c r="IE3" i="13"/>
  <c r="ID3" i="13"/>
  <c r="IC3" i="13"/>
  <c r="IB3" i="13"/>
  <c r="IA3" i="13"/>
  <c r="HZ3" i="13"/>
  <c r="HY3" i="13"/>
  <c r="HX3" i="13"/>
  <c r="HW3" i="13"/>
  <c r="HV3" i="13"/>
  <c r="HU3" i="13"/>
  <c r="HT3" i="13"/>
  <c r="HS3" i="13"/>
  <c r="HR3" i="13"/>
  <c r="HQ3" i="13"/>
  <c r="HP3" i="13"/>
  <c r="HO3" i="13"/>
  <c r="HN3" i="13"/>
  <c r="HM3" i="13"/>
  <c r="HL3" i="13"/>
  <c r="HK3" i="13"/>
  <c r="HJ3" i="13"/>
  <c r="HI3" i="13"/>
  <c r="HH3" i="13"/>
  <c r="HG3" i="13"/>
  <c r="HF3" i="13"/>
  <c r="HE3" i="13"/>
  <c r="HD3" i="13"/>
  <c r="HC3" i="13"/>
  <c r="HB3" i="13"/>
  <c r="HA3" i="13"/>
  <c r="GZ3" i="13"/>
  <c r="GY3" i="13"/>
  <c r="GX3" i="13"/>
  <c r="GW3" i="13"/>
  <c r="GV3" i="13"/>
  <c r="GU3" i="13"/>
  <c r="GT3" i="13"/>
  <c r="GS3" i="13"/>
  <c r="GR3" i="13"/>
  <c r="GQ3" i="13"/>
  <c r="GP3" i="13"/>
  <c r="GO3" i="13"/>
  <c r="GN3" i="13"/>
  <c r="GM3" i="13"/>
  <c r="GL3" i="13"/>
  <c r="GK3" i="13"/>
  <c r="GJ3" i="13"/>
  <c r="GI3" i="13"/>
  <c r="GH3" i="13"/>
  <c r="GG3" i="13"/>
  <c r="GF3" i="13"/>
  <c r="GE3" i="13"/>
  <c r="GD3" i="13"/>
  <c r="GC3" i="13"/>
  <c r="GB3" i="13"/>
  <c r="GA3" i="13"/>
  <c r="FZ3" i="13"/>
  <c r="FY3" i="13"/>
  <c r="FX3" i="13"/>
  <c r="FW3" i="13"/>
  <c r="FV3" i="13"/>
  <c r="FU3" i="13"/>
  <c r="FT3" i="13"/>
  <c r="FS3" i="13"/>
  <c r="FR3" i="13"/>
  <c r="FQ3" i="13"/>
  <c r="FP3" i="13"/>
  <c r="FO3" i="13"/>
  <c r="FN3" i="13"/>
  <c r="FM3" i="13"/>
  <c r="FL3" i="13"/>
  <c r="FK3" i="13"/>
  <c r="FJ3" i="13"/>
  <c r="FI3" i="13"/>
  <c r="FH3" i="13"/>
  <c r="FG3" i="13"/>
  <c r="FF3" i="13"/>
  <c r="FE3" i="13"/>
  <c r="FD3" i="13"/>
  <c r="FC3" i="13"/>
  <c r="FB3" i="13"/>
  <c r="FA3" i="13"/>
  <c r="EZ3" i="13"/>
  <c r="EY3" i="13"/>
  <c r="EX3" i="13"/>
  <c r="EW3" i="13"/>
  <c r="EV3" i="13"/>
  <c r="EU3" i="13"/>
  <c r="ET3" i="13"/>
  <c r="ES3" i="13"/>
  <c r="ER3" i="13"/>
  <c r="EQ3" i="13"/>
  <c r="EP3" i="13"/>
  <c r="EO3" i="13"/>
  <c r="EN3" i="13"/>
  <c r="EM3" i="13"/>
  <c r="EL3" i="13"/>
  <c r="EK3" i="13"/>
  <c r="EJ3" i="13"/>
  <c r="EI3" i="13"/>
  <c r="EH3" i="13"/>
  <c r="EG3" i="13"/>
  <c r="EF3" i="13"/>
  <c r="EE3" i="13"/>
  <c r="ED3" i="13"/>
  <c r="EC3" i="13"/>
  <c r="EB3" i="13"/>
  <c r="EA3" i="13"/>
  <c r="DZ3" i="13"/>
  <c r="DY3" i="13"/>
  <c r="DX3" i="13"/>
  <c r="DW3" i="13"/>
  <c r="DV3" i="13"/>
  <c r="DU3" i="13"/>
  <c r="DT3" i="13"/>
  <c r="DS3" i="13"/>
  <c r="DR3" i="13"/>
  <c r="DQ3" i="13"/>
  <c r="DP3" i="13"/>
  <c r="DO3" i="13"/>
  <c r="DN3" i="13"/>
  <c r="DM3" i="13"/>
  <c r="DL3" i="13"/>
  <c r="DK3" i="13"/>
  <c r="DJ3" i="13"/>
  <c r="DI3" i="13"/>
  <c r="DH3" i="13"/>
  <c r="DG3" i="13"/>
  <c r="DF3" i="13"/>
  <c r="DE3" i="13"/>
  <c r="DD3" i="13"/>
  <c r="DC3" i="13"/>
  <c r="DB3" i="13"/>
  <c r="DA3" i="13"/>
  <c r="CZ3" i="13"/>
  <c r="CY3" i="13"/>
  <c r="CX3" i="13"/>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W3" i="13"/>
  <c r="BV3" i="13"/>
  <c r="BU3" i="13"/>
  <c r="BT3" i="13"/>
  <c r="BS3" i="13"/>
  <c r="BR3" i="13"/>
  <c r="BQ3" i="13"/>
  <c r="BP3" i="13"/>
  <c r="BO3" i="13"/>
  <c r="BN3" i="13"/>
  <c r="BM3" i="13"/>
  <c r="BL3" i="13"/>
  <c r="BK3" i="13"/>
  <c r="BJ3" i="13"/>
  <c r="BI3" i="13"/>
  <c r="BH3" i="13"/>
  <c r="BG3" i="13"/>
  <c r="BF3" i="13"/>
  <c r="BE3" i="13"/>
  <c r="BD3" i="13"/>
  <c r="BC3" i="13"/>
  <c r="BB3" i="13"/>
  <c r="BA3" i="13"/>
  <c r="AZ3" i="13"/>
  <c r="AY3" i="13"/>
  <c r="AX3" i="13"/>
  <c r="AW3" i="13"/>
  <c r="AV3" i="13"/>
  <c r="AU3" i="13"/>
  <c r="AT3" i="13"/>
  <c r="AS3" i="13"/>
  <c r="AR3" i="13"/>
  <c r="AQ3" i="13"/>
  <c r="AP3" i="13"/>
  <c r="AO3" i="13"/>
  <c r="AN3" i="13"/>
  <c r="AM3" i="13"/>
  <c r="AL3" i="13"/>
  <c r="AK3" i="13"/>
  <c r="AJ3" i="13"/>
  <c r="AI3" i="13"/>
  <c r="AH3" i="13"/>
  <c r="AG3" i="13"/>
  <c r="AF3" i="13"/>
  <c r="AD3" i="13"/>
  <c r="AC3" i="13"/>
  <c r="AB3" i="13"/>
  <c r="AA3" i="13"/>
  <c r="Z3" i="13"/>
  <c r="Y3" i="13"/>
  <c r="X3" i="13"/>
  <c r="W3" i="13"/>
  <c r="V3" i="13"/>
  <c r="U3" i="13"/>
  <c r="IM3" i="12"/>
  <c r="IL3" i="12"/>
  <c r="IK3" i="12"/>
  <c r="IJ3" i="12"/>
  <c r="II3" i="12"/>
  <c r="IH3" i="12"/>
  <c r="IG3" i="12"/>
  <c r="IF3" i="12"/>
  <c r="IE3" i="12"/>
  <c r="ID3" i="12"/>
  <c r="IC3" i="12"/>
  <c r="IB3" i="12"/>
  <c r="IA3" i="12"/>
  <c r="HZ3" i="12"/>
  <c r="HY3" i="12"/>
  <c r="HX3" i="12"/>
  <c r="HW3" i="12"/>
  <c r="HV3" i="12"/>
  <c r="HU3" i="12"/>
  <c r="HT3" i="12"/>
  <c r="HS3" i="12"/>
  <c r="HR3" i="12"/>
  <c r="HQ3" i="12"/>
  <c r="HP3" i="12"/>
  <c r="HO3" i="12"/>
  <c r="HN3" i="12"/>
  <c r="HM3" i="12"/>
  <c r="HL3" i="12"/>
  <c r="HK3" i="12"/>
  <c r="HJ3" i="12"/>
  <c r="HI3" i="12"/>
  <c r="HH3" i="12"/>
  <c r="HG3" i="12"/>
  <c r="HF3" i="12"/>
  <c r="HE3" i="12"/>
  <c r="HD3" i="12"/>
  <c r="HC3" i="12"/>
  <c r="HB3" i="12"/>
  <c r="HA3" i="12"/>
  <c r="GZ3" i="12"/>
  <c r="GY3" i="12"/>
  <c r="GX3" i="12"/>
  <c r="GW3" i="12"/>
  <c r="GV3" i="12"/>
  <c r="GU3" i="12"/>
  <c r="GT3" i="12"/>
  <c r="GS3" i="12"/>
  <c r="GR3" i="12"/>
  <c r="GQ3" i="12"/>
  <c r="GP3" i="12"/>
  <c r="GO3" i="12"/>
  <c r="GN3" i="12"/>
  <c r="GM3" i="12"/>
  <c r="GL3" i="12"/>
  <c r="GK3" i="12"/>
  <c r="GJ3" i="12"/>
  <c r="GI3" i="12"/>
  <c r="GH3" i="12"/>
  <c r="GG3" i="12"/>
  <c r="GF3" i="12"/>
  <c r="GE3" i="12"/>
  <c r="GD3" i="12"/>
  <c r="GC3" i="12"/>
  <c r="GB3" i="12"/>
  <c r="GA3" i="12"/>
  <c r="FZ3" i="12"/>
  <c r="FY3" i="12"/>
  <c r="FX3" i="12"/>
  <c r="FW3" i="12"/>
  <c r="FV3" i="12"/>
  <c r="FU3" i="12"/>
  <c r="FT3" i="12"/>
  <c r="FS3" i="12"/>
  <c r="FR3" i="12"/>
  <c r="FQ3" i="12"/>
  <c r="FP3" i="12"/>
  <c r="FO3" i="12"/>
  <c r="FN3" i="12"/>
  <c r="FM3" i="12"/>
  <c r="FL3" i="12"/>
  <c r="FK3" i="12"/>
  <c r="FJ3" i="12"/>
  <c r="FI3" i="12"/>
  <c r="FH3" i="12"/>
  <c r="FG3" i="12"/>
  <c r="FF3" i="12"/>
  <c r="FE3" i="12"/>
  <c r="FD3" i="12"/>
  <c r="FC3" i="12"/>
  <c r="FB3" i="12"/>
  <c r="FA3" i="12"/>
  <c r="EZ3" i="12"/>
  <c r="EY3" i="12"/>
  <c r="EX3" i="12"/>
  <c r="EW3" i="12"/>
  <c r="EV3" i="12"/>
  <c r="EU3" i="12"/>
  <c r="ET3" i="12"/>
  <c r="ES3" i="12"/>
  <c r="ER3" i="12"/>
  <c r="EQ3" i="12"/>
  <c r="EP3" i="12"/>
  <c r="EO3" i="12"/>
  <c r="EN3" i="12"/>
  <c r="EM3" i="12"/>
  <c r="EL3" i="12"/>
  <c r="EK3" i="12"/>
  <c r="EJ3" i="12"/>
  <c r="EI3" i="12"/>
  <c r="EH3" i="12"/>
  <c r="EG3" i="12"/>
  <c r="EF3" i="12"/>
  <c r="EE3" i="12"/>
  <c r="ED3" i="12"/>
  <c r="EC3" i="12"/>
  <c r="EB3" i="12"/>
  <c r="EA3" i="12"/>
  <c r="DZ3" i="12"/>
  <c r="DY3" i="12"/>
  <c r="DX3" i="12"/>
  <c r="DW3" i="12"/>
  <c r="DV3" i="12"/>
  <c r="DU3" i="12"/>
  <c r="DT3" i="12"/>
  <c r="DS3" i="12"/>
  <c r="DR3" i="12"/>
  <c r="DQ3" i="12"/>
  <c r="DP3" i="12"/>
  <c r="DO3" i="12"/>
  <c r="DN3" i="12"/>
  <c r="DM3" i="12"/>
  <c r="DL3" i="12"/>
  <c r="DK3" i="12"/>
  <c r="DJ3" i="12"/>
  <c r="DI3" i="12"/>
  <c r="DH3" i="12"/>
  <c r="DG3" i="12"/>
  <c r="DF3" i="12"/>
  <c r="DE3" i="12"/>
  <c r="DD3" i="12"/>
  <c r="DC3" i="12"/>
  <c r="DB3" i="12"/>
  <c r="DA3" i="12"/>
  <c r="CZ3" i="12"/>
  <c r="CY3" i="12"/>
  <c r="CX3" i="12"/>
  <c r="CW3" i="12"/>
  <c r="CV3" i="12"/>
  <c r="CU3" i="12"/>
  <c r="CT3" i="12"/>
  <c r="CS3" i="12"/>
  <c r="CR3" i="12"/>
  <c r="CQ3" i="12"/>
  <c r="CP3" i="12"/>
  <c r="CO3" i="12"/>
  <c r="CN3" i="12"/>
  <c r="CM3" i="12"/>
  <c r="CL3" i="12"/>
  <c r="CK3" i="12"/>
  <c r="CJ3" i="12"/>
  <c r="CI3" i="12"/>
  <c r="CH3" i="12"/>
  <c r="CG3" i="12"/>
  <c r="CF3" i="12"/>
  <c r="CE3" i="12"/>
  <c r="CD3" i="12"/>
  <c r="CC3" i="12"/>
  <c r="CB3" i="12"/>
  <c r="CA3" i="12"/>
  <c r="BZ3" i="12"/>
  <c r="BY3" i="12"/>
  <c r="BX3" i="12"/>
  <c r="BW3" i="12"/>
  <c r="BV3" i="12"/>
  <c r="BU3" i="12"/>
  <c r="BT3" i="12"/>
  <c r="BS3" i="12"/>
  <c r="BR3" i="12"/>
  <c r="BQ3" i="12"/>
  <c r="BP3" i="12"/>
  <c r="BO3" i="12"/>
  <c r="BN3" i="12"/>
  <c r="BM3" i="12"/>
  <c r="BL3" i="12"/>
  <c r="BK3" i="12"/>
  <c r="BJ3" i="12"/>
  <c r="BI3" i="12"/>
  <c r="BH3" i="12"/>
  <c r="BG3" i="12"/>
  <c r="BF3" i="12"/>
  <c r="BE3" i="12"/>
  <c r="BD3" i="12"/>
  <c r="BC3" i="12"/>
  <c r="BB3" i="12"/>
  <c r="BA3" i="12"/>
  <c r="AZ3" i="12"/>
  <c r="AY3" i="12"/>
  <c r="AX3" i="12"/>
  <c r="AW3" i="12"/>
  <c r="AV3" i="12"/>
  <c r="AU3" i="12"/>
  <c r="AT3" i="12"/>
  <c r="AS3" i="12"/>
  <c r="AR3" i="12"/>
  <c r="AQ3" i="12"/>
  <c r="AP3" i="12"/>
  <c r="AO3" i="12"/>
  <c r="AN3" i="12"/>
  <c r="AM3" i="12"/>
  <c r="AL3" i="12"/>
  <c r="AK3" i="12"/>
  <c r="AJ3" i="12"/>
  <c r="AI3" i="12"/>
  <c r="AH3" i="12"/>
  <c r="AG3" i="12"/>
  <c r="AF3" i="12"/>
  <c r="AE3" i="12"/>
  <c r="AD3" i="12"/>
  <c r="AC3" i="12"/>
  <c r="AB3" i="12"/>
  <c r="AA3" i="12"/>
  <c r="Z3" i="12"/>
  <c r="Y3" i="12"/>
  <c r="X3" i="12"/>
  <c r="W3" i="12"/>
  <c r="V3" i="12"/>
  <c r="U3" i="12"/>
  <c r="IO3" i="11"/>
  <c r="IN3" i="11"/>
  <c r="IM3" i="11"/>
  <c r="IL3" i="11"/>
  <c r="IK3" i="11"/>
  <c r="IJ3" i="11"/>
  <c r="II3" i="11"/>
  <c r="IH3" i="11"/>
  <c r="IG3" i="11"/>
  <c r="IF3" i="11"/>
  <c r="IE3" i="11"/>
  <c r="ID3" i="11"/>
  <c r="IC3" i="11"/>
  <c r="IB3" i="11"/>
  <c r="IA3" i="11"/>
  <c r="HZ3" i="11"/>
  <c r="HY3" i="11"/>
  <c r="HX3" i="11"/>
  <c r="HW3" i="11"/>
  <c r="HV3" i="11"/>
  <c r="HU3" i="11"/>
  <c r="HT3" i="11"/>
  <c r="HS3" i="11"/>
  <c r="HR3" i="11"/>
  <c r="HQ3" i="11"/>
  <c r="HP3" i="11"/>
  <c r="HO3" i="11"/>
  <c r="HN3" i="11"/>
  <c r="HM3" i="11"/>
  <c r="HL3" i="11"/>
  <c r="HK3" i="11"/>
  <c r="HJ3" i="11"/>
  <c r="HI3" i="11"/>
  <c r="HH3" i="11"/>
  <c r="HG3" i="11"/>
  <c r="HF3" i="11"/>
  <c r="HE3" i="11"/>
  <c r="HD3" i="11"/>
  <c r="HC3" i="11"/>
  <c r="HB3" i="11"/>
  <c r="HA3" i="11"/>
  <c r="GZ3" i="11"/>
  <c r="GY3" i="11"/>
  <c r="GX3" i="11"/>
  <c r="GW3" i="11"/>
  <c r="GV3" i="11"/>
  <c r="GU3" i="11"/>
  <c r="GT3" i="11"/>
  <c r="GS3" i="11"/>
  <c r="GR3" i="11"/>
  <c r="GQ3" i="11"/>
  <c r="GP3" i="11"/>
  <c r="GO3" i="11"/>
  <c r="GN3" i="11"/>
  <c r="GM3" i="11"/>
  <c r="GL3" i="11"/>
  <c r="GK3" i="11"/>
  <c r="GJ3" i="11"/>
  <c r="GI3" i="11"/>
  <c r="GH3" i="11"/>
  <c r="GG3" i="11"/>
  <c r="GF3" i="11"/>
  <c r="GE3" i="11"/>
  <c r="GD3" i="11"/>
  <c r="GC3" i="11"/>
  <c r="GB3" i="11"/>
  <c r="GA3" i="11"/>
  <c r="FZ3" i="11"/>
  <c r="FY3" i="11"/>
  <c r="FX3" i="11"/>
  <c r="FW3" i="11"/>
  <c r="FV3" i="11"/>
  <c r="FU3" i="11"/>
  <c r="FT3" i="11"/>
  <c r="FS3" i="11"/>
  <c r="FR3" i="11"/>
  <c r="FQ3" i="11"/>
  <c r="FP3" i="11"/>
  <c r="FO3" i="11"/>
  <c r="FN3" i="11"/>
  <c r="FM3" i="11"/>
  <c r="FL3" i="11"/>
  <c r="FK3" i="11"/>
  <c r="FJ3" i="11"/>
  <c r="FI3" i="11"/>
  <c r="FH3" i="11"/>
  <c r="FG3" i="11"/>
  <c r="FF3" i="11"/>
  <c r="FE3" i="11"/>
  <c r="FD3" i="11"/>
  <c r="FC3" i="11"/>
  <c r="FB3" i="11"/>
  <c r="FA3" i="11"/>
  <c r="EZ3" i="11"/>
  <c r="EY3" i="11"/>
  <c r="EX3" i="11"/>
  <c r="EW3" i="11"/>
  <c r="EV3" i="11"/>
  <c r="EU3" i="11"/>
  <c r="ET3" i="11"/>
  <c r="ES3" i="11"/>
  <c r="ER3" i="11"/>
  <c r="EQ3" i="11"/>
  <c r="EP3" i="11"/>
  <c r="EO3" i="11"/>
  <c r="EN3" i="11"/>
  <c r="EM3" i="11"/>
  <c r="EL3" i="11"/>
  <c r="EK3" i="11"/>
  <c r="EJ3" i="11"/>
  <c r="EI3" i="11"/>
  <c r="EH3" i="11"/>
  <c r="EG3" i="11"/>
  <c r="EF3" i="11"/>
  <c r="EE3" i="11"/>
  <c r="ED3" i="11"/>
  <c r="EC3" i="11"/>
  <c r="EB3" i="11"/>
  <c r="EA3" i="11"/>
  <c r="DZ3" i="11"/>
  <c r="DY3" i="11"/>
  <c r="DX3" i="11"/>
  <c r="DW3" i="11"/>
  <c r="DV3" i="11"/>
  <c r="DU3" i="11"/>
  <c r="DT3" i="11"/>
  <c r="DS3" i="11"/>
  <c r="DR3" i="11"/>
  <c r="DQ3" i="11"/>
  <c r="DP3" i="11"/>
  <c r="DO3" i="11"/>
  <c r="DN3" i="11"/>
  <c r="DM3" i="11"/>
  <c r="DL3" i="11"/>
  <c r="DK3" i="11"/>
  <c r="DJ3" i="11"/>
  <c r="DI3" i="11"/>
  <c r="DH3" i="11"/>
  <c r="DG3" i="11"/>
  <c r="DF3" i="11"/>
  <c r="DE3" i="11"/>
  <c r="DD3" i="11"/>
  <c r="DC3" i="11"/>
  <c r="DB3" i="11"/>
  <c r="DA3" i="11"/>
  <c r="CZ3" i="11"/>
  <c r="CY3" i="11"/>
  <c r="CX3" i="11"/>
  <c r="CW3" i="11"/>
  <c r="CV3" i="11"/>
  <c r="CU3" i="11"/>
  <c r="CT3" i="11"/>
  <c r="CS3" i="11"/>
  <c r="CR3" i="11"/>
  <c r="CQ3" i="11"/>
  <c r="CP3" i="11"/>
  <c r="CO3" i="11"/>
  <c r="CN3" i="11"/>
  <c r="CM3" i="11"/>
  <c r="CL3" i="11"/>
  <c r="CK3" i="11"/>
  <c r="CJ3" i="11"/>
  <c r="CI3" i="11"/>
  <c r="CH3" i="11"/>
  <c r="CG3" i="11"/>
  <c r="CF3" i="11"/>
  <c r="CE3" i="11"/>
  <c r="CD3" i="11"/>
  <c r="CC3" i="11"/>
  <c r="CB3" i="11"/>
  <c r="CA3" i="11"/>
  <c r="BZ3" i="11"/>
  <c r="BY3" i="11"/>
  <c r="BX3" i="11"/>
  <c r="BW3" i="11"/>
  <c r="BV3" i="11"/>
  <c r="BU3" i="11"/>
  <c r="BT3" i="11"/>
  <c r="BS3" i="11"/>
  <c r="BR3" i="11"/>
  <c r="BQ3" i="11"/>
  <c r="BP3" i="11"/>
  <c r="BO3" i="11"/>
  <c r="BN3" i="11"/>
  <c r="BM3" i="11"/>
  <c r="BL3" i="11"/>
  <c r="BK3" i="11"/>
  <c r="BJ3" i="11"/>
  <c r="BI3" i="11"/>
  <c r="BH3" i="11"/>
  <c r="BG3" i="11"/>
  <c r="BF3" i="11"/>
  <c r="BE3" i="11"/>
  <c r="BD3" i="11"/>
  <c r="BC3" i="11"/>
  <c r="BB3" i="11"/>
  <c r="BA3" i="11"/>
  <c r="AZ3" i="11"/>
  <c r="AY3" i="11"/>
  <c r="AX3" i="11"/>
  <c r="AW3" i="11"/>
  <c r="AV3" i="11"/>
  <c r="AU3" i="11"/>
  <c r="AT3" i="11"/>
  <c r="AS3" i="11"/>
  <c r="AR3" i="11"/>
  <c r="AQ3" i="11"/>
  <c r="AP3" i="11"/>
  <c r="AO3" i="11"/>
  <c r="AN3" i="11"/>
  <c r="AM3" i="11"/>
  <c r="AL3" i="11"/>
  <c r="AK3" i="11"/>
  <c r="AJ3" i="11"/>
  <c r="AI3" i="11"/>
  <c r="AH3" i="11"/>
  <c r="AG3" i="11"/>
  <c r="AF3" i="11"/>
  <c r="AE3" i="11"/>
  <c r="AD3" i="11"/>
  <c r="AC3" i="11"/>
  <c r="AB3" i="11"/>
  <c r="AA3" i="11"/>
  <c r="Z3" i="11"/>
  <c r="Y3" i="11"/>
  <c r="X3" i="11"/>
  <c r="W3" i="11"/>
  <c r="V3" i="11"/>
  <c r="U3" i="11"/>
  <c r="T3" i="11"/>
  <c r="S3" i="11"/>
  <c r="R3" i="11"/>
  <c r="Q3" i="11"/>
  <c r="P3" i="11"/>
  <c r="O3" i="11"/>
  <c r="IO3" i="10"/>
  <c r="IN3" i="10"/>
  <c r="IM3" i="10"/>
  <c r="IL3" i="10"/>
  <c r="IK3" i="10"/>
  <c r="IJ3" i="10"/>
  <c r="II3" i="10"/>
  <c r="IH3" i="10"/>
  <c r="IG3" i="10"/>
  <c r="IF3" i="10"/>
  <c r="IE3" i="10"/>
  <c r="ID3" i="10"/>
  <c r="IC3" i="10"/>
  <c r="IB3" i="10"/>
  <c r="IA3" i="10"/>
  <c r="HZ3" i="10"/>
  <c r="HY3" i="10"/>
  <c r="HX3" i="10"/>
  <c r="HW3" i="10"/>
  <c r="HV3" i="10"/>
  <c r="HU3" i="10"/>
  <c r="HT3" i="10"/>
  <c r="HS3" i="10"/>
  <c r="HR3" i="10"/>
  <c r="HQ3" i="10"/>
  <c r="HP3" i="10"/>
  <c r="HO3" i="10"/>
  <c r="HN3" i="10"/>
  <c r="HM3" i="10"/>
  <c r="HL3" i="10"/>
  <c r="HK3" i="10"/>
  <c r="HJ3" i="10"/>
  <c r="HI3" i="10"/>
  <c r="HH3" i="10"/>
  <c r="HG3" i="10"/>
  <c r="HF3" i="10"/>
  <c r="HE3" i="10"/>
  <c r="HD3" i="10"/>
  <c r="HC3" i="10"/>
  <c r="HB3" i="10"/>
  <c r="HA3" i="10"/>
  <c r="GZ3" i="10"/>
  <c r="GY3" i="10"/>
  <c r="GX3" i="10"/>
  <c r="GW3" i="10"/>
  <c r="GV3" i="10"/>
  <c r="GU3" i="10"/>
  <c r="GT3" i="10"/>
  <c r="GS3" i="10"/>
  <c r="GR3" i="10"/>
  <c r="GQ3" i="10"/>
  <c r="GP3" i="10"/>
  <c r="GO3" i="10"/>
  <c r="GN3" i="10"/>
  <c r="GM3" i="10"/>
  <c r="GL3" i="10"/>
  <c r="GK3" i="10"/>
  <c r="GJ3" i="10"/>
  <c r="GI3" i="10"/>
  <c r="GH3" i="10"/>
  <c r="GG3" i="10"/>
  <c r="GF3" i="10"/>
  <c r="GE3" i="10"/>
  <c r="GD3" i="10"/>
  <c r="GC3" i="10"/>
  <c r="GB3" i="10"/>
  <c r="GA3" i="10"/>
  <c r="FZ3" i="10"/>
  <c r="FY3" i="10"/>
  <c r="FX3" i="10"/>
  <c r="FW3" i="10"/>
  <c r="FV3" i="10"/>
  <c r="FU3" i="10"/>
  <c r="FT3" i="10"/>
  <c r="FS3" i="10"/>
  <c r="FR3" i="10"/>
  <c r="FQ3" i="10"/>
  <c r="FP3" i="10"/>
  <c r="FO3" i="10"/>
  <c r="FN3" i="10"/>
  <c r="FM3" i="10"/>
  <c r="FL3" i="10"/>
  <c r="FK3" i="10"/>
  <c r="FJ3" i="10"/>
  <c r="FI3" i="10"/>
  <c r="FH3" i="10"/>
  <c r="FG3" i="10"/>
  <c r="FF3" i="10"/>
  <c r="FE3" i="10"/>
  <c r="FD3" i="10"/>
  <c r="FC3" i="10"/>
  <c r="FB3" i="10"/>
  <c r="FA3" i="10"/>
  <c r="EZ3" i="10"/>
  <c r="EY3" i="10"/>
  <c r="EX3" i="10"/>
  <c r="EW3" i="10"/>
  <c r="EV3" i="10"/>
  <c r="EU3" i="10"/>
  <c r="ET3" i="10"/>
  <c r="ES3" i="10"/>
  <c r="ER3" i="10"/>
  <c r="EQ3" i="10"/>
  <c r="EP3" i="10"/>
  <c r="EO3" i="10"/>
  <c r="EN3" i="10"/>
  <c r="EM3" i="10"/>
  <c r="EL3" i="10"/>
  <c r="EK3" i="10"/>
  <c r="EJ3" i="10"/>
  <c r="EI3" i="10"/>
  <c r="EH3" i="10"/>
  <c r="EG3" i="10"/>
  <c r="EF3" i="10"/>
  <c r="EE3" i="10"/>
  <c r="ED3" i="10"/>
  <c r="EC3" i="10"/>
  <c r="EB3" i="10"/>
  <c r="EA3" i="10"/>
  <c r="DZ3" i="10"/>
  <c r="DY3" i="10"/>
  <c r="DX3" i="10"/>
  <c r="DW3" i="10"/>
  <c r="DV3" i="10"/>
  <c r="DU3" i="10"/>
  <c r="DT3" i="10"/>
  <c r="DS3" i="10"/>
  <c r="DR3" i="10"/>
  <c r="DQ3" i="10"/>
  <c r="DP3" i="10"/>
  <c r="DO3" i="10"/>
  <c r="DN3" i="10"/>
  <c r="DM3" i="10"/>
  <c r="DL3" i="10"/>
  <c r="DK3" i="10"/>
  <c r="DJ3" i="10"/>
  <c r="DI3" i="10"/>
  <c r="DH3" i="10"/>
  <c r="DG3" i="10"/>
  <c r="DF3" i="10"/>
  <c r="DE3" i="10"/>
  <c r="DD3" i="10"/>
  <c r="DC3" i="10"/>
  <c r="DB3" i="10"/>
  <c r="DA3" i="10"/>
  <c r="CZ3" i="10"/>
  <c r="CY3" i="10"/>
  <c r="CX3" i="10"/>
  <c r="CW3" i="10"/>
  <c r="CV3" i="10"/>
  <c r="CU3" i="10"/>
  <c r="CT3" i="10"/>
  <c r="CS3" i="10"/>
  <c r="CR3" i="10"/>
  <c r="CQ3" i="10"/>
  <c r="CP3" i="10"/>
  <c r="CO3" i="10"/>
  <c r="CN3" i="10"/>
  <c r="CM3" i="10"/>
  <c r="CL3" i="10"/>
  <c r="CK3" i="10"/>
  <c r="CJ3" i="10"/>
  <c r="CI3" i="10"/>
  <c r="CH3" i="10"/>
  <c r="CG3" i="10"/>
  <c r="CF3" i="10"/>
  <c r="CE3" i="10"/>
  <c r="CD3" i="10"/>
  <c r="CC3" i="10"/>
  <c r="CB3" i="10"/>
  <c r="CA3" i="10"/>
  <c r="BZ3" i="10"/>
  <c r="BY3" i="10"/>
  <c r="BX3" i="10"/>
  <c r="BW3" i="10"/>
  <c r="BV3" i="10"/>
  <c r="BU3" i="10"/>
  <c r="BT3" i="10"/>
  <c r="BS3" i="10"/>
  <c r="BR3" i="10"/>
  <c r="BQ3" i="10"/>
  <c r="BP3" i="10"/>
  <c r="BO3" i="10"/>
  <c r="BN3" i="10"/>
  <c r="BM3" i="10"/>
  <c r="BL3" i="10"/>
  <c r="BK3" i="10"/>
  <c r="BJ3" i="10"/>
  <c r="BI3" i="10"/>
  <c r="BH3" i="10"/>
  <c r="BG3" i="10"/>
  <c r="BF3" i="10"/>
  <c r="BE3" i="10"/>
  <c r="BD3" i="10"/>
  <c r="BC3" i="10"/>
  <c r="BB3" i="10"/>
  <c r="BA3" i="10"/>
  <c r="AZ3" i="10"/>
  <c r="AY3" i="10"/>
  <c r="AX3" i="10"/>
  <c r="AW3" i="10"/>
  <c r="AV3" i="10"/>
  <c r="AU3" i="10"/>
  <c r="AT3" i="10"/>
  <c r="AS3" i="10"/>
  <c r="AR3" i="10"/>
  <c r="AQ3" i="10"/>
  <c r="AP3" i="10"/>
  <c r="AO3" i="10"/>
  <c r="AN3" i="10"/>
  <c r="AM3" i="10"/>
  <c r="AL3" i="10"/>
  <c r="AK3" i="10"/>
  <c r="AJ3" i="10"/>
  <c r="AI3" i="10"/>
  <c r="AH3" i="10"/>
  <c r="AG3" i="10"/>
  <c r="AF3" i="10"/>
  <c r="AE3" i="10"/>
  <c r="AD3" i="10"/>
  <c r="AC3" i="10"/>
  <c r="AB3" i="10"/>
  <c r="AA3" i="10"/>
  <c r="Z3" i="10"/>
  <c r="Y3" i="10"/>
  <c r="X3" i="10"/>
  <c r="W3" i="10"/>
  <c r="V3" i="10"/>
  <c r="U3" i="10"/>
  <c r="S3" i="10"/>
  <c r="R3" i="10"/>
  <c r="Q3" i="10"/>
  <c r="P3" i="10"/>
  <c r="O3" i="10"/>
  <c r="T3" i="10"/>
  <c r="HW3" i="9"/>
  <c r="HV3" i="9"/>
  <c r="HU3" i="9"/>
  <c r="HT3" i="9"/>
  <c r="HS3" i="9"/>
  <c r="HR3" i="9"/>
  <c r="HQ3" i="9"/>
  <c r="HP3" i="9"/>
  <c r="HO3" i="9"/>
  <c r="HN3" i="9"/>
  <c r="HM3" i="9"/>
  <c r="HL3" i="9"/>
  <c r="HK3" i="9"/>
  <c r="HJ3" i="9"/>
  <c r="HI3" i="9"/>
  <c r="HH3" i="9"/>
  <c r="HG3" i="9"/>
  <c r="HF3" i="9"/>
  <c r="HE3" i="9"/>
  <c r="HD3" i="9"/>
  <c r="HC3" i="9"/>
  <c r="HB3" i="9"/>
  <c r="HA3" i="9"/>
  <c r="GZ3" i="9"/>
  <c r="GY3" i="9"/>
  <c r="GX3" i="9"/>
  <c r="GW3" i="9"/>
  <c r="GV3" i="9"/>
  <c r="GU3" i="9"/>
  <c r="GT3" i="9"/>
  <c r="GS3" i="9"/>
  <c r="GR3" i="9"/>
  <c r="GQ3" i="9"/>
  <c r="GP3" i="9"/>
  <c r="GO3" i="9"/>
  <c r="GN3" i="9"/>
  <c r="GM3" i="9"/>
  <c r="GL3" i="9"/>
  <c r="GK3" i="9"/>
  <c r="GJ3" i="9"/>
  <c r="GI3" i="9"/>
  <c r="GH3" i="9"/>
  <c r="GG3" i="9"/>
  <c r="GF3" i="9"/>
  <c r="GE3" i="9"/>
  <c r="GD3" i="9"/>
  <c r="GC3" i="9"/>
  <c r="GB3" i="9"/>
  <c r="GA3" i="9"/>
  <c r="FZ3" i="9"/>
  <c r="FY3" i="9"/>
  <c r="FX3" i="9"/>
  <c r="FW3" i="9"/>
  <c r="FV3" i="9"/>
  <c r="FU3" i="9"/>
  <c r="FT3" i="9"/>
  <c r="FS3" i="9"/>
  <c r="FR3" i="9"/>
  <c r="FQ3" i="9"/>
  <c r="FP3" i="9"/>
  <c r="FO3" i="9"/>
  <c r="FN3" i="9"/>
  <c r="FM3" i="9"/>
  <c r="FL3" i="9"/>
  <c r="FK3" i="9"/>
  <c r="FJ3" i="9"/>
  <c r="FI3" i="9"/>
  <c r="FH3" i="9"/>
  <c r="FG3" i="9"/>
  <c r="FF3" i="9"/>
  <c r="FE3" i="9"/>
  <c r="FD3" i="9"/>
  <c r="FC3" i="9"/>
  <c r="FB3" i="9"/>
  <c r="FA3" i="9"/>
  <c r="EZ3" i="9"/>
  <c r="EY3" i="9"/>
  <c r="EX3" i="9"/>
  <c r="EW3" i="9"/>
  <c r="EV3" i="9"/>
  <c r="EU3" i="9"/>
  <c r="ET3" i="9"/>
  <c r="ES3" i="9"/>
  <c r="ER3" i="9"/>
  <c r="EQ3" i="9"/>
  <c r="EP3" i="9"/>
  <c r="EO3" i="9"/>
  <c r="EN3" i="9"/>
  <c r="EM3" i="9"/>
  <c r="EL3" i="9"/>
  <c r="EK3" i="9"/>
  <c r="EJ3" i="9"/>
  <c r="EI3" i="9"/>
  <c r="EH3" i="9"/>
  <c r="EG3" i="9"/>
  <c r="EF3" i="9"/>
  <c r="EE3" i="9"/>
  <c r="ED3" i="9"/>
  <c r="EC3" i="9"/>
  <c r="EB3" i="9"/>
  <c r="EA3" i="9"/>
  <c r="DZ3" i="9"/>
  <c r="DY3" i="9"/>
  <c r="DX3" i="9"/>
  <c r="DW3" i="9"/>
  <c r="DV3" i="9"/>
  <c r="DU3" i="9"/>
  <c r="DT3" i="9"/>
  <c r="DS3" i="9"/>
  <c r="DR3" i="9"/>
  <c r="DQ3" i="9"/>
  <c r="DP3" i="9"/>
  <c r="DO3" i="9"/>
  <c r="DN3" i="9"/>
  <c r="DM3" i="9"/>
  <c r="DL3" i="9"/>
  <c r="DK3" i="9"/>
  <c r="DJ3" i="9"/>
  <c r="DI3" i="9"/>
  <c r="DH3" i="9"/>
  <c r="DG3" i="9"/>
  <c r="DF3" i="9"/>
  <c r="DE3" i="9"/>
  <c r="DD3" i="9"/>
  <c r="DC3" i="9"/>
  <c r="DB3" i="9"/>
  <c r="DA3" i="9"/>
  <c r="CZ3" i="9"/>
  <c r="CY3" i="9"/>
  <c r="CX3" i="9"/>
  <c r="CW3" i="9"/>
  <c r="CV3" i="9"/>
  <c r="CU3" i="9"/>
  <c r="CT3" i="9"/>
  <c r="CS3" i="9"/>
  <c r="CR3" i="9"/>
  <c r="CQ3" i="9"/>
  <c r="CP3" i="9"/>
  <c r="CO3" i="9"/>
  <c r="CN3" i="9"/>
  <c r="CM3" i="9"/>
  <c r="CL3" i="9"/>
  <c r="CK3" i="9"/>
  <c r="CJ3" i="9"/>
  <c r="CI3" i="9"/>
  <c r="CH3" i="9"/>
  <c r="CG3" i="9"/>
  <c r="CF3" i="9"/>
  <c r="CE3" i="9"/>
  <c r="CD3" i="9"/>
  <c r="CC3" i="9"/>
  <c r="CB3" i="9"/>
  <c r="CA3" i="9"/>
  <c r="BZ3" i="9"/>
  <c r="BY3" i="9"/>
  <c r="BX3" i="9"/>
  <c r="BW3" i="9"/>
  <c r="BV3" i="9"/>
  <c r="BU3" i="9"/>
  <c r="BT3" i="9"/>
  <c r="BS3" i="9"/>
  <c r="BR3" i="9"/>
  <c r="BQ3" i="9"/>
  <c r="BP3" i="9"/>
  <c r="BO3" i="9"/>
  <c r="BN3" i="9"/>
  <c r="BM3" i="9"/>
  <c r="BL3" i="9"/>
  <c r="BK3" i="9"/>
  <c r="BJ3" i="9"/>
  <c r="BI3" i="9"/>
  <c r="BH3" i="9"/>
  <c r="BG3" i="9"/>
  <c r="BF3" i="9"/>
  <c r="BE3" i="9"/>
  <c r="BD3" i="9"/>
  <c r="BC3" i="9"/>
  <c r="BB3" i="9"/>
  <c r="BA3" i="9"/>
  <c r="AZ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IL3" i="8"/>
  <c r="IK3" i="8"/>
  <c r="IJ3" i="8"/>
  <c r="II3" i="8"/>
  <c r="IH3" i="8"/>
  <c r="IG3" i="8"/>
  <c r="IF3" i="8"/>
  <c r="IE3" i="8"/>
  <c r="ID3" i="8"/>
  <c r="IC3" i="8"/>
  <c r="IB3" i="8"/>
  <c r="IA3" i="8"/>
  <c r="HZ3" i="8"/>
  <c r="HY3" i="8"/>
  <c r="HX3" i="8"/>
  <c r="HW3" i="8"/>
  <c r="HV3" i="8"/>
  <c r="HU3" i="8"/>
  <c r="HT3" i="8"/>
  <c r="HS3" i="8"/>
  <c r="HR3" i="8"/>
  <c r="HQ3" i="8"/>
  <c r="HP3" i="8"/>
  <c r="HO3" i="8"/>
  <c r="HN3" i="8"/>
  <c r="HM3" i="8"/>
  <c r="HL3" i="8"/>
  <c r="HK3" i="8"/>
  <c r="HJ3" i="8"/>
  <c r="HI3" i="8"/>
  <c r="HH3" i="8"/>
  <c r="HG3" i="8"/>
  <c r="HF3" i="8"/>
  <c r="HE3" i="8"/>
  <c r="HD3" i="8"/>
  <c r="HC3" i="8"/>
  <c r="HB3" i="8"/>
  <c r="HA3" i="8"/>
  <c r="GZ3" i="8"/>
  <c r="GY3" i="8"/>
  <c r="GX3" i="8"/>
  <c r="GW3" i="8"/>
  <c r="GV3" i="8"/>
  <c r="GU3" i="8"/>
  <c r="GT3" i="8"/>
  <c r="GS3" i="8"/>
  <c r="GR3" i="8"/>
  <c r="GQ3" i="8"/>
  <c r="GP3" i="8"/>
  <c r="GO3" i="8"/>
  <c r="GN3" i="8"/>
  <c r="GM3" i="8"/>
  <c r="GL3" i="8"/>
  <c r="GK3" i="8"/>
  <c r="GJ3" i="8"/>
  <c r="GI3" i="8"/>
  <c r="GH3" i="8"/>
  <c r="GG3" i="8"/>
  <c r="GF3" i="8"/>
  <c r="GE3" i="8"/>
  <c r="GD3" i="8"/>
  <c r="GC3" i="8"/>
  <c r="GA3" i="8"/>
  <c r="FZ3" i="8"/>
  <c r="FX3" i="8"/>
  <c r="FW3" i="8"/>
  <c r="FV3" i="8"/>
  <c r="FU3" i="8"/>
  <c r="FT3" i="8"/>
  <c r="FS3" i="8"/>
  <c r="FR3" i="8"/>
  <c r="FQ3" i="8"/>
  <c r="FP3" i="8"/>
  <c r="FO3" i="8"/>
  <c r="FN3" i="8"/>
  <c r="FM3" i="8"/>
  <c r="EU3" i="8"/>
  <c r="ET3" i="8"/>
  <c r="ES3" i="8"/>
  <c r="ER3" i="8"/>
  <c r="EQ3" i="8"/>
  <c r="EP3" i="8"/>
  <c r="EO3" i="8"/>
  <c r="EN3" i="8"/>
  <c r="EM3" i="8"/>
  <c r="EL3" i="8"/>
  <c r="EK3" i="8"/>
  <c r="EJ3" i="8"/>
  <c r="EI3" i="8"/>
  <c r="EH3" i="8"/>
  <c r="EG3" i="8"/>
  <c r="EF3" i="8"/>
  <c r="EE3" i="8"/>
  <c r="ED3" i="8"/>
  <c r="EC3" i="8"/>
  <c r="EB3" i="8"/>
  <c r="EA3" i="8"/>
  <c r="DZ3" i="8"/>
  <c r="DY3" i="8"/>
  <c r="DX3" i="8"/>
  <c r="DW3" i="8"/>
  <c r="DV3" i="8"/>
  <c r="DU3" i="8"/>
  <c r="DT3" i="8"/>
  <c r="DS3" i="8"/>
  <c r="DR3" i="8"/>
  <c r="DQ3" i="8"/>
  <c r="DP3" i="8"/>
  <c r="DO3" i="8"/>
  <c r="DN3" i="8"/>
  <c r="DM3" i="8"/>
  <c r="DL3" i="8"/>
  <c r="DK3" i="8"/>
  <c r="DJ3" i="8"/>
  <c r="DI3" i="8"/>
  <c r="DH3" i="8"/>
  <c r="DG3" i="8"/>
  <c r="DF3" i="8"/>
  <c r="DE3" i="8"/>
  <c r="DD3" i="8"/>
  <c r="DC3" i="8"/>
  <c r="DB3" i="8"/>
  <c r="DA3" i="8"/>
  <c r="CZ3" i="8"/>
  <c r="CY3" i="8"/>
  <c r="CX3" i="8"/>
  <c r="CW3" i="8"/>
  <c r="CV3" i="8"/>
  <c r="CU3" i="8"/>
  <c r="CT3" i="8"/>
  <c r="CS3" i="8"/>
  <c r="CR3" i="8"/>
  <c r="CQ3" i="8"/>
  <c r="CO3" i="8"/>
  <c r="CN3" i="8"/>
  <c r="CJ3" i="8"/>
  <c r="CI3" i="8"/>
  <c r="CG3" i="8"/>
  <c r="CF3" i="8"/>
  <c r="CE3" i="8"/>
  <c r="CD3" i="8"/>
  <c r="CC3" i="8"/>
  <c r="CB3" i="8"/>
  <c r="CA3" i="8"/>
  <c r="BZ3" i="8"/>
  <c r="BY3" i="8"/>
  <c r="BX3" i="8"/>
  <c r="BW3" i="8"/>
  <c r="BV3" i="8"/>
  <c r="BU3" i="8"/>
  <c r="BT3" i="8"/>
  <c r="BS3" i="8"/>
  <c r="BR3" i="8"/>
  <c r="BQ3" i="8"/>
  <c r="BP3" i="8"/>
  <c r="BO3" i="8"/>
  <c r="BN3" i="8"/>
  <c r="BM3" i="8"/>
  <c r="BK3" i="8"/>
  <c r="BJ3" i="8"/>
  <c r="BH3" i="8"/>
  <c r="BF3" i="8"/>
  <c r="BB3" i="8"/>
  <c r="BA3" i="8"/>
  <c r="AZ3" i="8"/>
  <c r="AY3" i="8"/>
  <c r="AV3" i="8"/>
  <c r="AU3" i="8"/>
  <c r="AT3" i="8"/>
  <c r="AS3" i="8"/>
  <c r="AR3" i="8"/>
  <c r="AQ3" i="8"/>
  <c r="AP3" i="8"/>
  <c r="AN3" i="8"/>
  <c r="AM3" i="8"/>
  <c r="AL3" i="8"/>
  <c r="AK3" i="8"/>
  <c r="AJ3" i="8"/>
  <c r="AI3" i="8"/>
  <c r="AH3" i="8"/>
  <c r="AG3" i="8"/>
  <c r="AF3" i="8"/>
  <c r="AD3" i="8"/>
  <c r="AC3" i="8"/>
  <c r="AB3" i="8"/>
  <c r="Z3" i="8"/>
  <c r="Y3" i="8"/>
  <c r="W3" i="8"/>
  <c r="V3" i="8"/>
  <c r="U3" i="8"/>
  <c r="T3" i="8"/>
  <c r="S3" i="8"/>
  <c r="R3" i="8"/>
  <c r="P3" i="8"/>
  <c r="O3" i="8"/>
  <c r="HU3" i="7"/>
  <c r="HT3" i="7"/>
  <c r="HS3" i="7"/>
  <c r="HR3" i="7"/>
  <c r="HQ3" i="7"/>
  <c r="HP3" i="7"/>
  <c r="HO3" i="7"/>
  <c r="HN3" i="7"/>
  <c r="HM3" i="7"/>
  <c r="HL3" i="7"/>
  <c r="HK3" i="7"/>
  <c r="HJ3" i="7"/>
  <c r="HI3" i="7"/>
  <c r="HH3" i="7"/>
  <c r="HG3" i="7"/>
  <c r="HF3" i="7"/>
  <c r="HE3" i="7"/>
  <c r="HD3" i="7"/>
  <c r="HC3" i="7"/>
  <c r="HB3" i="7"/>
  <c r="HA3" i="7"/>
  <c r="GZ3" i="7"/>
  <c r="GY3" i="7"/>
  <c r="GX3" i="7"/>
  <c r="GW3" i="7"/>
  <c r="GV3" i="7"/>
  <c r="GU3" i="7"/>
  <c r="GT3" i="7"/>
  <c r="GS3" i="7"/>
  <c r="GR3" i="7"/>
  <c r="GQ3" i="7"/>
  <c r="GP3" i="7"/>
  <c r="GO3" i="7"/>
  <c r="GN3" i="7"/>
  <c r="GM3" i="7"/>
  <c r="GL3" i="7"/>
  <c r="GK3" i="7"/>
  <c r="GJ3" i="7"/>
  <c r="GI3" i="7"/>
  <c r="GH3" i="7"/>
  <c r="GG3" i="7"/>
  <c r="GF3" i="7"/>
  <c r="GE3" i="7"/>
  <c r="GD3" i="7"/>
  <c r="GC3" i="7"/>
  <c r="GB3" i="7"/>
  <c r="GA3" i="7"/>
  <c r="FZ3" i="7"/>
  <c r="FY3" i="7"/>
  <c r="FX3" i="7"/>
  <c r="FW3" i="7"/>
  <c r="FV3" i="7"/>
  <c r="FU3" i="7"/>
  <c r="FT3" i="7"/>
  <c r="FS3" i="7"/>
  <c r="FR3" i="7"/>
  <c r="FQ3" i="7"/>
  <c r="FP3" i="7"/>
  <c r="FO3" i="7"/>
  <c r="FN3" i="7"/>
  <c r="FM3" i="7"/>
  <c r="FL3" i="7"/>
  <c r="FK3" i="7"/>
  <c r="FJ3" i="7"/>
  <c r="FI3" i="7"/>
  <c r="FH3" i="7"/>
  <c r="FG3" i="7"/>
  <c r="FF3" i="7"/>
  <c r="FE3" i="7"/>
  <c r="FD3" i="7"/>
  <c r="FC3" i="7"/>
  <c r="FB3" i="7"/>
  <c r="FA3" i="7"/>
  <c r="EZ3" i="7"/>
  <c r="EY3" i="7"/>
  <c r="EX3" i="7"/>
  <c r="EW3" i="7"/>
  <c r="EV3" i="7"/>
  <c r="EU3" i="7"/>
  <c r="ET3" i="7"/>
  <c r="ES3" i="7"/>
  <c r="ER3" i="7"/>
  <c r="EQ3" i="7"/>
  <c r="EP3" i="7"/>
  <c r="EO3" i="7"/>
  <c r="EN3" i="7"/>
  <c r="EM3" i="7"/>
  <c r="EL3" i="7"/>
  <c r="EK3" i="7"/>
  <c r="EJ3" i="7"/>
  <c r="EI3" i="7"/>
  <c r="EH3" i="7"/>
  <c r="EG3" i="7"/>
  <c r="EF3" i="7"/>
  <c r="EE3" i="7"/>
  <c r="ED3" i="7"/>
  <c r="EC3" i="7"/>
  <c r="EB3" i="7"/>
  <c r="EA3" i="7"/>
  <c r="DZ3" i="7"/>
  <c r="DY3" i="7"/>
  <c r="DX3" i="7"/>
  <c r="DW3" i="7"/>
  <c r="DV3" i="7"/>
  <c r="DU3" i="7"/>
  <c r="DT3" i="7"/>
  <c r="DS3" i="7"/>
  <c r="DR3" i="7"/>
  <c r="DQ3" i="7"/>
  <c r="DP3" i="7"/>
  <c r="DO3" i="7"/>
  <c r="DN3" i="7"/>
  <c r="DM3" i="7"/>
  <c r="DL3" i="7"/>
  <c r="DK3" i="7"/>
  <c r="DJ3" i="7"/>
  <c r="DI3" i="7"/>
  <c r="DH3" i="7"/>
  <c r="DG3" i="7"/>
  <c r="DF3" i="7"/>
  <c r="DE3" i="7"/>
  <c r="DD3" i="7"/>
  <c r="DC3" i="7"/>
  <c r="DB3" i="7"/>
  <c r="DA3" i="7"/>
  <c r="CZ3" i="7"/>
  <c r="CY3" i="7"/>
  <c r="CX3" i="7"/>
  <c r="CW3" i="7"/>
  <c r="CV3" i="7"/>
  <c r="CU3" i="7"/>
  <c r="CT3" i="7"/>
  <c r="CS3" i="7"/>
  <c r="CR3" i="7"/>
  <c r="CQ3" i="7"/>
  <c r="CP3" i="7"/>
  <c r="CO3" i="7"/>
  <c r="CN3" i="7"/>
  <c r="CM3" i="7"/>
  <c r="CL3" i="7"/>
  <c r="CK3" i="7"/>
  <c r="CJ3" i="7"/>
  <c r="CI3" i="7"/>
  <c r="CH3" i="7"/>
  <c r="CG3" i="7"/>
  <c r="CF3" i="7"/>
  <c r="CD3" i="7"/>
  <c r="CB3" i="7"/>
  <c r="CA3" i="7"/>
  <c r="BZ3" i="7"/>
  <c r="BY3" i="7"/>
  <c r="BX3" i="7"/>
  <c r="BW3" i="7"/>
  <c r="BV3" i="7"/>
  <c r="BU3" i="7"/>
  <c r="BT3" i="7"/>
  <c r="BS3" i="7"/>
  <c r="BR3" i="7"/>
  <c r="BQ3" i="7"/>
  <c r="BP3" i="7"/>
  <c r="BO3" i="7"/>
  <c r="BN3" i="7"/>
  <c r="BM3" i="7"/>
  <c r="BL3" i="7"/>
  <c r="BK3" i="7"/>
  <c r="BJ3" i="7"/>
  <c r="BH3" i="7"/>
  <c r="BI3" i="7"/>
  <c r="BG3" i="7"/>
  <c r="BF3" i="7"/>
  <c r="BE3" i="7"/>
  <c r="BD3" i="7"/>
  <c r="BC3" i="7"/>
  <c r="BB3"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IS3" i="5"/>
  <c r="IR3" i="5"/>
  <c r="IQ3" i="5"/>
  <c r="IP3" i="5"/>
  <c r="IO3" i="5"/>
  <c r="IN3" i="5"/>
  <c r="IM3" i="5"/>
  <c r="IL3" i="5"/>
  <c r="IK3" i="5"/>
  <c r="IJ3" i="5"/>
  <c r="II3" i="5"/>
  <c r="IH3" i="5"/>
  <c r="IG3" i="5"/>
  <c r="IF3" i="5"/>
  <c r="IE3" i="5"/>
  <c r="ID3" i="5"/>
  <c r="IC3" i="5"/>
  <c r="IB3" i="5"/>
  <c r="IA3" i="5"/>
  <c r="HZ3" i="5"/>
  <c r="HY3" i="5"/>
  <c r="HX3" i="5"/>
  <c r="HW3" i="5"/>
  <c r="HV3" i="5"/>
  <c r="HU3" i="5"/>
  <c r="HT3" i="5"/>
  <c r="HS3" i="5"/>
  <c r="HR3" i="5"/>
  <c r="HQ3" i="5"/>
  <c r="HP3" i="5"/>
  <c r="HO3" i="5"/>
  <c r="HN3" i="5"/>
  <c r="HM3" i="5"/>
  <c r="HL3" i="5"/>
  <c r="HK3" i="5"/>
  <c r="HJ3" i="5"/>
  <c r="HI3" i="5"/>
  <c r="HH3" i="5"/>
  <c r="HG3" i="5"/>
  <c r="HF3" i="5"/>
  <c r="HE3" i="5"/>
  <c r="HD3" i="5"/>
  <c r="HC3" i="5"/>
  <c r="HB3" i="5"/>
  <c r="HA3" i="5"/>
  <c r="GZ3" i="5"/>
  <c r="GY3" i="5"/>
  <c r="GX3" i="5"/>
  <c r="GW3" i="5"/>
  <c r="GV3" i="5"/>
  <c r="GU3" i="5"/>
  <c r="GT3" i="5"/>
  <c r="GS3" i="5"/>
  <c r="GR3" i="5"/>
  <c r="GQ3" i="5"/>
  <c r="GP3" i="5"/>
  <c r="GO3" i="5"/>
  <c r="GN3" i="5"/>
  <c r="GM3" i="5"/>
  <c r="GL3" i="5"/>
  <c r="GK3" i="5"/>
  <c r="GJ3" i="5"/>
  <c r="GI3" i="5"/>
  <c r="GH3" i="5"/>
  <c r="GG3" i="5"/>
  <c r="GF3" i="5"/>
  <c r="GE3" i="5"/>
  <c r="GD3" i="5"/>
  <c r="GC3" i="5"/>
  <c r="GB3" i="5"/>
  <c r="GA3" i="5"/>
  <c r="FZ3" i="5"/>
  <c r="FY3" i="5"/>
  <c r="FX3" i="5"/>
  <c r="FW3" i="5"/>
  <c r="FV3" i="5"/>
  <c r="FU3" i="5"/>
  <c r="FT3" i="5"/>
  <c r="FS3" i="5"/>
  <c r="FR3" i="5"/>
  <c r="FQ3" i="5"/>
  <c r="FP3" i="5"/>
  <c r="FO3" i="5"/>
  <c r="FN3" i="5"/>
  <c r="FM3" i="5"/>
  <c r="FL3" i="5"/>
  <c r="FK3" i="5"/>
  <c r="FJ3" i="5"/>
  <c r="FH3" i="5"/>
  <c r="FG3" i="5"/>
  <c r="FF3" i="5"/>
  <c r="FE3" i="5"/>
  <c r="FD3" i="5"/>
  <c r="FC3" i="5"/>
  <c r="FB3" i="5"/>
  <c r="FA3" i="5"/>
  <c r="EZ3" i="5"/>
  <c r="EY3" i="5"/>
  <c r="EX3" i="5"/>
  <c r="EW3" i="5"/>
  <c r="EV3" i="5"/>
  <c r="EU3" i="5"/>
  <c r="ET3" i="5"/>
  <c r="ES3" i="5"/>
  <c r="ER3" i="5"/>
  <c r="EQ3" i="5"/>
  <c r="EP3" i="5"/>
  <c r="EO3" i="5"/>
  <c r="EN3" i="5"/>
  <c r="EM3" i="5"/>
  <c r="EL3" i="5"/>
  <c r="EK3" i="5"/>
  <c r="DK3" i="5"/>
  <c r="DJ3" i="5"/>
  <c r="DI3" i="5"/>
  <c r="DH3" i="5"/>
  <c r="DG3" i="5"/>
  <c r="DF3" i="5"/>
  <c r="DE3" i="5"/>
  <c r="DD3" i="5"/>
  <c r="DC3" i="5"/>
  <c r="DB3" i="5"/>
  <c r="DA3" i="5"/>
  <c r="CZ3" i="5"/>
  <c r="CY3" i="5"/>
  <c r="CX3" i="5"/>
  <c r="CW3" i="5"/>
  <c r="CV3" i="5"/>
  <c r="CU3" i="5"/>
  <c r="CT3" i="5"/>
  <c r="CS3" i="5"/>
  <c r="CR3" i="5"/>
  <c r="CQ3" i="5"/>
  <c r="CP3" i="5"/>
  <c r="CO3" i="5"/>
  <c r="CL3" i="5"/>
  <c r="CK3" i="5"/>
  <c r="CJ3" i="5"/>
  <c r="CI3" i="5"/>
  <c r="CH3" i="5"/>
  <c r="CG3" i="5"/>
  <c r="CE3" i="5"/>
  <c r="CC3" i="5"/>
  <c r="CB3" i="5"/>
  <c r="CA3" i="5"/>
  <c r="BY3" i="5"/>
  <c r="BW3" i="5"/>
  <c r="BV3" i="5"/>
  <c r="BU3" i="5"/>
  <c r="BT3" i="5"/>
  <c r="BS3" i="5"/>
  <c r="BR3" i="5"/>
  <c r="BQ3" i="5"/>
  <c r="BP3" i="5"/>
  <c r="BN3" i="5"/>
  <c r="BM3" i="5"/>
  <c r="BL3" i="5"/>
  <c r="BK3" i="5"/>
  <c r="BJ3" i="5"/>
  <c r="BI3" i="5"/>
  <c r="BH3" i="5"/>
  <c r="BG3" i="5"/>
  <c r="BF3" i="5"/>
  <c r="BE3" i="5"/>
  <c r="BC3" i="5"/>
  <c r="BB3" i="5"/>
  <c r="AZ3" i="5"/>
  <c r="AY3" i="5"/>
  <c r="AX3" i="5"/>
  <c r="AT3" i="5"/>
  <c r="AS3" i="5"/>
  <c r="AR3" i="5"/>
  <c r="AO3" i="5"/>
  <c r="AN3" i="5"/>
  <c r="AM3" i="5"/>
  <c r="AL3" i="5"/>
  <c r="AK3" i="5"/>
  <c r="AI3" i="5"/>
  <c r="AH3" i="5"/>
  <c r="AF3" i="5"/>
  <c r="AD3" i="5"/>
  <c r="AC3" i="5"/>
  <c r="AB3" i="5"/>
  <c r="AA3" i="5"/>
  <c r="Z3" i="5"/>
  <c r="Y3" i="5"/>
  <c r="W3" i="5"/>
  <c r="S3" i="5"/>
  <c r="R3" i="5"/>
  <c r="Q3" i="5"/>
  <c r="IJ3" i="4"/>
  <c r="II3" i="4"/>
  <c r="IH3" i="4"/>
  <c r="IG3" i="4"/>
  <c r="IF3" i="4"/>
  <c r="IE3" i="4"/>
  <c r="ID3" i="4"/>
  <c r="IC3" i="4"/>
  <c r="IB3" i="4"/>
  <c r="IA3" i="4"/>
  <c r="HZ3" i="4"/>
  <c r="HY3" i="4"/>
  <c r="HX3" i="4"/>
  <c r="HW3" i="4"/>
  <c r="HV3" i="4"/>
  <c r="HE3" i="4"/>
  <c r="HD3" i="4"/>
  <c r="HC3" i="4"/>
  <c r="HB3" i="4"/>
  <c r="HA3" i="4"/>
  <c r="GX3" i="4"/>
  <c r="GL3" i="4"/>
  <c r="GI3" i="4"/>
  <c r="GF3" i="4"/>
  <c r="GE3" i="4"/>
  <c r="GD3" i="4"/>
  <c r="GC3" i="4"/>
  <c r="GB3" i="4"/>
  <c r="GA3" i="4"/>
  <c r="FZ3" i="4"/>
  <c r="FY3" i="4"/>
  <c r="FX3" i="4"/>
  <c r="FW3" i="4"/>
  <c r="FV3" i="4"/>
  <c r="FU3" i="4"/>
  <c r="FT3" i="4"/>
  <c r="FS3" i="4"/>
  <c r="FR3" i="4"/>
  <c r="FQ3" i="4"/>
  <c r="FP3" i="4"/>
  <c r="FO3" i="4"/>
  <c r="FN3" i="4"/>
  <c r="FM3" i="4"/>
  <c r="FL3" i="4"/>
  <c r="FK3" i="4"/>
  <c r="FJ3" i="4"/>
  <c r="FI3" i="4"/>
  <c r="FH3" i="4"/>
  <c r="FG3" i="4"/>
  <c r="FF3" i="4"/>
  <c r="FE3" i="4"/>
  <c r="FD3" i="4"/>
  <c r="FC3" i="4"/>
  <c r="FB3" i="4"/>
  <c r="FA3" i="4"/>
  <c r="EZ3" i="4"/>
  <c r="EY3" i="4"/>
  <c r="EW3" i="4"/>
  <c r="EV3" i="4"/>
  <c r="EU3" i="4"/>
  <c r="ET3" i="4"/>
  <c r="ES3" i="4"/>
  <c r="ER3" i="4"/>
  <c r="EQ3" i="4"/>
  <c r="EP3" i="4"/>
  <c r="EO3" i="4"/>
  <c r="EN3" i="4"/>
  <c r="EL3" i="4"/>
  <c r="EK3" i="4"/>
  <c r="EJ3" i="4"/>
  <c r="EI3" i="4"/>
  <c r="EH3" i="4"/>
  <c r="EG3" i="4"/>
  <c r="EF3" i="4"/>
  <c r="EE3" i="4"/>
  <c r="ED3" i="4"/>
  <c r="EC3" i="4"/>
  <c r="EB3" i="4"/>
  <c r="EA3" i="4"/>
  <c r="DZ3" i="4"/>
  <c r="DY3" i="4"/>
  <c r="DX3" i="4"/>
  <c r="DW3" i="4"/>
  <c r="DV3" i="4"/>
  <c r="DU3" i="4"/>
  <c r="DT3" i="4"/>
  <c r="DS3" i="4"/>
  <c r="DR3" i="4"/>
  <c r="DQ3" i="4"/>
  <c r="DP3" i="4"/>
  <c r="DO3" i="4"/>
  <c r="DN3" i="4"/>
  <c r="DM3" i="4"/>
  <c r="DL3" i="4"/>
  <c r="DK3" i="4"/>
  <c r="DJ3" i="4"/>
  <c r="DI3" i="4"/>
  <c r="DH3" i="4"/>
  <c r="DG3" i="4"/>
  <c r="DF3" i="4"/>
  <c r="DE3" i="4"/>
  <c r="DD3" i="4"/>
  <c r="DC3" i="4"/>
  <c r="DB3" i="4"/>
  <c r="DA3" i="4"/>
  <c r="CZ3" i="4"/>
  <c r="CY3" i="4"/>
  <c r="CX3" i="4"/>
  <c r="CW3" i="4"/>
  <c r="CV3" i="4"/>
  <c r="CU3" i="4"/>
  <c r="CT3" i="4"/>
  <c r="CS3" i="4"/>
  <c r="CR3" i="4"/>
  <c r="CQ3" i="4"/>
  <c r="CP3" i="4"/>
  <c r="CO3" i="4"/>
  <c r="CN3" i="4"/>
  <c r="CM3" i="4"/>
  <c r="CL3" i="4"/>
  <c r="CK3" i="4"/>
  <c r="CJ3" i="4"/>
  <c r="CI3" i="4"/>
  <c r="CH3" i="4"/>
  <c r="CG3" i="4"/>
  <c r="CF3" i="4"/>
  <c r="CE3" i="4"/>
  <c r="CD3" i="4"/>
  <c r="CC3" i="4"/>
  <c r="CB3" i="4"/>
  <c r="CA3" i="4"/>
  <c r="BZ3" i="4"/>
  <c r="BX3" i="4"/>
  <c r="BP3" i="4"/>
  <c r="BN3" i="4"/>
  <c r="BL3" i="4"/>
  <c r="BH3" i="4"/>
  <c r="BG3" i="4"/>
  <c r="BE3" i="4"/>
  <c r="BC3" i="4"/>
  <c r="BA3" i="4"/>
  <c r="AZ3" i="4"/>
  <c r="AY3" i="4"/>
  <c r="AX3" i="4"/>
  <c r="AW3" i="4"/>
  <c r="AV3" i="4"/>
  <c r="AU3" i="4"/>
  <c r="AT3" i="4"/>
  <c r="AS3" i="4"/>
  <c r="AQ3" i="4"/>
  <c r="AP3" i="4"/>
  <c r="AO3" i="4"/>
  <c r="AN3" i="4"/>
  <c r="AL3" i="4"/>
  <c r="AK3" i="4"/>
  <c r="AI3" i="4"/>
  <c r="AE3" i="4"/>
  <c r="AC3" i="4"/>
  <c r="AA3" i="4"/>
  <c r="Z3" i="4"/>
  <c r="Y3" i="4"/>
  <c r="W3" i="4"/>
  <c r="R3" i="4"/>
  <c r="AF3" i="4"/>
  <c r="BB3" i="4"/>
  <c r="U3" i="4"/>
  <c r="EV266" i="8"/>
  <c r="EV3" i="8"/>
  <c r="A903" i="13"/>
  <c r="A902" i="13"/>
  <c r="A901" i="13"/>
  <c r="A900" i="13"/>
  <c r="A899" i="13"/>
  <c r="A898" i="13"/>
  <c r="A897" i="13"/>
  <c r="A896" i="13"/>
  <c r="A895" i="13"/>
  <c r="A894" i="13"/>
  <c r="A893" i="13"/>
  <c r="A892" i="13"/>
  <c r="A891" i="13"/>
  <c r="A890" i="13"/>
  <c r="A889" i="13"/>
  <c r="AE903" i="13"/>
  <c r="AE902" i="13"/>
  <c r="AE901" i="13"/>
  <c r="AE900" i="13"/>
  <c r="AE3" i="13"/>
  <c r="T903" i="13"/>
  <c r="R903" i="13"/>
  <c r="T902" i="13"/>
  <c r="R902" i="13"/>
  <c r="T901" i="13"/>
  <c r="R901" i="13"/>
  <c r="T900" i="13"/>
  <c r="R900" i="13"/>
  <c r="T899" i="13"/>
  <c r="R899" i="13"/>
  <c r="T898" i="13"/>
  <c r="R898" i="13"/>
  <c r="T897" i="13"/>
  <c r="R897" i="13"/>
  <c r="T896" i="13"/>
  <c r="R896" i="13"/>
  <c r="T895" i="13"/>
  <c r="R895" i="13"/>
  <c r="T894" i="13"/>
  <c r="R894" i="13"/>
  <c r="T893" i="13"/>
  <c r="R893" i="13"/>
  <c r="T892" i="13"/>
  <c r="R892" i="13"/>
  <c r="T891" i="13"/>
  <c r="R891" i="13"/>
  <c r="T890" i="13"/>
  <c r="R890" i="13"/>
  <c r="T889" i="13"/>
  <c r="R889" i="13"/>
  <c r="T883" i="12"/>
  <c r="T884" i="12"/>
  <c r="T885" i="12"/>
  <c r="T886" i="12"/>
  <c r="T887" i="12"/>
  <c r="T888" i="12"/>
  <c r="T889" i="12"/>
  <c r="T890" i="12"/>
  <c r="T891" i="12"/>
  <c r="T892" i="12"/>
  <c r="T893" i="12"/>
  <c r="T894" i="12"/>
  <c r="T895" i="12"/>
  <c r="T896" i="12"/>
  <c r="T897" i="12"/>
  <c r="T898" i="12"/>
  <c r="T899" i="12"/>
  <c r="T900" i="12"/>
  <c r="T901" i="12"/>
  <c r="T902" i="12"/>
  <c r="T903" i="12"/>
  <c r="T882" i="12"/>
  <c r="R901" i="12"/>
  <c r="R902" i="12"/>
  <c r="R903" i="12"/>
  <c r="R900" i="12"/>
  <c r="R890" i="12"/>
  <c r="R891" i="12"/>
  <c r="R892" i="12"/>
  <c r="R893" i="12"/>
  <c r="R894" i="12"/>
  <c r="R895" i="12"/>
  <c r="R896" i="12"/>
  <c r="R897" i="12"/>
  <c r="R898" i="12"/>
  <c r="R899" i="12"/>
  <c r="R889" i="12"/>
  <c r="BL270" i="8"/>
  <c r="BI270" i="8"/>
  <c r="BG270" i="8"/>
  <c r="BG3" i="8"/>
  <c r="BE270" i="8"/>
  <c r="BD270" i="8"/>
  <c r="BC270" i="8"/>
  <c r="AX270" i="8"/>
  <c r="AX3" i="8"/>
  <c r="AW270" i="8"/>
  <c r="AO270" i="8"/>
  <c r="AE270" i="8"/>
  <c r="AA270" i="8"/>
  <c r="AA3" i="8"/>
  <c r="X270" i="8"/>
  <c r="Q270" i="8"/>
  <c r="BL269" i="8"/>
  <c r="BI269" i="8"/>
  <c r="BG269" i="8"/>
  <c r="BE269" i="8"/>
  <c r="BD269" i="8"/>
  <c r="BC269" i="8"/>
  <c r="AX269" i="8"/>
  <c r="AW269" i="8"/>
  <c r="AO269" i="8"/>
  <c r="AE269" i="8"/>
  <c r="AA269" i="8"/>
  <c r="X269" i="8"/>
  <c r="Q269" i="8"/>
  <c r="BL268" i="8"/>
  <c r="BI268" i="8"/>
  <c r="BG268" i="8"/>
  <c r="BE268" i="8"/>
  <c r="BD268" i="8"/>
  <c r="BC268" i="8"/>
  <c r="AX268" i="8"/>
  <c r="AW268" i="8"/>
  <c r="AO268" i="8"/>
  <c r="AE268" i="8"/>
  <c r="AE3" i="8"/>
  <c r="AA268" i="8"/>
  <c r="X268" i="8"/>
  <c r="Q268" i="8"/>
  <c r="BL267" i="8"/>
  <c r="BI267" i="8"/>
  <c r="BG267" i="8"/>
  <c r="BE267" i="8"/>
  <c r="BE3" i="8"/>
  <c r="BD267" i="8"/>
  <c r="BC267" i="8"/>
  <c r="AX267" i="8"/>
  <c r="AW267" i="8"/>
  <c r="AO267" i="8"/>
  <c r="AE267" i="8"/>
  <c r="AA267" i="8"/>
  <c r="X267" i="8"/>
  <c r="X3" i="8"/>
  <c r="Q267" i="8"/>
  <c r="FY266" i="8"/>
  <c r="FY3" i="8"/>
  <c r="GB266" i="8"/>
  <c r="GB3" i="8"/>
  <c r="CP266" i="8"/>
  <c r="CP3" i="8"/>
  <c r="BI266" i="8"/>
  <c r="BI3" i="8"/>
  <c r="BD266" i="8"/>
  <c r="BD3" i="8"/>
  <c r="BC266" i="8"/>
  <c r="AW266" i="8"/>
  <c r="AO266" i="8"/>
  <c r="AO3" i="8"/>
  <c r="AE266" i="8"/>
  <c r="AA266" i="8"/>
  <c r="X266" i="8"/>
  <c r="Q266" i="8"/>
  <c r="Q3" i="8"/>
  <c r="CN48" i="5"/>
  <c r="CM48" i="5"/>
  <c r="AP48" i="5"/>
  <c r="AG48" i="5"/>
  <c r="AE48" i="5"/>
  <c r="U48" i="5"/>
  <c r="P48" i="5"/>
  <c r="O48" i="5"/>
  <c r="CN47" i="5"/>
  <c r="CM47" i="5"/>
  <c r="AP47" i="5"/>
  <c r="AG47" i="5"/>
  <c r="AE47" i="5"/>
  <c r="U47" i="5"/>
  <c r="P47" i="5"/>
  <c r="O47" i="5"/>
  <c r="CN46" i="5"/>
  <c r="CM46" i="5"/>
  <c r="AP46" i="5"/>
  <c r="AG46" i="5"/>
  <c r="AE46" i="5"/>
  <c r="U46" i="5"/>
  <c r="P46" i="5"/>
  <c r="O46" i="5"/>
  <c r="CN45" i="5"/>
  <c r="CM45" i="5"/>
  <c r="AP45" i="5"/>
  <c r="AG45" i="5"/>
  <c r="AE45" i="5"/>
  <c r="U45" i="5"/>
  <c r="P45" i="5"/>
  <c r="O45" i="5"/>
  <c r="CN44" i="5"/>
  <c r="CM44" i="5"/>
  <c r="AP44" i="5"/>
  <c r="AG44" i="5"/>
  <c r="AE44" i="5"/>
  <c r="U44" i="5"/>
  <c r="P44" i="5"/>
  <c r="O44" i="5"/>
  <c r="CN43" i="5"/>
  <c r="CM43" i="5"/>
  <c r="AP43" i="5"/>
  <c r="AG43" i="5"/>
  <c r="AE43" i="5"/>
  <c r="U43" i="5"/>
  <c r="P43" i="5"/>
  <c r="O43" i="5"/>
  <c r="CN42" i="5"/>
  <c r="CM42" i="5"/>
  <c r="AP42" i="5"/>
  <c r="AG42" i="5"/>
  <c r="AG3" i="5"/>
  <c r="AE42" i="5"/>
  <c r="U42" i="5"/>
  <c r="P42" i="5"/>
  <c r="O42" i="5"/>
  <c r="O3" i="5"/>
  <c r="CN41" i="5"/>
  <c r="CN3" i="5"/>
  <c r="CM41" i="5"/>
  <c r="CM3" i="5"/>
  <c r="AP41" i="5"/>
  <c r="AG41" i="5"/>
  <c r="AE41" i="5"/>
  <c r="AE3" i="5"/>
  <c r="U41" i="5"/>
  <c r="U3" i="5"/>
  <c r="P41" i="5"/>
  <c r="O41" i="5"/>
  <c r="FI31" i="5"/>
  <c r="BX31" i="5"/>
  <c r="BO31" i="5"/>
  <c r="FI30" i="5"/>
  <c r="BX30" i="5"/>
  <c r="BX3" i="5"/>
  <c r="BO30" i="5"/>
  <c r="BO3" i="5"/>
  <c r="FI29" i="5"/>
  <c r="BX29" i="5"/>
  <c r="BO29" i="5"/>
  <c r="BD19" i="5"/>
  <c r="BA19" i="5"/>
  <c r="AW19" i="5"/>
  <c r="AV19" i="5"/>
  <c r="AU19" i="5"/>
  <c r="AQ19" i="5"/>
  <c r="AP19" i="5"/>
  <c r="AJ19" i="5"/>
  <c r="X19" i="5"/>
  <c r="V19" i="5"/>
  <c r="T19" i="5"/>
  <c r="P19" i="5"/>
  <c r="BD18" i="5"/>
  <c r="BA18" i="5"/>
  <c r="AW18" i="5"/>
  <c r="AV18" i="5"/>
  <c r="AU18" i="5"/>
  <c r="AQ18" i="5"/>
  <c r="AP18" i="5"/>
  <c r="AJ18" i="5"/>
  <c r="X18" i="5"/>
  <c r="V18" i="5"/>
  <c r="T18" i="5"/>
  <c r="P18" i="5"/>
  <c r="BD17" i="5"/>
  <c r="BA17" i="5"/>
  <c r="AW17" i="5"/>
  <c r="AV17" i="5"/>
  <c r="AU17" i="5"/>
  <c r="AQ17" i="5"/>
  <c r="AP17" i="5"/>
  <c r="AJ17" i="5"/>
  <c r="X17" i="5"/>
  <c r="V17" i="5"/>
  <c r="T17" i="5"/>
  <c r="P17" i="5"/>
  <c r="BD16" i="5"/>
  <c r="BA16" i="5"/>
  <c r="AW16" i="5"/>
  <c r="AV16" i="5"/>
  <c r="AU16" i="5"/>
  <c r="AQ16" i="5"/>
  <c r="AP16" i="5"/>
  <c r="AJ16" i="5"/>
  <c r="X16" i="5"/>
  <c r="V16" i="5"/>
  <c r="T16" i="5"/>
  <c r="P16" i="5"/>
  <c r="BD15" i="5"/>
  <c r="BA15" i="5"/>
  <c r="AW15" i="5"/>
  <c r="AV15" i="5"/>
  <c r="AU15" i="5"/>
  <c r="AQ15" i="5"/>
  <c r="AP15" i="5"/>
  <c r="AJ15" i="5"/>
  <c r="X15" i="5"/>
  <c r="V15" i="5"/>
  <c r="T15" i="5"/>
  <c r="P15" i="5"/>
  <c r="BD14" i="5"/>
  <c r="BA14" i="5"/>
  <c r="AW14" i="5"/>
  <c r="AV14" i="5"/>
  <c r="AU14" i="5"/>
  <c r="AQ14" i="5"/>
  <c r="AP14" i="5"/>
  <c r="AJ14" i="5"/>
  <c r="X14" i="5"/>
  <c r="V14" i="5"/>
  <c r="T14" i="5"/>
  <c r="P14" i="5"/>
  <c r="BD13" i="5"/>
  <c r="BA13" i="5"/>
  <c r="AW13" i="5"/>
  <c r="AV13" i="5"/>
  <c r="AU13" i="5"/>
  <c r="AQ13" i="5"/>
  <c r="AP13" i="5"/>
  <c r="AJ13" i="5"/>
  <c r="X13" i="5"/>
  <c r="V13" i="5"/>
  <c r="T13" i="5"/>
  <c r="P13" i="5"/>
  <c r="BD12" i="5"/>
  <c r="BA12" i="5"/>
  <c r="AW12" i="5"/>
  <c r="AV12" i="5"/>
  <c r="AU12" i="5"/>
  <c r="AQ12" i="5"/>
  <c r="AP12" i="5"/>
  <c r="AJ12" i="5"/>
  <c r="X12" i="5"/>
  <c r="V12" i="5"/>
  <c r="T12" i="5"/>
  <c r="P12" i="5"/>
  <c r="BD11" i="5"/>
  <c r="BA11" i="5"/>
  <c r="AW11" i="5"/>
  <c r="AV11" i="5"/>
  <c r="AU11" i="5"/>
  <c r="AQ11" i="5"/>
  <c r="AP11" i="5"/>
  <c r="AJ11" i="5"/>
  <c r="X11" i="5"/>
  <c r="V11" i="5"/>
  <c r="T11" i="5"/>
  <c r="P11" i="5"/>
  <c r="BD10" i="5"/>
  <c r="BA10" i="5"/>
  <c r="AW10" i="5"/>
  <c r="AV10" i="5"/>
  <c r="AU10" i="5"/>
  <c r="AQ10" i="5"/>
  <c r="AP10" i="5"/>
  <c r="AJ10" i="5"/>
  <c r="X10" i="5"/>
  <c r="V10" i="5"/>
  <c r="T10" i="5"/>
  <c r="P10" i="5"/>
  <c r="BD9" i="5"/>
  <c r="BA9" i="5"/>
  <c r="AW9" i="5"/>
  <c r="AV9" i="5"/>
  <c r="AU9" i="5"/>
  <c r="AQ9" i="5"/>
  <c r="AP9" i="5"/>
  <c r="AJ9" i="5"/>
  <c r="X9" i="5"/>
  <c r="V9" i="5"/>
  <c r="T9" i="5"/>
  <c r="P9" i="5"/>
  <c r="BD8" i="5"/>
  <c r="BA8" i="5"/>
  <c r="AW8" i="5"/>
  <c r="AV8" i="5"/>
  <c r="AU8" i="5"/>
  <c r="AQ8" i="5"/>
  <c r="AP8" i="5"/>
  <c r="AJ8" i="5"/>
  <c r="X8" i="5"/>
  <c r="V8" i="5"/>
  <c r="T8" i="5"/>
  <c r="P8" i="5"/>
  <c r="BD7" i="5"/>
  <c r="BA7" i="5"/>
  <c r="BA3" i="5"/>
  <c r="AW7" i="5"/>
  <c r="AV7" i="5"/>
  <c r="AV3" i="5"/>
  <c r="AU7" i="5"/>
  <c r="AU3" i="5"/>
  <c r="AQ7" i="5"/>
  <c r="AP7" i="5"/>
  <c r="AJ7" i="5"/>
  <c r="X7" i="5"/>
  <c r="V7" i="5"/>
  <c r="V3" i="5"/>
  <c r="T7" i="5"/>
  <c r="P7" i="5"/>
  <c r="P3" i="5"/>
  <c r="BD6" i="5"/>
  <c r="BD3" i="5"/>
  <c r="BA6" i="5"/>
  <c r="AW6" i="5"/>
  <c r="AV6" i="5"/>
  <c r="AU6" i="5"/>
  <c r="AQ6" i="5"/>
  <c r="AQ3" i="5"/>
  <c r="AP6" i="5"/>
  <c r="AJ6" i="5"/>
  <c r="AJ3" i="5"/>
  <c r="X6" i="5"/>
  <c r="X3" i="5"/>
  <c r="V6" i="5"/>
  <c r="T6" i="5"/>
  <c r="P6" i="5"/>
  <c r="BD5" i="5"/>
  <c r="BA5" i="5"/>
  <c r="AW5" i="5"/>
  <c r="AW3" i="5"/>
  <c r="AV5" i="5"/>
  <c r="AU5" i="5"/>
  <c r="AQ5" i="5"/>
  <c r="AP5" i="5"/>
  <c r="AP3" i="5"/>
  <c r="AJ5" i="5"/>
  <c r="X5" i="5"/>
  <c r="V5" i="5"/>
  <c r="T5" i="5"/>
  <c r="T3" i="5"/>
  <c r="P5" i="5"/>
  <c r="FI3" i="5"/>
  <c r="AW3" i="8"/>
  <c r="BL3" i="8"/>
  <c r="BC3" i="8"/>
  <c r="BI3" i="4"/>
  <c r="GG3" i="4"/>
  <c r="GJ3" i="4"/>
  <c r="GM3" i="4"/>
  <c r="GO3" i="4"/>
  <c r="GQ3" i="4"/>
  <c r="GS3" i="4"/>
  <c r="GU3" i="4"/>
  <c r="GW3" i="4"/>
  <c r="GZ3" i="4"/>
  <c r="GY3" i="4"/>
  <c r="BW3" i="4"/>
  <c r="GH3" i="4"/>
  <c r="GN3" i="4"/>
  <c r="GP3" i="4"/>
  <c r="GK3" i="4"/>
  <c r="GR3" i="4"/>
  <c r="GT3" i="4"/>
  <c r="GV3" i="4"/>
  <c r="BJ3" i="4"/>
  <c r="V3" i="4"/>
  <c r="AM3" i="4"/>
  <c r="EX3" i="4"/>
  <c r="BK3" i="4"/>
  <c r="X3" i="4"/>
  <c r="Q3" i="4"/>
  <c r="S3" i="4"/>
  <c r="AR3" i="4"/>
  <c r="BS3" i="4"/>
  <c r="BV3" i="4"/>
  <c r="BF84" i="4"/>
  <c r="BF3" i="4"/>
  <c r="BR78" i="4"/>
  <c r="BU75" i="4"/>
  <c r="BU3" i="4"/>
  <c r="BY78" i="4"/>
  <c r="BY74" i="4"/>
  <c r="BF85" i="4"/>
  <c r="BR75" i="4"/>
  <c r="BY75" i="4"/>
  <c r="BY79" i="4"/>
  <c r="BM85" i="4"/>
  <c r="BM3" i="4"/>
  <c r="AR85" i="4"/>
  <c r="BT74" i="4"/>
  <c r="BT3" i="4"/>
  <c r="AD84" i="4"/>
  <c r="AJ3" i="4"/>
  <c r="BQ74" i="4"/>
  <c r="BQ3" i="4"/>
  <c r="BV79" i="4"/>
  <c r="BO79" i="4"/>
  <c r="BO3" i="4"/>
  <c r="BU79" i="4"/>
  <c r="BR74" i="4"/>
  <c r="BR3" i="4"/>
  <c r="BR79" i="4"/>
  <c r="BY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Miyuki Shimizu (ESN)</author>
  </authors>
  <commentList>
    <comment ref="L4" authorId="0" shapeId="0" xr:uid="{00000000-0006-0000-0400-000001000000}">
      <text>
        <r>
          <rPr>
            <b/>
            <sz val="9"/>
            <color indexed="81"/>
            <rFont val="Tahoma"/>
            <family val="2"/>
          </rPr>
          <t>Miyuki Shimizu (ESN):</t>
        </r>
        <r>
          <rPr>
            <sz val="9"/>
            <color indexed="81"/>
            <rFont val="Tahoma"/>
            <family val="2"/>
          </rPr>
          <t xml:space="preserve">
complete(the sodium values are not entered since the values are too high . The author clarified it must be error)</t>
        </r>
      </text>
    </comment>
    <comment ref="L21" authorId="0" shapeId="0" xr:uid="{00000000-0006-0000-0400-000002000000}">
      <text>
        <r>
          <rPr>
            <b/>
            <sz val="9"/>
            <color indexed="81"/>
            <rFont val="Tahoma"/>
            <family val="2"/>
          </rPr>
          <t>Miyuki Shimizu (ESN):</t>
        </r>
        <r>
          <rPr>
            <sz val="9"/>
            <color indexed="81"/>
            <rFont val="Tahoma"/>
            <family val="2"/>
          </rPr>
          <t xml:space="preserve">
complete. Included other species' data for the analytical database 
</t>
        </r>
      </text>
    </comment>
    <comment ref="L26" authorId="0" shapeId="0" xr:uid="{00000000-0006-0000-0400-000003000000}">
      <text>
        <r>
          <rPr>
            <b/>
            <sz val="9"/>
            <color indexed="81"/>
            <rFont val="Tahoma"/>
            <family val="2"/>
          </rPr>
          <t>Miyuki Shimizu (ESN):</t>
        </r>
        <r>
          <rPr>
            <sz val="9"/>
            <color indexed="81"/>
            <rFont val="Tahoma"/>
            <family val="2"/>
          </rPr>
          <t xml:space="preserve">
complete</t>
        </r>
      </text>
    </comment>
    <comment ref="L27" authorId="0" shapeId="0" xr:uid="{00000000-0006-0000-0400-000004000000}">
      <text>
        <r>
          <rPr>
            <b/>
            <sz val="9"/>
            <color indexed="81"/>
            <rFont val="Tahoma"/>
            <family val="2"/>
          </rPr>
          <t>Miyuki Shimizu (ESN):</t>
        </r>
        <r>
          <rPr>
            <sz val="9"/>
            <color indexed="81"/>
            <rFont val="Tahoma"/>
            <family val="2"/>
          </rPr>
          <t xml:space="preserve">
complete</t>
        </r>
      </text>
    </comment>
    <comment ref="L29" authorId="0" shapeId="0" xr:uid="{00000000-0006-0000-0400-000005000000}">
      <text>
        <r>
          <rPr>
            <b/>
            <sz val="9"/>
            <color indexed="81"/>
            <rFont val="Tahoma"/>
            <family val="2"/>
          </rPr>
          <t>Miyuki Shimizu (ESN):</t>
        </r>
        <r>
          <rPr>
            <sz val="9"/>
            <color indexed="81"/>
            <rFont val="Tahoma"/>
            <family val="2"/>
          </rPr>
          <t xml:space="preserve">
complete</t>
        </r>
      </text>
    </comment>
    <comment ref="L32" authorId="0" shapeId="0" xr:uid="{00000000-0006-0000-0400-000006000000}">
      <text>
        <r>
          <rPr>
            <b/>
            <sz val="9"/>
            <color indexed="81"/>
            <rFont val="Tahoma"/>
            <family val="2"/>
          </rPr>
          <t>Miyuki Shimizu (ESN):</t>
        </r>
        <r>
          <rPr>
            <sz val="9"/>
            <color indexed="81"/>
            <rFont val="Tahoma"/>
            <family val="2"/>
          </rPr>
          <t xml:space="preserve">
complete</t>
        </r>
      </text>
    </comment>
    <comment ref="L35" authorId="0" shapeId="0" xr:uid="{00000000-0006-0000-0400-000007000000}">
      <text>
        <r>
          <rPr>
            <b/>
            <sz val="9"/>
            <color indexed="81"/>
            <rFont val="Tahoma"/>
            <family val="2"/>
          </rPr>
          <t>Miyuki Shimizu (ESN):</t>
        </r>
        <r>
          <rPr>
            <sz val="9"/>
            <color indexed="81"/>
            <rFont val="Tahoma"/>
            <family val="2"/>
          </rPr>
          <t xml:space="preserve">
complete</t>
        </r>
      </text>
    </comment>
    <comment ref="L38" authorId="0" shapeId="0" xr:uid="{00000000-0006-0000-0400-000008000000}">
      <text>
        <r>
          <rPr>
            <b/>
            <sz val="9"/>
            <color indexed="81"/>
            <rFont val="Tahoma"/>
            <family val="2"/>
          </rPr>
          <t>Miyuki Shimizu (ESN):</t>
        </r>
        <r>
          <rPr>
            <sz val="9"/>
            <color indexed="81"/>
            <rFont val="Tahoma"/>
            <family val="2"/>
          </rPr>
          <t xml:space="preserve">
complete</t>
        </r>
      </text>
    </comment>
    <comment ref="Z38" authorId="0" shapeId="0" xr:uid="{00000000-0006-0000-0400-000009000000}">
      <text>
        <r>
          <rPr>
            <b/>
            <sz val="9"/>
            <color indexed="81"/>
            <rFont val="Tahoma"/>
            <family val="2"/>
          </rPr>
          <t>Miyuki Shimizu (ESN):</t>
        </r>
        <r>
          <rPr>
            <sz val="9"/>
            <color indexed="81"/>
            <rFont val="Tahoma"/>
            <family val="2"/>
          </rPr>
          <t xml:space="preserve">
Unknown method. available CHO should be 36.3. </t>
        </r>
      </text>
    </comment>
    <comment ref="L41" authorId="0" shapeId="0" xr:uid="{00000000-0006-0000-0400-00000A000000}">
      <text>
        <r>
          <rPr>
            <b/>
            <sz val="9"/>
            <color indexed="81"/>
            <rFont val="Tahoma"/>
            <family val="2"/>
          </rPr>
          <t>Miyuki Shimizu (ESN):</t>
        </r>
        <r>
          <rPr>
            <sz val="9"/>
            <color indexed="81"/>
            <rFont val="Tahoma"/>
            <family val="2"/>
          </rPr>
          <t xml:space="preserve">
complete</t>
        </r>
      </text>
    </comment>
    <comment ref="CM41" authorId="0" shapeId="0" xr:uid="{00000000-0006-0000-0400-00000B000000}">
      <text>
        <r>
          <rPr>
            <b/>
            <sz val="9"/>
            <color indexed="81"/>
            <rFont val="Tahoma"/>
            <family val="2"/>
          </rPr>
          <t>Miyuki Shimizu (ESN):</t>
        </r>
        <r>
          <rPr>
            <sz val="9"/>
            <color indexed="81"/>
            <rFont val="Tahoma"/>
            <family val="2"/>
          </rPr>
          <t xml:space="preserve">
starch values are expressed as glucose</t>
        </r>
      </text>
    </comment>
    <comment ref="L49" authorId="0" shapeId="0" xr:uid="{00000000-0006-0000-0400-00000C000000}">
      <text>
        <r>
          <rPr>
            <b/>
            <sz val="9"/>
            <color indexed="81"/>
            <rFont val="Tahoma"/>
            <family val="2"/>
          </rPr>
          <t>Miyuki Shimizu (ESN):</t>
        </r>
        <r>
          <rPr>
            <sz val="9"/>
            <color indexed="81"/>
            <rFont val="Tahoma"/>
            <family val="2"/>
          </rPr>
          <t xml:space="preserve">
it has also many other data to be entered if time left</t>
        </r>
      </text>
    </comment>
  </commentList>
</comments>
</file>

<file path=xl/sharedStrings.xml><?xml version="1.0" encoding="utf-8"?>
<sst xmlns="http://schemas.openxmlformats.org/spreadsheetml/2006/main" count="43321" uniqueCount="9874">
  <si>
    <t>All food components are presented as per 100 g edible portion on fresh weight basis</t>
  </si>
  <si>
    <t>Type</t>
  </si>
  <si>
    <t>F</t>
  </si>
  <si>
    <t>farmed</t>
  </si>
  <si>
    <t>W</t>
  </si>
  <si>
    <t>wild</t>
  </si>
  <si>
    <t>Processing</t>
  </si>
  <si>
    <t>r</t>
  </si>
  <si>
    <t>raw</t>
  </si>
  <si>
    <t>d</t>
  </si>
  <si>
    <t>dried</t>
  </si>
  <si>
    <t>p</t>
  </si>
  <si>
    <t>processed</t>
  </si>
  <si>
    <t>n</t>
  </si>
  <si>
    <t>number of independent analytical samples</t>
  </si>
  <si>
    <t>tr</t>
  </si>
  <si>
    <t>trace</t>
  </si>
  <si>
    <t>nd</t>
  </si>
  <si>
    <t>not detected</t>
  </si>
  <si>
    <t>Compiler ID</t>
  </si>
  <si>
    <t>Name of Compiler</t>
  </si>
  <si>
    <t>JD</t>
  </si>
  <si>
    <t>Juan Du</t>
  </si>
  <si>
    <t>SE</t>
  </si>
  <si>
    <t>Sandra Eisenwagen</t>
  </si>
  <si>
    <t>VN</t>
  </si>
  <si>
    <t>Verena Nowak</t>
  </si>
  <si>
    <t>DR</t>
  </si>
  <si>
    <t>Doris Rittenschober</t>
  </si>
  <si>
    <t>KE</t>
  </si>
  <si>
    <t>Kristy Ebanks</t>
  </si>
  <si>
    <t>OR</t>
  </si>
  <si>
    <t>Ólafur Reykdal</t>
  </si>
  <si>
    <t>12 Food groups are predefined. Within certain food groups, subgroups as given may be added in a separate column.</t>
  </si>
  <si>
    <t>Code</t>
  </si>
  <si>
    <t>Food group</t>
  </si>
  <si>
    <t>01</t>
  </si>
  <si>
    <t xml:space="preserve">Cereals </t>
  </si>
  <si>
    <t>02</t>
  </si>
  <si>
    <t>Starchy roots and tubers</t>
  </si>
  <si>
    <t>03</t>
  </si>
  <si>
    <t xml:space="preserve">Legumes </t>
  </si>
  <si>
    <t>04</t>
  </si>
  <si>
    <t>Nuts and seeds</t>
  </si>
  <si>
    <t>05</t>
  </si>
  <si>
    <t xml:space="preserve">Vegetables </t>
  </si>
  <si>
    <t>06</t>
  </si>
  <si>
    <t>Fruits</t>
  </si>
  <si>
    <t>07</t>
  </si>
  <si>
    <t>Meat and poultry</t>
  </si>
  <si>
    <t>08</t>
  </si>
  <si>
    <t>Eggs</t>
  </si>
  <si>
    <t>09</t>
  </si>
  <si>
    <t>Fish and shellfish</t>
  </si>
  <si>
    <t>Subgroups</t>
  </si>
  <si>
    <t>Finfish</t>
  </si>
  <si>
    <t>Crustaceans</t>
  </si>
  <si>
    <t>Molluscs</t>
  </si>
  <si>
    <t>10</t>
  </si>
  <si>
    <t>Milk and milk products</t>
  </si>
  <si>
    <t>11</t>
  </si>
  <si>
    <t>Herbs and spices</t>
  </si>
  <si>
    <t>12</t>
  </si>
  <si>
    <t>Miscellaneous</t>
  </si>
  <si>
    <t>Food Item ID</t>
  </si>
  <si>
    <t>Country, region</t>
  </si>
  <si>
    <t>Foodname in own language</t>
  </si>
  <si>
    <t>Foodname in English</t>
  </si>
  <si>
    <t>Season</t>
  </si>
  <si>
    <t>Other</t>
  </si>
  <si>
    <t>Comments on data processing/methods</t>
  </si>
  <si>
    <t>Publication year</t>
  </si>
  <si>
    <t>Latest Revision in Version</t>
  </si>
  <si>
    <t>WATER(g)</t>
  </si>
  <si>
    <t>XN</t>
  </si>
  <si>
    <t>PROT-</t>
  </si>
  <si>
    <t>FATCE(g)</t>
  </si>
  <si>
    <t>FAT-(g)</t>
  </si>
  <si>
    <t>FAUN(g)</t>
  </si>
  <si>
    <t>CHOAVLDF(g)</t>
  </si>
  <si>
    <t>CHOTDF(g)</t>
  </si>
  <si>
    <t>AMYS(g)</t>
  </si>
  <si>
    <t>FIBC(g)</t>
  </si>
  <si>
    <t>FIB-(g)</t>
  </si>
  <si>
    <t>ASH(g)</t>
  </si>
  <si>
    <t>CA(mg)</t>
  </si>
  <si>
    <t>CU(mg)</t>
  </si>
  <si>
    <t>FE(mg)</t>
  </si>
  <si>
    <t>K(mg)</t>
  </si>
  <si>
    <t>MG(mg)</t>
  </si>
  <si>
    <t>NA(mg)</t>
  </si>
  <si>
    <t>P(mg)</t>
  </si>
  <si>
    <t>ZN(mg)</t>
  </si>
  <si>
    <t>THIA(mg)</t>
  </si>
  <si>
    <t>RIBF(mg)</t>
  </si>
  <si>
    <t>NIA-(mg)</t>
  </si>
  <si>
    <t>FRUS(g)</t>
  </si>
  <si>
    <t>GLUS(g)</t>
  </si>
  <si>
    <t>XYLS(g)</t>
  </si>
  <si>
    <t>MALS(g)</t>
  </si>
  <si>
    <t>GALS(g)</t>
  </si>
  <si>
    <t>RIBS(g)</t>
  </si>
  <si>
    <t>WAX(g)</t>
  </si>
  <si>
    <t>FAFRE(g)</t>
  </si>
  <si>
    <t>MGLY(g)</t>
  </si>
  <si>
    <t>DGLY(g)</t>
  </si>
  <si>
    <t>TGLY(g)</t>
  </si>
  <si>
    <t>PHOAC(g)</t>
  </si>
  <si>
    <t>PHOSER(g)</t>
  </si>
  <si>
    <t>PHOETHN(g)</t>
  </si>
  <si>
    <t>PHOINOTL(g)</t>
  </si>
  <si>
    <t>CHLNP(g)</t>
  </si>
  <si>
    <t>F12D0(g)</t>
  </si>
  <si>
    <t>F13D0(g)</t>
  </si>
  <si>
    <t>F14D0(g)</t>
  </si>
  <si>
    <t>F15D0(g)</t>
  </si>
  <si>
    <t>F16D0(g)</t>
  </si>
  <si>
    <t>F17D0(g)</t>
  </si>
  <si>
    <t>F18D0(g)</t>
  </si>
  <si>
    <t>F20D0(g)</t>
  </si>
  <si>
    <t>F21D0(g)</t>
  </si>
  <si>
    <t>F22D0(g)</t>
  </si>
  <si>
    <t>F24D0(g)</t>
  </si>
  <si>
    <t>F16D1(g)</t>
  </si>
  <si>
    <t>F18D1(g)</t>
  </si>
  <si>
    <t>F20D1(g)</t>
  </si>
  <si>
    <t>F22D1(g)</t>
  </si>
  <si>
    <t>F24D1(g)</t>
  </si>
  <si>
    <t>F16D2(g)</t>
  </si>
  <si>
    <t>F18D2(g)</t>
  </si>
  <si>
    <t>F20D2(g)</t>
  </si>
  <si>
    <t>F22D2(g)</t>
  </si>
  <si>
    <t>F18D3(g)</t>
  </si>
  <si>
    <t>ALA(mg)</t>
  </si>
  <si>
    <t>ARG(mg)</t>
  </si>
  <si>
    <t>ASN(mg)</t>
  </si>
  <si>
    <t>CYS(mg)</t>
  </si>
  <si>
    <t>GLU(mg)</t>
  </si>
  <si>
    <t>GLY(mg)</t>
  </si>
  <si>
    <t>HIS(mg)</t>
  </si>
  <si>
    <t>ILE(mg)</t>
  </si>
  <si>
    <t>LEU(mg)</t>
  </si>
  <si>
    <t>LYS(mg)</t>
  </si>
  <si>
    <t>MET(mg)</t>
  </si>
  <si>
    <t>PHE(mg)</t>
  </si>
  <si>
    <t>PRO(mg)</t>
  </si>
  <si>
    <t>SER(mg)</t>
  </si>
  <si>
    <t>THR(mg)</t>
  </si>
  <si>
    <t>TRP(mg)</t>
  </si>
  <si>
    <t>TYR(mg)</t>
  </si>
  <si>
    <t>VAL(mg)</t>
  </si>
  <si>
    <t>AAA(mg)</t>
  </si>
  <si>
    <t>sampling place</t>
  </si>
  <si>
    <t>r: raw, d: dried, p: processed</t>
  </si>
  <si>
    <t>sampling season</t>
  </si>
  <si>
    <t>additional information on factors influencing the nutrient composition</t>
  </si>
  <si>
    <t>Water</t>
  </si>
  <si>
    <t xml:space="preserve">Conversion factor to calculate total protein from nitrogen </t>
  </si>
  <si>
    <t xml:space="preserve">Protein, total; calculated from total nitrogen </t>
  </si>
  <si>
    <t>Protein, total; method of determination unknown or variable</t>
  </si>
  <si>
    <t>Fat, total; derived by analysis using continuous extraction</t>
  </si>
  <si>
    <t>Fat; method of determination unknown or mixed methods</t>
  </si>
  <si>
    <t>Other fatty acids, not specifiied</t>
  </si>
  <si>
    <t>Carbohydrate, available; calculated by difference</t>
  </si>
  <si>
    <t>Carbohydrate, total; calculated by difference</t>
  </si>
  <si>
    <t>Amylose</t>
  </si>
  <si>
    <t>Fibre, crude</t>
  </si>
  <si>
    <t>Fibre; method of determination unknown or variable</t>
  </si>
  <si>
    <t>Ash</t>
  </si>
  <si>
    <t>Calcium</t>
  </si>
  <si>
    <t>Copper</t>
  </si>
  <si>
    <t>Iron, total</t>
  </si>
  <si>
    <t>Potassium</t>
  </si>
  <si>
    <t>Magnesium</t>
  </si>
  <si>
    <t>Sodium</t>
  </si>
  <si>
    <t>Phosphorus</t>
  </si>
  <si>
    <t>Zink</t>
  </si>
  <si>
    <t>Thiamin</t>
  </si>
  <si>
    <t>Riboflavin</t>
  </si>
  <si>
    <t>Niacin; method or form unknown</t>
  </si>
  <si>
    <t>Fructose</t>
  </si>
  <si>
    <t>Glucose</t>
  </si>
  <si>
    <t>Xylose</t>
  </si>
  <si>
    <t>Maltose</t>
  </si>
  <si>
    <t>Galactose</t>
  </si>
  <si>
    <t>Ribose</t>
  </si>
  <si>
    <t>Wax, total</t>
  </si>
  <si>
    <t>Free fatty acids, total</t>
  </si>
  <si>
    <t>Monoglycerides, total</t>
  </si>
  <si>
    <t>Diglycerides, total</t>
  </si>
  <si>
    <t>Triglycerides, total</t>
  </si>
  <si>
    <t>Phosphatidic acid</t>
  </si>
  <si>
    <t>Phosphatidylserine</t>
  </si>
  <si>
    <t>Phosphatidylethanolamine</t>
  </si>
  <si>
    <t>Phosphatidylinositol</t>
  </si>
  <si>
    <t>Phosphatidyl choline</t>
  </si>
  <si>
    <t>Fatty acid 12:0</t>
  </si>
  <si>
    <t>Fatty acid 13:0</t>
  </si>
  <si>
    <t>Fatty acid 14:0</t>
  </si>
  <si>
    <t>Fatty acid 15:0</t>
  </si>
  <si>
    <t>Fatty acid 16:0</t>
  </si>
  <si>
    <t>Fatty acid 17:0</t>
  </si>
  <si>
    <t>Fatty acid 18:0</t>
  </si>
  <si>
    <t>Fatty acid 20:0</t>
  </si>
  <si>
    <t>Fatty acid 21:0</t>
  </si>
  <si>
    <t>Fatty acid 22:0</t>
  </si>
  <si>
    <t>Fatty acid 24:0</t>
  </si>
  <si>
    <t>Fatty acid 16:1</t>
  </si>
  <si>
    <t>Fatty acid 18:1</t>
  </si>
  <si>
    <t>Fatty acid 20:1</t>
  </si>
  <si>
    <t>Fatty acid 22:1</t>
  </si>
  <si>
    <t>Fatty acid 24:1</t>
  </si>
  <si>
    <t>Fatty acid 16:2</t>
  </si>
  <si>
    <t>Fatty acid 18:2</t>
  </si>
  <si>
    <t>Fatty acid 20:2</t>
  </si>
  <si>
    <t>Fatty acid 22:2</t>
  </si>
  <si>
    <t>Fatty acid 18:3</t>
  </si>
  <si>
    <t>Alanine</t>
  </si>
  <si>
    <t>Arginine</t>
  </si>
  <si>
    <t>Asparagine</t>
  </si>
  <si>
    <t>Cystine</t>
  </si>
  <si>
    <t>Glutamic acid</t>
  </si>
  <si>
    <t>Glycine</t>
  </si>
  <si>
    <t>Histidine</t>
  </si>
  <si>
    <t>Isoleucin</t>
  </si>
  <si>
    <t>Leucine</t>
  </si>
  <si>
    <t>Lysine</t>
  </si>
  <si>
    <t>Methionine</t>
  </si>
  <si>
    <t>Phenylalanine</t>
  </si>
  <si>
    <t>Proline</t>
  </si>
  <si>
    <t>Serine</t>
  </si>
  <si>
    <t>Threonine</t>
  </si>
  <si>
    <t>Tryptophan</t>
  </si>
  <si>
    <t>Tyrosine</t>
  </si>
  <si>
    <t>Valine</t>
  </si>
  <si>
    <t>Amino acids, aromatic</t>
  </si>
  <si>
    <t>Unknown</t>
  </si>
  <si>
    <t>Canada</t>
  </si>
  <si>
    <t>Brazil</t>
  </si>
  <si>
    <t>Scientific name</t>
  </si>
  <si>
    <t>BiblioID</t>
  </si>
  <si>
    <t xml:space="preserve">Foodname in </t>
  </si>
  <si>
    <t>Latest version of revision</t>
  </si>
  <si>
    <t>ENERC(kJ) (original)</t>
  </si>
  <si>
    <t>ENERC(kcal) (original)</t>
  </si>
  <si>
    <t>DM(g)</t>
  </si>
  <si>
    <t>PROT-(g)</t>
  </si>
  <si>
    <t>CHO-(g)</t>
  </si>
  <si>
    <t>SUGAR(g)</t>
  </si>
  <si>
    <t>AL(mcg)</t>
  </si>
  <si>
    <t>CO(mcg)</t>
  </si>
  <si>
    <t>MN(mg)</t>
  </si>
  <si>
    <t>PB(mcg)</t>
  </si>
  <si>
    <t>VITA_RAE(mcg)</t>
  </si>
  <si>
    <t>VITA(mcg)</t>
  </si>
  <si>
    <t>CARTBEQ(mcg)</t>
  </si>
  <si>
    <t>CARTB(mcg)</t>
  </si>
  <si>
    <t>CARTBCIS(mcg)</t>
  </si>
  <si>
    <t>LUTN(mcg)</t>
  </si>
  <si>
    <t>NEOX(mcg)</t>
  </si>
  <si>
    <t>VIOLX(mcg)</t>
  </si>
  <si>
    <t>FOL-(mcg)</t>
  </si>
  <si>
    <t>VITC(mg)</t>
  </si>
  <si>
    <t>ASCL(mg)</t>
  </si>
  <si>
    <t>ASCDL(mg)</t>
  </si>
  <si>
    <t>VITC-(mg)</t>
  </si>
  <si>
    <t>AAT18(mg)</t>
  </si>
  <si>
    <t>ASP(mg)</t>
  </si>
  <si>
    <t>PHYTAC(mg)</t>
  </si>
  <si>
    <t>OXALAC(mg)</t>
  </si>
  <si>
    <t>KAEMF(mcg)</t>
  </si>
  <si>
    <t>ISOHA(mcg)</t>
  </si>
  <si>
    <t>TAN(mg)</t>
  </si>
  <si>
    <t>SAPON(mg)</t>
  </si>
  <si>
    <t>Energy (original as from soource)</t>
  </si>
  <si>
    <t>Dry matter</t>
  </si>
  <si>
    <t xml:space="preserve">conversion factor to calculate total protein from nitrogen </t>
  </si>
  <si>
    <t>Protein, total, method of determination unknown or mixed</t>
  </si>
  <si>
    <t>Fat, total, method of determination unknown or mixed methods</t>
  </si>
  <si>
    <t>carbohydrate; method unknown or variable</t>
  </si>
  <si>
    <t>Sugar</t>
  </si>
  <si>
    <t>Fibre, total dietary; determined gravimetrically by the AOAC total dietary fibre method (Prosky and similar methods)</t>
  </si>
  <si>
    <t>Fibre; method of determination unknown or mixed methods</t>
  </si>
  <si>
    <t>Aluminium</t>
  </si>
  <si>
    <t>Cobalt</t>
  </si>
  <si>
    <t>Iron</t>
  </si>
  <si>
    <t>Manganese</t>
  </si>
  <si>
    <t>Lead</t>
  </si>
  <si>
    <t>Vitamin A; retinol activity equivalent</t>
  </si>
  <si>
    <t>Vitamin A; calculated by summation of the vitamin A activities of retinol and the active carotenoids</t>
  </si>
  <si>
    <t>Beta-carotene equivalents</t>
  </si>
  <si>
    <t>Beta-carotene</t>
  </si>
  <si>
    <t>Beta-carotene cis</t>
  </si>
  <si>
    <t>Lutein</t>
  </si>
  <si>
    <t>Neoxanthin</t>
  </si>
  <si>
    <t>Violaxanthin (mcg)</t>
  </si>
  <si>
    <t>Unknown method</t>
  </si>
  <si>
    <t xml:space="preserve">Vitamin C </t>
  </si>
  <si>
    <t>L-ascorbic acid</t>
  </si>
  <si>
    <t>L-dehydroascorbic acid</t>
  </si>
  <si>
    <t>Sum of 18 amino acids (excluding glutamine and asparagine)</t>
  </si>
  <si>
    <t>Aspartic acid</t>
  </si>
  <si>
    <t>Oxalic acid</t>
  </si>
  <si>
    <t>Kaempferol</t>
  </si>
  <si>
    <t>Isohamnetin</t>
  </si>
  <si>
    <t>Quercetin</t>
  </si>
  <si>
    <t>Tannins total</t>
  </si>
  <si>
    <t>Saponin</t>
  </si>
  <si>
    <t>0500355</t>
  </si>
  <si>
    <t>Guatemala, Alta Verapaz</t>
  </si>
  <si>
    <t>Txoloj</t>
  </si>
  <si>
    <t>Bell tree dahlia, raw</t>
  </si>
  <si>
    <t>Dahlia imperialis Roezl</t>
  </si>
  <si>
    <t>Jun, Nov, Dec</t>
  </si>
  <si>
    <t xml:space="preserve">From San Pedro Carcha municipality, consumed by Kekchi-speaking community </t>
  </si>
  <si>
    <t>ve4</t>
  </si>
  <si>
    <t>0500356</t>
  </si>
  <si>
    <t>Bell tree dahlia, cooked</t>
  </si>
  <si>
    <t>From San Pedro Carcha municipality, consumed by Kekchi-speaking community, Cooked, leaves boiled, drained &amp; fried in lard or oil</t>
  </si>
  <si>
    <t>0500357</t>
  </si>
  <si>
    <t>Samat</t>
  </si>
  <si>
    <t>Green leafy vegetables, raw</t>
  </si>
  <si>
    <t>Eryngium foetidum L</t>
  </si>
  <si>
    <t>0500358</t>
  </si>
  <si>
    <t>Green leafy vegetables, cooked</t>
  </si>
  <si>
    <t>From San Pedro Carcha municipality, consumed by Kekchi-speaking community, Cooked, leaves boiled in meat broth</t>
  </si>
  <si>
    <t>0500359</t>
  </si>
  <si>
    <t>Yerba buena</t>
  </si>
  <si>
    <t>Mint, raw</t>
  </si>
  <si>
    <t>Mentha citrata Ehrh</t>
  </si>
  <si>
    <t>From San Pedro Carcha municipality, consumed by Kekchi-speaking community</t>
  </si>
  <si>
    <t>0500360</t>
  </si>
  <si>
    <t>Mint, cooked</t>
  </si>
  <si>
    <t>From San Pedro Carcha municipality, consumed by Kekchi-speaking community, cooked, boiled in meat broth</t>
  </si>
  <si>
    <t>0500361</t>
  </si>
  <si>
    <t xml:space="preserve">Perejil (Spanish name but also used by Kekchi people) </t>
  </si>
  <si>
    <t>Parsley, raw</t>
  </si>
  <si>
    <t>Petroselinum crispum Nym</t>
  </si>
  <si>
    <t>0500362</t>
  </si>
  <si>
    <t>From San Pedro Carcha municipality, consumed by Kekchi-speaking community, cooked, boiled in water leaves and liquid is consumed</t>
  </si>
  <si>
    <t>0500363</t>
  </si>
  <si>
    <t>Tziton</t>
  </si>
  <si>
    <t>Tinantia erecta Jacq</t>
  </si>
  <si>
    <t>0500364</t>
  </si>
  <si>
    <t xml:space="preserve">Frijol (Spanish name but also used by Kekchi people) </t>
  </si>
  <si>
    <t>Cowpea, raw</t>
  </si>
  <si>
    <t>Vigna sesquipedalis Fruwirth</t>
  </si>
  <si>
    <t>0500365</t>
  </si>
  <si>
    <t>Osh</t>
  </si>
  <si>
    <t>Malanga, raw</t>
  </si>
  <si>
    <t>Xanthosoma violaceum Schott</t>
  </si>
  <si>
    <t>0500366</t>
  </si>
  <si>
    <t xml:space="preserve">Tanzania </t>
  </si>
  <si>
    <t>Asystasia, raw</t>
  </si>
  <si>
    <t>Asystasia gangetica</t>
  </si>
  <si>
    <t>ve7</t>
  </si>
  <si>
    <t>0500367</t>
  </si>
  <si>
    <t>Asystasia,boiled</t>
  </si>
  <si>
    <t>Leaves boiled in an slight excess of water which is then disgarded</t>
  </si>
  <si>
    <t>0500368</t>
  </si>
  <si>
    <t>Leaves boiled using very little water</t>
  </si>
  <si>
    <t>0500369</t>
  </si>
  <si>
    <t>Mustard greens, raw</t>
  </si>
  <si>
    <t>Brassica juncea</t>
  </si>
  <si>
    <t>0500370</t>
  </si>
  <si>
    <t>Mustard greens, boiled</t>
  </si>
  <si>
    <t>0500371</t>
  </si>
  <si>
    <t>0500372</t>
  </si>
  <si>
    <t>Tassel flower, raw</t>
  </si>
  <si>
    <t>Emilia javanica</t>
  </si>
  <si>
    <t>0500373</t>
  </si>
  <si>
    <t>Tassel flower, boiled</t>
  </si>
  <si>
    <t>0500374</t>
  </si>
  <si>
    <t>0500375</t>
  </si>
  <si>
    <t>Water williow, raw</t>
  </si>
  <si>
    <t>Justicia insularis</t>
  </si>
  <si>
    <t>0500376</t>
  </si>
  <si>
    <t>Water williow, boiled</t>
  </si>
  <si>
    <t>0500377</t>
  </si>
  <si>
    <t>0500378</t>
  </si>
  <si>
    <t>Daasanach</t>
  </si>
  <si>
    <t>Launaea cornuta</t>
  </si>
  <si>
    <t>0500379</t>
  </si>
  <si>
    <t>Green leafy vegetables, boiled</t>
  </si>
  <si>
    <t>0500380</t>
  </si>
  <si>
    <t>0500381</t>
  </si>
  <si>
    <t>Bladder leaves, raw</t>
  </si>
  <si>
    <t>Physalis peruviana</t>
  </si>
  <si>
    <t>0500382</t>
  </si>
  <si>
    <t>Bladder leaves, boiled</t>
  </si>
  <si>
    <t>0500383</t>
  </si>
  <si>
    <t>0500384</t>
  </si>
  <si>
    <t xml:space="preserve">Knotgrass leaves, raw </t>
  </si>
  <si>
    <t>Polygonum plebeium</t>
  </si>
  <si>
    <t>0500385</t>
  </si>
  <si>
    <t>Knotgrass leaves, boiled</t>
  </si>
  <si>
    <t xml:space="preserve">Leaves boiled in an slight excess of water which is then disgarded </t>
  </si>
  <si>
    <t>0500386</t>
  </si>
  <si>
    <t xml:space="preserve">Leaves boiled using very little water </t>
  </si>
  <si>
    <t>0500387</t>
  </si>
  <si>
    <t>Polygonum salicifolium</t>
  </si>
  <si>
    <t>0500388</t>
  </si>
  <si>
    <t>0500389</t>
  </si>
  <si>
    <t>0500390</t>
  </si>
  <si>
    <t>Nigeria, Akure</t>
  </si>
  <si>
    <t>Ewuro-odo</t>
  </si>
  <si>
    <t xml:space="preserve">Green leafy vegetables, raw </t>
  </si>
  <si>
    <t>Structium sparejanophora</t>
  </si>
  <si>
    <t>Fresh green leafy vegetables rinsed in water and chopped into small pieces</t>
  </si>
  <si>
    <t>ve8</t>
  </si>
  <si>
    <t>0500391</t>
  </si>
  <si>
    <t>Green leafy vegetables, blanched and boiled</t>
  </si>
  <si>
    <t>Fresh green leafy vegetables rinsed in water and chopped into small pieces, blanched in 500ml of boiled water for 5 mins and then drained</t>
  </si>
  <si>
    <t>0500392</t>
  </si>
  <si>
    <t>Atetdaye</t>
  </si>
  <si>
    <t>Prince's feather,raw</t>
  </si>
  <si>
    <t>Amarantus cruentus</t>
  </si>
  <si>
    <t xml:space="preserve">Fresh green leafy vegetables rinsed in water and chopped into small pieces </t>
  </si>
  <si>
    <t>0500393</t>
  </si>
  <si>
    <t>Prince's feather, blanched and boiled</t>
  </si>
  <si>
    <t>0500394</t>
  </si>
  <si>
    <t>Ugu</t>
  </si>
  <si>
    <t>Fluted gourd leaves, raw</t>
  </si>
  <si>
    <t>Telfairia occidentalis</t>
  </si>
  <si>
    <t>0500395</t>
  </si>
  <si>
    <t>Fluted gourd leaves, blanched and boiled</t>
  </si>
  <si>
    <t>0500396</t>
  </si>
  <si>
    <t>Ewedu</t>
  </si>
  <si>
    <t>Jute leaves, raw</t>
  </si>
  <si>
    <t>Corchorus olitorus</t>
  </si>
  <si>
    <t>0500397</t>
  </si>
  <si>
    <t>Jute leaves, blanched and boiled</t>
  </si>
  <si>
    <t>0500398</t>
  </si>
  <si>
    <t>Ewuro</t>
  </si>
  <si>
    <t>Bitter leaf, raw</t>
  </si>
  <si>
    <t>Vernonia amygdalina</t>
  </si>
  <si>
    <t>0500399</t>
  </si>
  <si>
    <t>Bitter leaf, blanched and boiled</t>
  </si>
  <si>
    <t>0500400</t>
  </si>
  <si>
    <t>Efinrin</t>
  </si>
  <si>
    <t>African basil, raw</t>
  </si>
  <si>
    <t>Ocimum gratissimum</t>
  </si>
  <si>
    <t>0500401</t>
  </si>
  <si>
    <t>African basil, boiled</t>
  </si>
  <si>
    <t>0500402</t>
  </si>
  <si>
    <t>Pakistan</t>
  </si>
  <si>
    <t>Cabbage, dried</t>
  </si>
  <si>
    <t>Brassica oleracea var. capitata</t>
  </si>
  <si>
    <t>Fresh green leady vegetables washed with distilled water and dried in a stream of air, cut into small pieces and freeze dried</t>
  </si>
  <si>
    <t>ve9</t>
  </si>
  <si>
    <t>0500403</t>
  </si>
  <si>
    <t>Cabbage, cooked</t>
  </si>
  <si>
    <t>Fresh green leady vegetables washed with distilled water and dried in a stream of air, cut into small pieces and cooked in distilled water for 60 mins - traditional method</t>
  </si>
  <si>
    <t>0500404</t>
  </si>
  <si>
    <t>Colocasia, dried</t>
  </si>
  <si>
    <t>Colocasia esculentum</t>
  </si>
  <si>
    <t>0500405</t>
  </si>
  <si>
    <t>Colocasia, cooked</t>
  </si>
  <si>
    <t xml:space="preserve"> Fresh green leady vegetables washed with distilled water and dried in a stream of air, cut into small pieces and cooked in distilled water for 60 mins - traditional method</t>
  </si>
  <si>
    <t>0500406</t>
  </si>
  <si>
    <t>Cauliflower, dried</t>
  </si>
  <si>
    <t>Brassica oleracea var. botrytis</t>
  </si>
  <si>
    <t>0500407</t>
  </si>
  <si>
    <t>Cauliflower, cooked</t>
  </si>
  <si>
    <t>0500408</t>
  </si>
  <si>
    <t>Gand gobhi</t>
  </si>
  <si>
    <t>Green leafy vegetable, dried</t>
  </si>
  <si>
    <t>Brassica oleracea var. caulorapa</t>
  </si>
  <si>
    <t>0500409</t>
  </si>
  <si>
    <t>Green leafy vegetable, cooked</t>
  </si>
  <si>
    <t>0500410</t>
  </si>
  <si>
    <t>Spinach, dried</t>
  </si>
  <si>
    <t>Spinacea olerace</t>
  </si>
  <si>
    <t>0500411</t>
  </si>
  <si>
    <t>Spinach, cooked</t>
  </si>
  <si>
    <t>0500412</t>
  </si>
  <si>
    <t>Bangladesh, Zinjira, suburb of Dhaka City</t>
  </si>
  <si>
    <t>Helencha sak</t>
  </si>
  <si>
    <t>Harkuch leaves, raw</t>
  </si>
  <si>
    <t>Enhydra fluctuans</t>
  </si>
  <si>
    <t>Oct</t>
  </si>
  <si>
    <t>ve11</t>
  </si>
  <si>
    <t>[8200]</t>
  </si>
  <si>
    <t>0500413</t>
  </si>
  <si>
    <t xml:space="preserve">Lal sak </t>
  </si>
  <si>
    <t>Pigweed leaves, raw</t>
  </si>
  <si>
    <t xml:space="preserve">Amaranthus gangeticus </t>
  </si>
  <si>
    <t>[8000]</t>
  </si>
  <si>
    <t>0500414</t>
  </si>
  <si>
    <t>[7850]</t>
  </si>
  <si>
    <t>0500415</t>
  </si>
  <si>
    <t>Pigweed leaves, cooked</t>
  </si>
  <si>
    <t>Leaves are chopped into small pieces and washed, heated for 7-9 mins in water adhering to the leaves, the fluid which is collected at the bottom is disgarded - leaves are added to pot with salt onion garlic &amp;chillies the mixture is fried in oil for 4-6 mins - rural bangladesh method</t>
  </si>
  <si>
    <t>[5400]</t>
  </si>
  <si>
    <t>0500416</t>
  </si>
  <si>
    <t>[8170]</t>
  </si>
  <si>
    <t>0500417</t>
  </si>
  <si>
    <t>Leaves are chopped into small pieces and washed, salt, oil and spices added and then boiled for 8-10 mins with the lid on, the lid is opened to allow evaporation - rural &amp; urban bangladesh method</t>
  </si>
  <si>
    <t>[7200]</t>
  </si>
  <si>
    <t>0500418</t>
  </si>
  <si>
    <t>Mula sak</t>
  </si>
  <si>
    <t>Radish leaves, raw</t>
  </si>
  <si>
    <t>Raphanus sativus</t>
  </si>
  <si>
    <t>[6300]</t>
  </si>
  <si>
    <t>0500419</t>
  </si>
  <si>
    <t>[7190]</t>
  </si>
  <si>
    <t>0500420</t>
  </si>
  <si>
    <t>Radish leaves, cooked</t>
  </si>
  <si>
    <t>[4300]</t>
  </si>
  <si>
    <t>0500421</t>
  </si>
  <si>
    <t>[6890]</t>
  </si>
  <si>
    <t>0500422</t>
  </si>
  <si>
    <t>[5900]</t>
  </si>
  <si>
    <t>0500423</t>
  </si>
  <si>
    <t>Palang sak</t>
  </si>
  <si>
    <t>Spinach, raw</t>
  </si>
  <si>
    <t>[6400]</t>
  </si>
  <si>
    <t>0500424</t>
  </si>
  <si>
    <t>[7340]</t>
  </si>
  <si>
    <t>0500425</t>
  </si>
  <si>
    <t>[4200]</t>
  </si>
  <si>
    <t>0500426</t>
  </si>
  <si>
    <t>[5910]</t>
  </si>
  <si>
    <t>0500427</t>
  </si>
  <si>
    <t>[5300]</t>
  </si>
  <si>
    <t>0500428</t>
  </si>
  <si>
    <t>Motor sak</t>
  </si>
  <si>
    <t>English pea leaves, raw</t>
  </si>
  <si>
    <t>Pisum sativus</t>
  </si>
  <si>
    <t>[8900]</t>
  </si>
  <si>
    <t>0500429</t>
  </si>
  <si>
    <t>[8970]</t>
  </si>
  <si>
    <t>0500430</t>
  </si>
  <si>
    <t>English pea leaves, cooked</t>
  </si>
  <si>
    <t>[7960]</t>
  </si>
  <si>
    <t>0500431</t>
  </si>
  <si>
    <t>Kachu sak</t>
  </si>
  <si>
    <t>Elephant ear, raw</t>
  </si>
  <si>
    <t>Colocasia antiquorum</t>
  </si>
  <si>
    <t>0500432</t>
  </si>
  <si>
    <t>Kalmi sak</t>
  </si>
  <si>
    <t>Chinese spinach, raw</t>
  </si>
  <si>
    <t>Ipomoea reptans</t>
  </si>
  <si>
    <t>[8300]</t>
  </si>
  <si>
    <t>0500433</t>
  </si>
  <si>
    <t>Lau sak</t>
  </si>
  <si>
    <t>Bottle gourd, raw</t>
  </si>
  <si>
    <t>Langenaria vulgaris</t>
  </si>
  <si>
    <t>[6600]</t>
  </si>
  <si>
    <t>0500434</t>
  </si>
  <si>
    <t>Pat sak</t>
  </si>
  <si>
    <t>Mallow, raw</t>
  </si>
  <si>
    <t>Chorchorus capsularis</t>
  </si>
  <si>
    <t>[10000]</t>
  </si>
  <si>
    <t>0500435</t>
  </si>
  <si>
    <t>Sharisha sak</t>
  </si>
  <si>
    <t>Field mustard, raw</t>
  </si>
  <si>
    <t>Brassica campestris</t>
  </si>
  <si>
    <t>[8800]</t>
  </si>
  <si>
    <t>0500436</t>
  </si>
  <si>
    <t>Sharisha phool (flower)</t>
  </si>
  <si>
    <t>[16000]</t>
  </si>
  <si>
    <t>0500437</t>
  </si>
  <si>
    <t>India</t>
  </si>
  <si>
    <t>Shallow fried in a non-iron pan with vegetable oil, salt, turmeric powder, chilli powder, coriander powder, cumin &amp; tomato, then left in the pan for an hour as is usual practice</t>
  </si>
  <si>
    <t>ve16</t>
  </si>
  <si>
    <t>0500438</t>
  </si>
  <si>
    <t>Shallow fried in an iron pan with vegetable oil, salt, turmeric powder, chilli powder, coriander powder, cumin &amp; tomato, then left in the pan for an hour as is usual practice</t>
  </si>
  <si>
    <t>0500439</t>
  </si>
  <si>
    <t>0500440</t>
  </si>
  <si>
    <t>0500441</t>
  </si>
  <si>
    <t>Bottle gourd</t>
  </si>
  <si>
    <t>Calabash, cooked</t>
  </si>
  <si>
    <t>Lagenaria vulgaris</t>
  </si>
  <si>
    <t>0500442</t>
  </si>
  <si>
    <t>0500443</t>
  </si>
  <si>
    <t>Brazil (South), Sao Paulo, Campinas</t>
  </si>
  <si>
    <t>Butterhead lettuce, dried</t>
  </si>
  <si>
    <t>Lactuca sativa</t>
  </si>
  <si>
    <t>Raw leaves were washed and then dried</t>
  </si>
  <si>
    <t>ve17</t>
  </si>
  <si>
    <t>0500444</t>
  </si>
  <si>
    <t>Rucola, Raw leaves, dried</t>
  </si>
  <si>
    <t>Eruca sativa</t>
  </si>
  <si>
    <t>Leaves were washed and then dried</t>
  </si>
  <si>
    <t>0500445</t>
  </si>
  <si>
    <t>Watercress, dried</t>
  </si>
  <si>
    <t>Nasturtium officinale</t>
  </si>
  <si>
    <t>0500446</t>
  </si>
  <si>
    <t>Kale, dried</t>
  </si>
  <si>
    <t>Brassica oleracea var. acephala</t>
  </si>
  <si>
    <t>0500447</t>
  </si>
  <si>
    <t>Raw leaves were washed, dried and then cooked under dry heat</t>
  </si>
  <si>
    <t>0500448</t>
  </si>
  <si>
    <t>Chinese cabbage, dried</t>
  </si>
  <si>
    <t>Brassica chinensis</t>
  </si>
  <si>
    <t>0500449</t>
  </si>
  <si>
    <t>0500450</t>
  </si>
  <si>
    <t>0500451</t>
  </si>
  <si>
    <t>0500452</t>
  </si>
  <si>
    <t>Spinach substitute, dried</t>
  </si>
  <si>
    <t>Tetragonia expansa</t>
  </si>
  <si>
    <t>0500453</t>
  </si>
  <si>
    <t>India, New Delhi</t>
  </si>
  <si>
    <t>Pusa kiran</t>
  </si>
  <si>
    <t>Amaranth, raw</t>
  </si>
  <si>
    <t>Amaranthus tricolor</t>
  </si>
  <si>
    <t>ve18</t>
  </si>
  <si>
    <t>0500454</t>
  </si>
  <si>
    <t>Amaranth, blanched in water</t>
  </si>
  <si>
    <t>0500455</t>
  </si>
  <si>
    <t>Amaranth, blanched</t>
  </si>
  <si>
    <t>Blanched in plain water followed by potassium metabisulphite dip for 1 min</t>
  </si>
  <si>
    <t>0500456</t>
  </si>
  <si>
    <t>Amaranth, blanched in saltwater</t>
  </si>
  <si>
    <t>0500457</t>
  </si>
  <si>
    <t xml:space="preserve">Blanched in plain water containing salt followed by KMS dip for 1 min </t>
  </si>
  <si>
    <t>0500458</t>
  </si>
  <si>
    <t xml:space="preserve">Blanched in mixture of sodiumbicarbonate, magnesium oxide and KMS at (%C for times ranging from 30 secs - 180 secs </t>
  </si>
  <si>
    <t>0500459</t>
  </si>
  <si>
    <t>Amaranth, dried (sun)</t>
  </si>
  <si>
    <t>0500460</t>
  </si>
  <si>
    <t>Amaranth, dried (solar)</t>
  </si>
  <si>
    <t>0500461</t>
  </si>
  <si>
    <t>Amaranth, dried (shade)</t>
  </si>
  <si>
    <t>0500462</t>
  </si>
  <si>
    <t>Amaranth, dried (cabinet)</t>
  </si>
  <si>
    <t>Cabinet (65C)</t>
  </si>
  <si>
    <t>0500463</t>
  </si>
  <si>
    <t>Amaranth, dried (low temperature)</t>
  </si>
  <si>
    <t>Low temperature (30C)</t>
  </si>
  <si>
    <t>0500464</t>
  </si>
  <si>
    <t>India, Mysore, Manasagangotri</t>
  </si>
  <si>
    <t>Cleaned and washed, cut into small pieces on a wooden chopping board</t>
  </si>
  <si>
    <t>ve21</t>
  </si>
  <si>
    <t>0500465</t>
  </si>
  <si>
    <t>Amaranth, cooked</t>
  </si>
  <si>
    <t>Cleaned and washed, cut into small pieces on a wooden chopping board - Cooked in an steel vessel using an open pan method for 26 mins in 350ml water until soft to touch</t>
  </si>
  <si>
    <t>0500466</t>
  </si>
  <si>
    <t>Cleaned and washed, cut into small pieces on a wooden chopping board - Cooked in an iron vessel using an open pan method for 23 mins in 350ml water until soft to touch</t>
  </si>
  <si>
    <t>0500467</t>
  </si>
  <si>
    <t>Cleaned and washed, cut into small pieces on a wooden chopping board - Cooked in an aluminium vessel using an open pan method for 25 mins in 450ml water until soft to touch</t>
  </si>
  <si>
    <t>0500468</t>
  </si>
  <si>
    <t>Kilkeerai</t>
  </si>
  <si>
    <t>Green leafy vegetable, raw</t>
  </si>
  <si>
    <t xml:space="preserve">Cleaned and washed, cut into small pieces on a wooden chopping board </t>
  </si>
  <si>
    <t>0500469</t>
  </si>
  <si>
    <t>Cleaned and washed, cut into small pieces on a wooden chopping board - Cooked in an steel vessel using an open pan method for 52 mins in 350ml water until soft to touch</t>
  </si>
  <si>
    <t>0500470</t>
  </si>
  <si>
    <t>Cleaned and washed, cut into small pieces on a wooden chopping board - Cooked in an iron vessel using an open pan method for 37 mins in 300ml water until soft to touch</t>
  </si>
  <si>
    <t>0500471</t>
  </si>
  <si>
    <t>Cleaned and washed, cut into small pieces on a wooden chopping board - Cooked in an aluminium vessel using an open pan method for 41 mins in 300ml water until soft to touch</t>
  </si>
  <si>
    <t>0500472</t>
  </si>
  <si>
    <t>Shepu</t>
  </si>
  <si>
    <t>Peucedanum graveolens</t>
  </si>
  <si>
    <t>0500473</t>
  </si>
  <si>
    <t>Cleaned and washed, cut into small pieces on a wooden chopping board - Cooked in an steel vessel using an open pan method for 51 mins in 200ml water until soft to touch</t>
  </si>
  <si>
    <t>0500474</t>
  </si>
  <si>
    <t>Cleaned and washed, cut into small pieces on a wooden chopping board - Cooked in an iron vessel using an open pan method for 44 mins in 200ml water until soft to touch</t>
  </si>
  <si>
    <t>0500475</t>
  </si>
  <si>
    <t>Cleaned and washed, cut into small pieces on a wooden chopping board - Cooked in an aluminium vessel using an open pan method for 46 mins in 400ml water until soft to touch</t>
  </si>
  <si>
    <t>0500476</t>
  </si>
  <si>
    <t>India, Pune</t>
  </si>
  <si>
    <t>Shepu leaves, cooked</t>
  </si>
  <si>
    <t>Cleaned and traditionally cooked via either method I - shallow fried using onions, chilli, salt and oil OR method II - In a curry using gram flour tamarind juice (Jaggery)</t>
  </si>
  <si>
    <t>ve22</t>
  </si>
  <si>
    <t>0500477</t>
  </si>
  <si>
    <t>Mentha spicata</t>
  </si>
  <si>
    <t>0500478</t>
  </si>
  <si>
    <t>Spinacea oleracea</t>
  </si>
  <si>
    <t>0500479</t>
  </si>
  <si>
    <t>0500480</t>
  </si>
  <si>
    <t>Ambat chuka</t>
  </si>
  <si>
    <t>Rumex vasicarius</t>
  </si>
  <si>
    <t>0500481</t>
  </si>
  <si>
    <t>Brassica oleracea</t>
  </si>
  <si>
    <t>0500482</t>
  </si>
  <si>
    <t>Fetid cassia</t>
  </si>
  <si>
    <t>Cassia tora</t>
  </si>
  <si>
    <t>0500483</t>
  </si>
  <si>
    <t>Lettuce, raw</t>
  </si>
  <si>
    <t>0500484</t>
  </si>
  <si>
    <t>Gohl</t>
  </si>
  <si>
    <t>Portulaca oleracea</t>
  </si>
  <si>
    <t>0500485</t>
  </si>
  <si>
    <t>Mustard leaves, cooked</t>
  </si>
  <si>
    <t>0500486</t>
  </si>
  <si>
    <t>Harbhara</t>
  </si>
  <si>
    <t>Cicer arietinum</t>
  </si>
  <si>
    <t>0500487</t>
  </si>
  <si>
    <t>Currypatta, cooked</t>
  </si>
  <si>
    <t>Murraya koenigii</t>
  </si>
  <si>
    <t>0500488</t>
  </si>
  <si>
    <t>Red amaranth, cooked</t>
  </si>
  <si>
    <t>0500489</t>
  </si>
  <si>
    <t>Cabbage,cooked</t>
  </si>
  <si>
    <t xml:space="preserve"> Cleaned and traditionally cooked via either method I - shallow fried using onions, chilli, salt and oil OR method II - In a curry using gram flour tamarind juice (Jaggery)</t>
  </si>
  <si>
    <t>0500490</t>
  </si>
  <si>
    <t>Onion stalk leaves, cooked</t>
  </si>
  <si>
    <t>Allium cepa</t>
  </si>
  <si>
    <t>0500491</t>
  </si>
  <si>
    <t>Cameroon, Ngaoundere</t>
  </si>
  <si>
    <t>Muop / Ndole</t>
  </si>
  <si>
    <t xml:space="preserve">Bitter leaf, raw </t>
  </si>
  <si>
    <t>e</t>
  </si>
  <si>
    <t>Vernonia Calvoana</t>
  </si>
  <si>
    <t>Dry season</t>
  </si>
  <si>
    <t>Rinsed in water to remove dust, sorted and diced</t>
  </si>
  <si>
    <t>ve25</t>
  </si>
  <si>
    <t>[0.231308224]</t>
  </si>
  <si>
    <t>[0.04275152]</t>
  </si>
  <si>
    <t>[0.037801344]</t>
  </si>
  <si>
    <t>[0.044551584]</t>
  </si>
  <si>
    <t>[0.006300224]</t>
  </si>
  <si>
    <t>[0.070652512]</t>
  </si>
  <si>
    <t>[0.026550944]</t>
  </si>
  <si>
    <t>[0.043201536]</t>
  </si>
  <si>
    <t>[0.042301504]</t>
  </si>
  <si>
    <t>[0.039601408]</t>
  </si>
  <si>
    <t>[0.00675024]</t>
  </si>
  <si>
    <t>[0.034651232]</t>
  </si>
  <si>
    <t>[0.031051104]</t>
  </si>
  <si>
    <t>[0.02475088]</t>
  </si>
  <si>
    <t>[0.00450016]</t>
  </si>
  <si>
    <t>[0.010800384]</t>
  </si>
  <si>
    <t>0500492</t>
  </si>
  <si>
    <t>Non-bitter leaf, raw</t>
  </si>
  <si>
    <t>[0.21377664]</t>
  </si>
  <si>
    <t>[0.03690192]</t>
  </si>
  <si>
    <t>[0.03647776]</t>
  </si>
  <si>
    <t>[0.03223616]</t>
  </si>
  <si>
    <t>[0.00551408]</t>
  </si>
  <si>
    <t>[0.07168304]</t>
  </si>
  <si>
    <t>[0.02460128]</t>
  </si>
  <si>
    <t>[0.042416]</t>
  </si>
  <si>
    <t>[0.02714624]</t>
  </si>
  <si>
    <t>[0.04199184]</t>
  </si>
  <si>
    <t>[0.031812]</t>
  </si>
  <si>
    <t>[0.00593824]</t>
  </si>
  <si>
    <t>[0.03011536]</t>
  </si>
  <si>
    <t>[0.03053952]</t>
  </si>
  <si>
    <t>[0.02163216]</t>
  </si>
  <si>
    <t>[0.01781472]</t>
  </si>
  <si>
    <t>[0.01399728]</t>
  </si>
  <si>
    <t>[0.03350864]</t>
  </si>
  <si>
    <t>0500493</t>
  </si>
  <si>
    <t>South Africa</t>
  </si>
  <si>
    <t>Misbredie, raw</t>
  </si>
  <si>
    <t>May</t>
  </si>
  <si>
    <t>Wash whole leaves</t>
  </si>
  <si>
    <t>ve26</t>
  </si>
  <si>
    <t>0500494</t>
  </si>
  <si>
    <t xml:space="preserve">Misbredie, cooked </t>
  </si>
  <si>
    <t>Wash whole leaves and add 119 g to 350ml of boiling water for 15 mins - pot covered</t>
  </si>
  <si>
    <t>0500495</t>
  </si>
  <si>
    <t>Nigeria, Uyo, farms at Aka, Afaha, Offot, Mbak, Ikpa, Ikot oku Nsit, Afaha ube</t>
  </si>
  <si>
    <t>Slippery vine, raw</t>
  </si>
  <si>
    <t>Jun</t>
  </si>
  <si>
    <t>ve27</t>
  </si>
  <si>
    <t>0500496</t>
  </si>
  <si>
    <t xml:space="preserve">Slippery vine, blanched </t>
  </si>
  <si>
    <t>Blanched in hot water at 100C for 5 -6 mins and rapidly cooled to 2C in a freezer</t>
  </si>
  <si>
    <t>0500497</t>
  </si>
  <si>
    <t>Slippery vine, dried (sun)</t>
  </si>
  <si>
    <t>Sundried fro 5 hours daily for two days at 30-32C and room temperature</t>
  </si>
  <si>
    <t>0500498</t>
  </si>
  <si>
    <t>Slippery vine, cooked</t>
  </si>
  <si>
    <t>Soup made with meat, salt onions, maggi, vegetables, oil and boiled for 65 mins</t>
  </si>
  <si>
    <t>0500499</t>
  </si>
  <si>
    <t>Madagascar, Antananarivo, Manjakaray II C</t>
  </si>
  <si>
    <t>Anatsonga - Malagasy name</t>
  </si>
  <si>
    <t>Brassica chinensis var. parachinensis</t>
  </si>
  <si>
    <t>Cooked with tomatoes, onions, soy oil, salt and water - fried drained boiled for 39.8 mins</t>
  </si>
  <si>
    <t>ve29</t>
  </si>
  <si>
    <t>0500500</t>
  </si>
  <si>
    <t>Ramirebaka - Malagasy name</t>
  </si>
  <si>
    <t>Brassica pekinensis var. lour</t>
  </si>
  <si>
    <t>Cooked with tomatoes, onions, soy oil, salt, garlic, jumbo cube and water - fried, blanched, drained boiled for 35.9 mins</t>
  </si>
  <si>
    <t>0500501</t>
  </si>
  <si>
    <t>Petsay - Malagasy name</t>
  </si>
  <si>
    <t xml:space="preserve">Chinese cabbage, cooked </t>
  </si>
  <si>
    <t>Brassica sinensis</t>
  </si>
  <si>
    <t>Cooked with soy oil, salt, garlic, jumbo cube, ginger, pepper and water - fried, blanched, drained boiled for 35.1 mins</t>
  </si>
  <si>
    <t>0500502</t>
  </si>
  <si>
    <t>Anandrano - Malagasy name</t>
  </si>
  <si>
    <t>Watercress, cooked</t>
  </si>
  <si>
    <t>Cooked with tomatoes, onionssoy oil, salt, garlic, jumbo cube and water - fried, drained boiled for 29.5 mins</t>
  </si>
  <si>
    <t>0500503</t>
  </si>
  <si>
    <t>Tisam - Malagasy name</t>
  </si>
  <si>
    <t>Cooked with tomatoes, onions, soy oil, salt, garlic, jumbo cube and water - fried, drained boiled for 35.2 mins</t>
  </si>
  <si>
    <t>0500504</t>
  </si>
  <si>
    <t>Ravim-bomanga - Malagasy name</t>
  </si>
  <si>
    <t xml:space="preserve">Sweet potatoe leaves, cooked  </t>
  </si>
  <si>
    <t>Ipomoea batatas L. Lam</t>
  </si>
  <si>
    <t>Cooked with tomatoes, onions, soy oil, salt, garlic, jumbo cube and water - fried drained boiled for 39.8 mins</t>
  </si>
  <si>
    <t>0500505</t>
  </si>
  <si>
    <t>Nigeria, Port Harcourt, Aba-road</t>
  </si>
  <si>
    <t>Green leaf, dried</t>
  </si>
  <si>
    <t xml:space="preserve">Leaf at early stage; sun dried and then further dried in an oven at 80C for 12 hours </t>
  </si>
  <si>
    <t>ve32</t>
  </si>
  <si>
    <t>0500506</t>
  </si>
  <si>
    <t>Green leaf, cooked</t>
  </si>
  <si>
    <t>Leaf at early stage; cooked to tenderness in boiling water for 5 mins, then water was then disgarded - then further dried in an oven at 80C for 12 hours</t>
  </si>
  <si>
    <t>0500507</t>
  </si>
  <si>
    <t>Fluted pumpkin leaf, dried</t>
  </si>
  <si>
    <t>Telfairea occidentalis</t>
  </si>
  <si>
    <t>0500508</t>
  </si>
  <si>
    <t>Fluted pumpkin leaf, cooked</t>
  </si>
  <si>
    <t>0500509</t>
  </si>
  <si>
    <t>Oha leaf</t>
  </si>
  <si>
    <t>Pterocarpus soyankii</t>
  </si>
  <si>
    <t>0500510</t>
  </si>
  <si>
    <t>0500511</t>
  </si>
  <si>
    <t>USA, Alabama, Hazel green</t>
  </si>
  <si>
    <t>Canola, raw</t>
  </si>
  <si>
    <t>Brassica napus L</t>
  </si>
  <si>
    <t>Feb</t>
  </si>
  <si>
    <t>Rosette stage</t>
  </si>
  <si>
    <t>ve33</t>
  </si>
  <si>
    <t>0500512</t>
  </si>
  <si>
    <t>Kale, raw</t>
  </si>
  <si>
    <t>Brassica oleraceae var. acephala</t>
  </si>
  <si>
    <t>0500513</t>
  </si>
  <si>
    <t>Collard greens, raw</t>
  </si>
  <si>
    <t>Brassica oleraceae var. viridis</t>
  </si>
  <si>
    <t>0500514</t>
  </si>
  <si>
    <t>Cabbage, raw</t>
  </si>
  <si>
    <t>0500515</t>
  </si>
  <si>
    <t>Brassica napus var. abilene</t>
  </si>
  <si>
    <t>0500516</t>
  </si>
  <si>
    <t>Brassica napus var. jetton</t>
  </si>
  <si>
    <t>0500517</t>
  </si>
  <si>
    <t>Brassica napus var. kronos</t>
  </si>
  <si>
    <t>0500518</t>
  </si>
  <si>
    <t>Canola, dried</t>
  </si>
  <si>
    <t>Brassica napus var. virginia</t>
  </si>
  <si>
    <t>0500519</t>
  </si>
  <si>
    <t>Brassica napus wichita</t>
  </si>
  <si>
    <t>0500520</t>
  </si>
  <si>
    <t>Nigeria, Akure metropolis</t>
  </si>
  <si>
    <t>Solanum africana</t>
  </si>
  <si>
    <t>March</t>
  </si>
  <si>
    <t>Sun-dried</t>
  </si>
  <si>
    <t>ve35</t>
  </si>
  <si>
    <t>0500521</t>
  </si>
  <si>
    <t>USA, Alabama, Tuskegee</t>
  </si>
  <si>
    <t>Brassica oleracea var. viridis</t>
  </si>
  <si>
    <t>ve36</t>
  </si>
  <si>
    <t>0500522</t>
  </si>
  <si>
    <t>0500523</t>
  </si>
  <si>
    <t>Sweet potatoe greens, raw</t>
  </si>
  <si>
    <t>Ipomea batatas</t>
  </si>
  <si>
    <t>0500524</t>
  </si>
  <si>
    <t>South Africa, Kwazulu-Natal, Durban</t>
  </si>
  <si>
    <t>Imbuya</t>
  </si>
  <si>
    <t>Wild spinach, raw</t>
  </si>
  <si>
    <t>Amaranthus dubius</t>
  </si>
  <si>
    <t>ve40</t>
  </si>
  <si>
    <t>0500525</t>
  </si>
  <si>
    <t>Isihobo</t>
  </si>
  <si>
    <t>Hunter's spinach, raw</t>
  </si>
  <si>
    <t>0500526</t>
  </si>
  <si>
    <t>Udonqabathwa</t>
  </si>
  <si>
    <t>Wild foxglove, raw</t>
  </si>
  <si>
    <t>Ceratotheca triloba</t>
  </si>
  <si>
    <t>0500527</t>
  </si>
  <si>
    <t>Isiwisa</t>
  </si>
  <si>
    <t>Spindle-pod, raw</t>
  </si>
  <si>
    <t>Cleome monophylla</t>
  </si>
  <si>
    <t>0500528</t>
  </si>
  <si>
    <t>Uhufafa</t>
  </si>
  <si>
    <t>Jelly melon, raw</t>
  </si>
  <si>
    <t>Cucumis metuliferus</t>
  </si>
  <si>
    <t>0500529</t>
  </si>
  <si>
    <t>Inkunzane</t>
  </si>
  <si>
    <t>Devil's thorn, raw</t>
  </si>
  <si>
    <t>Emex australia</t>
  </si>
  <si>
    <t>0500530</t>
  </si>
  <si>
    <t>Ushukeyana</t>
  </si>
  <si>
    <t>Gallant soldier, raw</t>
  </si>
  <si>
    <t>Galinsoga parviflora</t>
  </si>
  <si>
    <t>0500531</t>
  </si>
  <si>
    <t>Ipela</t>
  </si>
  <si>
    <t>Yellow justicia, raw</t>
  </si>
  <si>
    <t>Justicia flava</t>
  </si>
  <si>
    <t>0500532</t>
  </si>
  <si>
    <t>Untabane</t>
  </si>
  <si>
    <t>Stars talk, raw</t>
  </si>
  <si>
    <t>Oxygonum sinuatum</t>
  </si>
  <si>
    <t>0500533</t>
  </si>
  <si>
    <t>Uqadolo</t>
  </si>
  <si>
    <t>Sticky gooseberry, raw</t>
  </si>
  <si>
    <t>Physalis viscosa</t>
  </si>
  <si>
    <t>0500534</t>
  </si>
  <si>
    <t>Isinyembane</t>
  </si>
  <si>
    <t>Coffee senna, raw</t>
  </si>
  <si>
    <t>Senna occidentalis</t>
  </si>
  <si>
    <t>0500535</t>
  </si>
  <si>
    <t>Umsobosobo</t>
  </si>
  <si>
    <t>Black nightshade, raw</t>
  </si>
  <si>
    <t>Solanum nodiflorum</t>
  </si>
  <si>
    <t>0500536</t>
  </si>
  <si>
    <t>Mexico, Mexico city</t>
  </si>
  <si>
    <t>Brocoli</t>
  </si>
  <si>
    <t>Broccoli leaves, raw</t>
  </si>
  <si>
    <t>ve43</t>
  </si>
  <si>
    <t>0500537</t>
  </si>
  <si>
    <t>Nopales</t>
  </si>
  <si>
    <t>Cactus leaf, raw</t>
  </si>
  <si>
    <t>Opuntia spp</t>
  </si>
  <si>
    <t>0500538</t>
  </si>
  <si>
    <t>Espinaca</t>
  </si>
  <si>
    <t>0500539</t>
  </si>
  <si>
    <t>Berros</t>
  </si>
  <si>
    <t>Watercress, raw</t>
  </si>
  <si>
    <t>Roripa nasturtium-aquaticum</t>
  </si>
  <si>
    <t>0500540</t>
  </si>
  <si>
    <t>Oregano</t>
  </si>
  <si>
    <t>Marjoram, raw</t>
  </si>
  <si>
    <t>Origanum vulgare</t>
  </si>
  <si>
    <t xml:space="preserve">Wild </t>
  </si>
  <si>
    <t>0500541</t>
  </si>
  <si>
    <t>Yerbabuena</t>
  </si>
  <si>
    <t>0500542</t>
  </si>
  <si>
    <t>Perejil</t>
  </si>
  <si>
    <t>0500543</t>
  </si>
  <si>
    <t>Ghana, Kumasi</t>
  </si>
  <si>
    <t>Kaka wie adwe</t>
  </si>
  <si>
    <t>Euphorbia hirta</t>
  </si>
  <si>
    <t>ve48</t>
  </si>
  <si>
    <t>0500544</t>
  </si>
  <si>
    <t>Iehowa dua</t>
  </si>
  <si>
    <t>Ipomoea involucrata</t>
  </si>
  <si>
    <t>0500545</t>
  </si>
  <si>
    <t>Wild lettuce, raw</t>
  </si>
  <si>
    <t>Launaea taxaracifolia</t>
  </si>
  <si>
    <t>0500546</t>
  </si>
  <si>
    <t>Cocoyam leaves, raw</t>
  </si>
  <si>
    <t>Xanthosoma mafaffa</t>
  </si>
  <si>
    <t>0500547</t>
  </si>
  <si>
    <t>India, Hisar (Haryand)</t>
  </si>
  <si>
    <t>ve50</t>
  </si>
  <si>
    <t>0500548</t>
  </si>
  <si>
    <t>0500549</t>
  </si>
  <si>
    <t>0500550</t>
  </si>
  <si>
    <t>Bengal gram, raw</t>
  </si>
  <si>
    <t>0500551</t>
  </si>
  <si>
    <t>Cauliflower, raw</t>
  </si>
  <si>
    <t>0500552</t>
  </si>
  <si>
    <t>0500553</t>
  </si>
  <si>
    <t>0500554</t>
  </si>
  <si>
    <t>0500555</t>
  </si>
  <si>
    <t>0500556</t>
  </si>
  <si>
    <t>0500557</t>
  </si>
  <si>
    <t>Romania</t>
  </si>
  <si>
    <t>Leaf parsley, raw</t>
  </si>
  <si>
    <t>During adulthood</t>
  </si>
  <si>
    <t>PROT- (according to AOAC 1190)</t>
  </si>
  <si>
    <t>ve51</t>
  </si>
  <si>
    <t>0500558</t>
  </si>
  <si>
    <t>Celery leaves, raw</t>
  </si>
  <si>
    <t>Anethum graveolens</t>
  </si>
  <si>
    <t>0500559</t>
  </si>
  <si>
    <t>0500560</t>
  </si>
  <si>
    <t>0500561</t>
  </si>
  <si>
    <t>India (Sout, local market)</t>
  </si>
  <si>
    <t>Amaranthus gangeticus</t>
  </si>
  <si>
    <t>PROT- (according to AOAC 1981)</t>
  </si>
  <si>
    <t>ve52</t>
  </si>
  <si>
    <t>0500562</t>
  </si>
  <si>
    <t>Conventional cooking (boiling, covered) in 100ml of water for 22mins</t>
  </si>
  <si>
    <t>0500563</t>
  </si>
  <si>
    <t>Amaranth, cooked (pressure)</t>
  </si>
  <si>
    <t>Pressure cooking in 85ml of water for 9 mins</t>
  </si>
  <si>
    <t>0500564</t>
  </si>
  <si>
    <t>Amaranth, cooked (microwave)</t>
  </si>
  <si>
    <t>Microwave cooking (covered, using high power only) in 85ml for 14mins</t>
  </si>
  <si>
    <t>0500565</t>
  </si>
  <si>
    <t>0500566</t>
  </si>
  <si>
    <t>Conventional cooking (boiling, covered) in 120ml of water for 18mins</t>
  </si>
  <si>
    <t>0500567</t>
  </si>
  <si>
    <t>Green leafy vegetables, cooked (pressure)</t>
  </si>
  <si>
    <t>Pressure cooking in 85ml of water for 8 mins</t>
  </si>
  <si>
    <t>0500568</t>
  </si>
  <si>
    <t>Green leafy vegetables, cooked (microwave)</t>
  </si>
  <si>
    <t>Microwave cooking (covered, using high power only) in 90ml for 10mins</t>
  </si>
  <si>
    <t>0500569</t>
  </si>
  <si>
    <t>0500570</t>
  </si>
  <si>
    <t>Conventional cooking (boiling, covered) in 175ml for 21mins</t>
  </si>
  <si>
    <t>0500571</t>
  </si>
  <si>
    <t>Pressure cooking in 110ml of water for 8 mins</t>
  </si>
  <si>
    <t>0500572</t>
  </si>
  <si>
    <t>Microwave cooking (covered, using high power only) in 145ml for 10mins</t>
  </si>
  <si>
    <t>0500573</t>
  </si>
  <si>
    <t>0500574</t>
  </si>
  <si>
    <t xml:space="preserve">Spinach, cooked </t>
  </si>
  <si>
    <t>0500575</t>
  </si>
  <si>
    <t>Spinach, cooked (pressure)</t>
  </si>
  <si>
    <t>0500576</t>
  </si>
  <si>
    <t>Spinach, cooked (microwave)</t>
  </si>
  <si>
    <t>0500577</t>
  </si>
  <si>
    <t>Nigeria</t>
  </si>
  <si>
    <t>Osun</t>
  </si>
  <si>
    <t>Solanum sp</t>
  </si>
  <si>
    <t>ve53</t>
  </si>
  <si>
    <t>0500578</t>
  </si>
  <si>
    <t>Green leafy vegetables, blanched</t>
  </si>
  <si>
    <t>Blanched - covered with 30cm3 of extractant and after the water had reduced to 100cm3 the leaves were removed</t>
  </si>
  <si>
    <t>0500579</t>
  </si>
  <si>
    <t>44th day of the harvest</t>
  </si>
  <si>
    <t>Without the addition of any fertilizer</t>
  </si>
  <si>
    <t>ve54</t>
  </si>
  <si>
    <t>0500580</t>
  </si>
  <si>
    <t>With the addition of nitrogen, phosphorus, potassium (150, 50 &amp; 50 kg/h respectively) fertilizer</t>
  </si>
  <si>
    <t>0500581</t>
  </si>
  <si>
    <t>With the addition of nitrogen, phosphorus, potassium, zinc (150, 50, 50 &amp; 20 kg/h respectively) fertilizer</t>
  </si>
  <si>
    <t>0500582</t>
  </si>
  <si>
    <t xml:space="preserve">With the addition of nitrogen, phosphorus, potassium, iron (150, 50, 50 &amp; 10 kg/h respectively) fertilizer </t>
  </si>
  <si>
    <t>0500583</t>
  </si>
  <si>
    <t>With the addition of nitrogen, phosphorus, potassium, zinc, iron (150, 50, 50, 20 &amp; 10 kg/h respectively) fertilizer</t>
  </si>
  <si>
    <t>0500584</t>
  </si>
  <si>
    <t>Rumex vesicarius</t>
  </si>
  <si>
    <t>47th day of the harvest</t>
  </si>
  <si>
    <t>0500585</t>
  </si>
  <si>
    <t>0500586</t>
  </si>
  <si>
    <t xml:space="preserve">With the addition of nitrogen, phosphorus, potassium, zinc (150, 50, 50 &amp; 20 kg/h respectively) fertilizer </t>
  </si>
  <si>
    <t>0500587</t>
  </si>
  <si>
    <t>0500588</t>
  </si>
  <si>
    <t>0500589</t>
  </si>
  <si>
    <t>USA</t>
  </si>
  <si>
    <t>ve55</t>
  </si>
  <si>
    <t>0500590</t>
  </si>
  <si>
    <t>Spinach, steamed</t>
  </si>
  <si>
    <t>Steamed over boiling water for 5 mins</t>
  </si>
  <si>
    <t>0500591</t>
  </si>
  <si>
    <t>Microwaved with a small amount of water in a glass bowl covered with a plastic wrap fpr 5 mins at full power</t>
  </si>
  <si>
    <t>0500592</t>
  </si>
  <si>
    <t>Broccoli Leaves, raw</t>
  </si>
  <si>
    <t>0500593</t>
  </si>
  <si>
    <t>Broccoli leaves, steamed</t>
  </si>
  <si>
    <t>0500594</t>
  </si>
  <si>
    <t>Broccoli leaves, cooked (microwave)</t>
  </si>
  <si>
    <t>Microwaved with a small amount of water in a glass bowl covered with a plastic wrap for 5 mins at full power</t>
  </si>
  <si>
    <t>0500595</t>
  </si>
  <si>
    <t>ve56</t>
  </si>
  <si>
    <t>0500596</t>
  </si>
  <si>
    <t>Cooked in water for 5 mins</t>
  </si>
  <si>
    <t>0500597</t>
  </si>
  <si>
    <t>Cooked in water for 10 mins</t>
  </si>
  <si>
    <t>0500598</t>
  </si>
  <si>
    <t>Cooked in water for 15 mins</t>
  </si>
  <si>
    <t>0500599</t>
  </si>
  <si>
    <t>Cassava Leaves, raw</t>
  </si>
  <si>
    <t xml:space="preserve">Manihot utilissima </t>
  </si>
  <si>
    <t>0500600</t>
  </si>
  <si>
    <t>Cassava Leaves, cooked</t>
  </si>
  <si>
    <t>0500601</t>
  </si>
  <si>
    <t>0500602</t>
  </si>
  <si>
    <t>Cassava Leaves, boiled</t>
  </si>
  <si>
    <t>Subgroup</t>
  </si>
  <si>
    <t>ISSCAAP</t>
  </si>
  <si>
    <t>3_alpha</t>
  </si>
  <si>
    <t>Food name in own language</t>
  </si>
  <si>
    <t>Food name in English</t>
  </si>
  <si>
    <t>ASFIS English name</t>
  </si>
  <si>
    <t>ASFIS Scientific name</t>
  </si>
  <si>
    <t>Compiler</t>
  </si>
  <si>
    <t>Latest revision in version</t>
  </si>
  <si>
    <t>EDIBLE</t>
  </si>
  <si>
    <t>ENERA(kcal)</t>
  </si>
  <si>
    <t>NT(g)</t>
  </si>
  <si>
    <t>NNP(mg)</t>
  </si>
  <si>
    <t>FAT(g)</t>
  </si>
  <si>
    <t>FASAT(g)</t>
  </si>
  <si>
    <t>FAMS(g)</t>
  </si>
  <si>
    <t>FAPU(g)</t>
  </si>
  <si>
    <t>FATRN(g)</t>
  </si>
  <si>
    <t>GLYC(g)</t>
  </si>
  <si>
    <t>AG(mcg)</t>
  </si>
  <si>
    <t>BA(mcg)</t>
  </si>
  <si>
    <t>BRD(mcg)</t>
  </si>
  <si>
    <t>CLD(mg)</t>
  </si>
  <si>
    <t>CR(mcg)</t>
  </si>
  <si>
    <t>ID(mcg)</t>
  </si>
  <si>
    <t>MO(mcg)</t>
  </si>
  <si>
    <t>NACL(mg)</t>
  </si>
  <si>
    <t>NI(mcg)</t>
  </si>
  <si>
    <t>RB(mg)</t>
  </si>
  <si>
    <t>S(mg)</t>
  </si>
  <si>
    <t>SE(mcg)</t>
  </si>
  <si>
    <t>TI(mcg)</t>
  </si>
  <si>
    <t>V(mcg)</t>
  </si>
  <si>
    <t>AS(mcg)</t>
  </si>
  <si>
    <t>CD(mcg)</t>
  </si>
  <si>
    <t>HG(mcg)</t>
  </si>
  <si>
    <t>SN(mcg)</t>
  </si>
  <si>
    <t>SR(mcg)</t>
  </si>
  <si>
    <t>VITA-(mcg)</t>
  </si>
  <si>
    <t>RETOL(mcg)</t>
  </si>
  <si>
    <t>RETOL13(mcg)</t>
  </si>
  <si>
    <t>RETOLDH(mcg)</t>
  </si>
  <si>
    <t>CARTA(mcg)</t>
  </si>
  <si>
    <t>CHOCAL(mcg)</t>
  </si>
  <si>
    <t>ERGSTR(mcg)</t>
  </si>
  <si>
    <t>VITE-(mg)</t>
  </si>
  <si>
    <t>TOCPHA(mg)</t>
  </si>
  <si>
    <t>NIA(mg)</t>
  </si>
  <si>
    <t>PANTAC(mg)</t>
  </si>
  <si>
    <t>VITB6A(mg)</t>
  </si>
  <si>
    <t>VITB6-(mg)</t>
  </si>
  <si>
    <t>PYRXN(mg)</t>
  </si>
  <si>
    <t>PYRXNHCL(mg)</t>
  </si>
  <si>
    <t>FOL(mcg)</t>
  </si>
  <si>
    <t>VITB12(mcg)</t>
  </si>
  <si>
    <t>SUCS(g)</t>
  </si>
  <si>
    <t>AAE-(mg)</t>
  </si>
  <si>
    <t>AAT-(mg)</t>
  </si>
  <si>
    <t>AANE(mg)</t>
  </si>
  <si>
    <t>GLN(mg)</t>
  </si>
  <si>
    <t>HYL(mg)</t>
  </si>
  <si>
    <t>HYP(mg)</t>
  </si>
  <si>
    <t>TAU(mg)</t>
  </si>
  <si>
    <t>ASN_A_ASP(mg)</t>
  </si>
  <si>
    <t>GLN_A_GLU(mg)</t>
  </si>
  <si>
    <t>AAS(mg)</t>
  </si>
  <si>
    <t>CHOLE(mg)</t>
  </si>
  <si>
    <t>CHOL-(mg)</t>
  </si>
  <si>
    <t>PHOLIP(g)</t>
  </si>
  <si>
    <t>STERT(mg)</t>
  </si>
  <si>
    <t>SQUAL(mg)</t>
  </si>
  <si>
    <t>SITSTR(mg)</t>
  </si>
  <si>
    <t>STGSTR(mg)</t>
  </si>
  <si>
    <t>CAMT(mg)</t>
  </si>
  <si>
    <t>BRASTR(mg)</t>
  </si>
  <si>
    <t>F: Farmed; W: Wild</t>
  </si>
  <si>
    <t>Edible portion coefficient</t>
  </si>
  <si>
    <t>Energy, total metabolizable; calculated from the energy-producing food components (original as from source)</t>
  </si>
  <si>
    <t>Energy, gross; determined by direct analysis using bomb calorimetry</t>
  </si>
  <si>
    <t>Nitrogen, total</t>
  </si>
  <si>
    <t>Protein, total; calculated from protein nitrogen</t>
  </si>
  <si>
    <t>Nitrogen, non-protein</t>
  </si>
  <si>
    <t>Fat, total</t>
  </si>
  <si>
    <t>Fatty acids, total saturated</t>
  </si>
  <si>
    <t>Fatty acids, total monounsaturated</t>
  </si>
  <si>
    <t>Fatty acids, total polyunsaturated</t>
  </si>
  <si>
    <t>Other fatty acids, not specified</t>
  </si>
  <si>
    <t>Fatty acids, total trans</t>
  </si>
  <si>
    <t>Carbohydrate; method of determination unknown or variable</t>
  </si>
  <si>
    <t>Glycogen</t>
  </si>
  <si>
    <t>Silver</t>
  </si>
  <si>
    <t>Barium</t>
  </si>
  <si>
    <t>Bromide</t>
  </si>
  <si>
    <t xml:space="preserve">Chloride </t>
  </si>
  <si>
    <t>Chromium</t>
  </si>
  <si>
    <t>Iodine</t>
  </si>
  <si>
    <t>Molybdenum</t>
  </si>
  <si>
    <t>Salt</t>
  </si>
  <si>
    <t>Nickel</t>
  </si>
  <si>
    <t>Rubidium</t>
  </si>
  <si>
    <t>Sulphur</t>
  </si>
  <si>
    <t>Selenium</t>
  </si>
  <si>
    <t>Titanum</t>
  </si>
  <si>
    <t>Vanadium</t>
  </si>
  <si>
    <t>Arsenic</t>
  </si>
  <si>
    <t>Cadmium</t>
  </si>
  <si>
    <t>Mercury</t>
  </si>
  <si>
    <t>Tin</t>
  </si>
  <si>
    <t>Strontium</t>
  </si>
  <si>
    <t>Vitamin A; method or expression unknown</t>
  </si>
  <si>
    <t>Retinol</t>
  </si>
  <si>
    <t>13-cis retinol</t>
  </si>
  <si>
    <t>Dehydroretinol</t>
  </si>
  <si>
    <t>alpha-Carotene</t>
  </si>
  <si>
    <t>beta-Carotene</t>
  </si>
  <si>
    <t>Cholecalciferol (D3)</t>
  </si>
  <si>
    <t>Ergosterol</t>
  </si>
  <si>
    <t>Vitamin E; method or expression unknown</t>
  </si>
  <si>
    <t>alpha-Tocopherol</t>
  </si>
  <si>
    <t>Niacin, preformed</t>
  </si>
  <si>
    <t>Pantothenic acid</t>
  </si>
  <si>
    <t>Vitamin B-6, total; determined by analysis</t>
  </si>
  <si>
    <t>Vitamin B6, method unknown or variable</t>
  </si>
  <si>
    <t>Pyridoxine</t>
  </si>
  <si>
    <t>Pyridoxine HCL</t>
  </si>
  <si>
    <t>Folate, total</t>
  </si>
  <si>
    <t>Vitamin B-12</t>
  </si>
  <si>
    <t>Sucrose</t>
  </si>
  <si>
    <t>Amino acids, total essential; unknown or variable which AS are included in total</t>
  </si>
  <si>
    <t>Amino acids, total; precise definition not specified</t>
  </si>
  <si>
    <t>Amino acids, total non-essential</t>
  </si>
  <si>
    <t>Glutamine</t>
  </si>
  <si>
    <t>Hydroxylysine</t>
  </si>
  <si>
    <t>Hydroxyproline</t>
  </si>
  <si>
    <t>Taurine</t>
  </si>
  <si>
    <t>Asparagine + aspartic acid</t>
  </si>
  <si>
    <t>Glutamine + glutamic acid</t>
  </si>
  <si>
    <t>Amino acids, total sulfur-containing</t>
  </si>
  <si>
    <t>Cholesterol; determined by enzymatic or chromatographic method</t>
  </si>
  <si>
    <t>Cholesterol; method unknown or variable</t>
  </si>
  <si>
    <t>Fatty acids, total free</t>
  </si>
  <si>
    <t>Phospholipids, total</t>
  </si>
  <si>
    <t>Sterols, total</t>
  </si>
  <si>
    <t>Squalene</t>
  </si>
  <si>
    <t>Sitosterol</t>
  </si>
  <si>
    <t>Stigmasterol, unspecified</t>
  </si>
  <si>
    <t>Campesterol, total</t>
  </si>
  <si>
    <t>Brassicasterol</t>
  </si>
  <si>
    <t>0901305</t>
  </si>
  <si>
    <t>Unknown (samples from a retailer market at Ijmuiden, Netherlands)</t>
  </si>
  <si>
    <t>CLZ</t>
  </si>
  <si>
    <t>African catfish, farmed, skinless, bonless fillet, raw</t>
  </si>
  <si>
    <t>Clarias gariepinus</t>
  </si>
  <si>
    <t>North African catfish</t>
  </si>
  <si>
    <t>fi1</t>
  </si>
  <si>
    <t>0901306</t>
  </si>
  <si>
    <t>African catfish, farmed, skinless, boneless fillet, boiled</t>
  </si>
  <si>
    <t>boiled in salted water (1.5%), 100 °C, 7min; relation fish/water 1:2</t>
  </si>
  <si>
    <t>0901307</t>
  </si>
  <si>
    <t>African catfish, farmed, skinless, boneless fillet, fried in vegetable oil</t>
  </si>
  <si>
    <t>fried: fish spiked with 1.5% salt, after 15min salt was partially removed; coated in wheat flour, fried in veg oil: 5min, 180 °C</t>
  </si>
  <si>
    <t>[740.81]</t>
  </si>
  <si>
    <t>[63.32]</t>
  </si>
  <si>
    <t>[21.82]</t>
  </si>
  <si>
    <t>[9.3]</t>
  </si>
  <si>
    <t>[2.3]</t>
  </si>
  <si>
    <t>[11170]</t>
  </si>
  <si>
    <t>[22510]</t>
  </si>
  <si>
    <t>[11340]</t>
  </si>
  <si>
    <t>[1490]</t>
  </si>
  <si>
    <t>[1500]</t>
  </si>
  <si>
    <t>[2380]</t>
  </si>
  <si>
    <t>[3530]</t>
  </si>
  <si>
    <t>[1220]</t>
  </si>
  <si>
    <t>[600]</t>
  </si>
  <si>
    <t>[1010]</t>
  </si>
  <si>
    <t>[2000]</t>
  </si>
  <si>
    <t>[2290]</t>
  </si>
  <si>
    <t>[490]</t>
  </si>
  <si>
    <t>[1050]</t>
  </si>
  <si>
    <t>[1000]</t>
  </si>
  <si>
    <t>[870]</t>
  </si>
  <si>
    <t>[970]</t>
  </si>
  <si>
    <t>[850]</t>
  </si>
  <si>
    <t>[1260]</t>
  </si>
  <si>
    <t>0901308</t>
  </si>
  <si>
    <t>African catfish, farmed, skinless, boneless fillet, grilled</t>
  </si>
  <si>
    <t>grilled: fish spiked with 1.5% salt, after 15min salt was partially removed; electrical grill, 5min at 350 °C</t>
  </si>
  <si>
    <t>0901309</t>
  </si>
  <si>
    <t>Unknown (samples from Istanbul local fish market)</t>
  </si>
  <si>
    <t>HOM</t>
  </si>
  <si>
    <t>Horse mackerel, muscle fillet, raw</t>
  </si>
  <si>
    <t>Trachurus trachurus</t>
  </si>
  <si>
    <t>Atlantic horse mackerel</t>
  </si>
  <si>
    <t>fi3</t>
  </si>
  <si>
    <t>0901310</t>
  </si>
  <si>
    <t>Horse mackerel, muscle fillet, fried in sunflower oil</t>
  </si>
  <si>
    <t>frying at 180 °C</t>
  </si>
  <si>
    <t>0901311</t>
  </si>
  <si>
    <t>Horse mackerel, muscle fillet, grilled</t>
  </si>
  <si>
    <t>electric grill at 180 °C for 30-40min</t>
  </si>
  <si>
    <t>0901312</t>
  </si>
  <si>
    <t>Horse mackerel, muscle fillet, steamed</t>
  </si>
  <si>
    <t>steaming in automatic cooker (10-20 min for 250g)</t>
  </si>
  <si>
    <t>0901313</t>
  </si>
  <si>
    <t>Vietnam (samples obtained from four different local seafood stores, Central Coast, New South Wales, Australia)</t>
  </si>
  <si>
    <t>PGS</t>
  </si>
  <si>
    <t>Tra catfish, farmed, skinless fillet, frozen</t>
  </si>
  <si>
    <t>Pangasius hypophthalmus</t>
  </si>
  <si>
    <t>Striped catfish</t>
  </si>
  <si>
    <t>FA converted using XFA</t>
  </si>
  <si>
    <t>fi5</t>
  </si>
  <si>
    <t>0901314</t>
  </si>
  <si>
    <t>Tasmania (samples obtained from four different local seafood stores, Central Coast, New South Wales, Australia)</t>
  </si>
  <si>
    <t>SAL</t>
  </si>
  <si>
    <t>Atlantic salmon, farmed, skinless fillet, frozen</t>
  </si>
  <si>
    <t>Salmo salar</t>
  </si>
  <si>
    <t>Atlantic salmon</t>
  </si>
  <si>
    <t>0901315</t>
  </si>
  <si>
    <t>Poland</t>
  </si>
  <si>
    <t>FPP</t>
  </si>
  <si>
    <t>Pike perch, farmed, skinless fillet, raw</t>
  </si>
  <si>
    <t>Sander lucioperca</t>
  </si>
  <si>
    <t>Pike-perch</t>
  </si>
  <si>
    <t>Nov</t>
  </si>
  <si>
    <t>EDIBLE = fillet yield (vs fish weight)</t>
  </si>
  <si>
    <t>fi7</t>
  </si>
  <si>
    <t>0901316</t>
  </si>
  <si>
    <t>Turkey, Agean sea</t>
  </si>
  <si>
    <t>BSS</t>
  </si>
  <si>
    <t>Sea bass, farmed, fillet, raw</t>
  </si>
  <si>
    <t>Dicentrarchus labrax</t>
  </si>
  <si>
    <t>European seabass</t>
  </si>
  <si>
    <t>Sep</t>
  </si>
  <si>
    <t>mean length and weight of fish: 31cm, 331g</t>
  </si>
  <si>
    <t>fi9</t>
  </si>
  <si>
    <t>[34330]</t>
  </si>
  <si>
    <t>0901317</t>
  </si>
  <si>
    <t>SBG</t>
  </si>
  <si>
    <t>Sea bream, farmed, fillet, raw</t>
  </si>
  <si>
    <t>Sparus aurata</t>
  </si>
  <si>
    <t>Gilthead seabream</t>
  </si>
  <si>
    <t>mean length and weight of fish: 27.3cm, 278g</t>
  </si>
  <si>
    <t>[51700]</t>
  </si>
  <si>
    <t>0901318</t>
  </si>
  <si>
    <t>DEC</t>
  </si>
  <si>
    <t>Common dentex, farmed, fillet, raw</t>
  </si>
  <si>
    <t>Dentex dentex</t>
  </si>
  <si>
    <t>Common dentex</t>
  </si>
  <si>
    <t>mean length and weight of fish:28.5cm, 540.45g</t>
  </si>
  <si>
    <t>[24099.3]</t>
  </si>
  <si>
    <t>0901319</t>
  </si>
  <si>
    <t>Iran, Khuzestan</t>
  </si>
  <si>
    <t>SVC</t>
  </si>
  <si>
    <t>Silver carp, farmed, fillet, raw</t>
  </si>
  <si>
    <t>Hypophthalmichthys molitrix</t>
  </si>
  <si>
    <t>Silver carp</t>
  </si>
  <si>
    <t>Winter 2009</t>
  </si>
  <si>
    <t>fish weight: 2300-300g</t>
  </si>
  <si>
    <t>fi10</t>
  </si>
  <si>
    <t>[74.15]</t>
  </si>
  <si>
    <t>[17.06]</t>
  </si>
  <si>
    <t>[10.97]</t>
  </si>
  <si>
    <t>[1.27]</t>
  </si>
  <si>
    <t>0901320</t>
  </si>
  <si>
    <t>Silver carp, farmed, fillet, steam-cooked</t>
  </si>
  <si>
    <t>fish weight: 2300-300g; steam-cooked: 102-103 °C, 48min</t>
  </si>
  <si>
    <t>0901321</t>
  </si>
  <si>
    <t>Silver carp, farmed, fillet, oven-baked</t>
  </si>
  <si>
    <t>fish weight: 2300-300g; oven-baked: 175 °C, 60min</t>
  </si>
  <si>
    <t>[67.57]</t>
  </si>
  <si>
    <t>[6.25]</t>
  </si>
  <si>
    <t>[18.66]</t>
  </si>
  <si>
    <t>[7.95]</t>
  </si>
  <si>
    <t>[0.99]</t>
  </si>
  <si>
    <t>0901322</t>
  </si>
  <si>
    <t>Silver carp, farmed, fillet, microwave-cooked</t>
  </si>
  <si>
    <t>fish weight: 2300-300g; 900w microwave oven, 7min</t>
  </si>
  <si>
    <t>0901323</t>
  </si>
  <si>
    <t>Vietnam (samples obtained from Italian markets)</t>
  </si>
  <si>
    <t xml:space="preserve">PGS </t>
  </si>
  <si>
    <t>Sutchi catfish, boneless skinless fillet, frozen</t>
  </si>
  <si>
    <t>fi12</t>
  </si>
  <si>
    <t>0901324</t>
  </si>
  <si>
    <t>Vietnam</t>
  </si>
  <si>
    <t>Tra</t>
  </si>
  <si>
    <t>Sutchi catfish, farmed (conventionally), fillet, glazed, frozen</t>
  </si>
  <si>
    <t>fi13</t>
  </si>
  <si>
    <t>0901325</t>
  </si>
  <si>
    <t>Sutchi catfish, farmed (conventionally), skinless fillet, glazed, frozen</t>
  </si>
  <si>
    <t>0901326</t>
  </si>
  <si>
    <t>0901327</t>
  </si>
  <si>
    <t>Sutchi catfish, farmed (conventionally), skinless fillet portions, glazed, frozen</t>
  </si>
  <si>
    <t>0901328</t>
  </si>
  <si>
    <t>0901329</t>
  </si>
  <si>
    <t>0901330</t>
  </si>
  <si>
    <t>Sutchi catfish, farmed (organically), skinless fillet without belly flaps, glazed, frozen</t>
  </si>
  <si>
    <t>0901331</t>
  </si>
  <si>
    <t>0901332</t>
  </si>
  <si>
    <t>0901333</t>
  </si>
  <si>
    <t>ITP</t>
  </si>
  <si>
    <t>Channel catfish, farmed, skinless fillet, raw</t>
  </si>
  <si>
    <t>Ictalurus punctatus</t>
  </si>
  <si>
    <t>Channel catfish</t>
  </si>
  <si>
    <t>fillet yields range from 24.3%-30.2% (from dressed fish)</t>
  </si>
  <si>
    <t>fi14</t>
  </si>
  <si>
    <t>0901334</t>
  </si>
  <si>
    <t>0901335</t>
  </si>
  <si>
    <t>0901336</t>
  </si>
  <si>
    <t>Channel catfish, farmed, skinless fillet, microwave heating</t>
  </si>
  <si>
    <t>fillets coated with enriched white cornmeal; fried in Mazola corn oil, ratio 4-6g meat/ 100ml oil; fillet yields range from 24.3%-30.2% (from dressed fish)</t>
  </si>
  <si>
    <t>0901337</t>
  </si>
  <si>
    <t>Channel catfish, farmed, skinless fillet, oven baking</t>
  </si>
  <si>
    <t>0901338</t>
  </si>
  <si>
    <t>TLN</t>
  </si>
  <si>
    <t>Nile tilapia, farmed, fillet, raw</t>
  </si>
  <si>
    <t>Oreochromis niloticus</t>
  </si>
  <si>
    <t>Nile tilapia</t>
  </si>
  <si>
    <t>commercial diet of fish (Aceitera la Junta, S.A.): 9.87% moisture, 35.9% protein, 14.65% lipid, 10.4% ash</t>
  </si>
  <si>
    <t>fi15</t>
  </si>
  <si>
    <t>0901339</t>
  </si>
  <si>
    <t>Brazil (samples from fish markets in Maringá, Paraná, Brazil)</t>
  </si>
  <si>
    <t>MDI</t>
  </si>
  <si>
    <t>Barbado</t>
  </si>
  <si>
    <t>Flatwhiskered catfish, wild, skinless, boneless fillets, raw</t>
  </si>
  <si>
    <t>Pinirampus pinirampu</t>
  </si>
  <si>
    <t>Flatwhiskered catfish</t>
  </si>
  <si>
    <t>FA not specified - summed up, entered as &lt;FAUN&gt;; FAME converted using ShF and XFA</t>
  </si>
  <si>
    <t>fi17</t>
  </si>
  <si>
    <t>0901340</t>
  </si>
  <si>
    <t>FCP</t>
  </si>
  <si>
    <t>Carpa</t>
  </si>
  <si>
    <t>Common carp, wild, skinless, boneless fillets, raw</t>
  </si>
  <si>
    <t>Cyprinus carpio</t>
  </si>
  <si>
    <t>Common carp</t>
  </si>
  <si>
    <t>0901341</t>
  </si>
  <si>
    <t>Cascudo abacaxi</t>
  </si>
  <si>
    <t>wild, skinless, boneless fillets, raw</t>
  </si>
  <si>
    <t>Megaloancistrus aculeatus</t>
  </si>
  <si>
    <t>Loricariidae</t>
  </si>
  <si>
    <t>0901342</t>
  </si>
  <si>
    <t>DPG</t>
  </si>
  <si>
    <t>Cascudo cachorro</t>
  </si>
  <si>
    <t>Granulated catfish, wild, skinless, boneless fillets, raw</t>
  </si>
  <si>
    <t>Pterodoras granulosus</t>
  </si>
  <si>
    <t>Granulated catfish</t>
  </si>
  <si>
    <t>0901343</t>
  </si>
  <si>
    <t>LGQ</t>
  </si>
  <si>
    <t>Corvina</t>
  </si>
  <si>
    <t>South American silver croaker, wild, skinless, boneless fillets, raw</t>
  </si>
  <si>
    <t>Plagioscion squamosissimus</t>
  </si>
  <si>
    <t>South American silver croaker</t>
  </si>
  <si>
    <t>0901344</t>
  </si>
  <si>
    <t>PLL</t>
  </si>
  <si>
    <t>Curimba</t>
  </si>
  <si>
    <t>Streaked prochilod, wild, skinless, boneless fillets, raw</t>
  </si>
  <si>
    <t>Prochilodus lineatus</t>
  </si>
  <si>
    <t>Streaked prochilod</t>
  </si>
  <si>
    <t>0901345</t>
  </si>
  <si>
    <t>SXU</t>
  </si>
  <si>
    <t>Dourado</t>
  </si>
  <si>
    <t>Dorado, wild, skinless, boneless fillets, raw</t>
  </si>
  <si>
    <t>Salminus maxillosus</t>
  </si>
  <si>
    <t>Dorado</t>
  </si>
  <si>
    <t>0901346</t>
  </si>
  <si>
    <t>HBY</t>
  </si>
  <si>
    <t>Jurupoca</t>
  </si>
  <si>
    <t>Hemisorubim plathyrhinchos</t>
  </si>
  <si>
    <t>Hemisorubim platyrhynchos</t>
  </si>
  <si>
    <t>0901347</t>
  </si>
  <si>
    <t>MDM</t>
  </si>
  <si>
    <t>Mandi</t>
  </si>
  <si>
    <t>Pimelodus maculatus</t>
  </si>
  <si>
    <t>0901348</t>
  </si>
  <si>
    <t>CSO</t>
  </si>
  <si>
    <t>Pacu</t>
  </si>
  <si>
    <t>Pirapatinga, wild, skinless, boneless fillets, raw</t>
  </si>
  <si>
    <t>Colossoma mitrei</t>
  </si>
  <si>
    <t>Piaractus mesopotamicus</t>
  </si>
  <si>
    <t>0901349</t>
  </si>
  <si>
    <t>Piapara</t>
  </si>
  <si>
    <t>Leporinus elongatus</t>
  </si>
  <si>
    <t>Anostomidae</t>
  </si>
  <si>
    <t>0901350</t>
  </si>
  <si>
    <t>LPD</t>
  </si>
  <si>
    <t>Piau</t>
  </si>
  <si>
    <t>Leporinus friderici</t>
  </si>
  <si>
    <t>0901351</t>
  </si>
  <si>
    <t>UDC</t>
  </si>
  <si>
    <t>Pintado</t>
  </si>
  <si>
    <t>Spotted sorubim, wild, skinless, boneless fillets, raw</t>
  </si>
  <si>
    <t>Pseudoplatystoma corruscans</t>
  </si>
  <si>
    <t>Spotted sorubim</t>
  </si>
  <si>
    <t>0901352</t>
  </si>
  <si>
    <t>Piranha</t>
  </si>
  <si>
    <t>Serrasalmus marginatus</t>
  </si>
  <si>
    <t>Characidae</t>
  </si>
  <si>
    <t>0901353</t>
  </si>
  <si>
    <t>Tilápia</t>
  </si>
  <si>
    <t>Nile tilapia, wild, skinless, boneless fillets, raw</t>
  </si>
  <si>
    <t>0901354</t>
  </si>
  <si>
    <t>Traíra</t>
  </si>
  <si>
    <t>Hoplias malabaricus</t>
  </si>
  <si>
    <t>Erythrinidae</t>
  </si>
  <si>
    <t>0901355</t>
  </si>
  <si>
    <t>TRO</t>
  </si>
  <si>
    <t>Truta</t>
  </si>
  <si>
    <t>Salmus sp.</t>
  </si>
  <si>
    <t>Trouts nei</t>
  </si>
  <si>
    <t>Salmo spp</t>
  </si>
  <si>
    <t>0901356</t>
  </si>
  <si>
    <t>Turkey, Anatalya</t>
  </si>
  <si>
    <t>TRR</t>
  </si>
  <si>
    <t>Rainbow trout, farmed, skinless, boneless fillet, raw</t>
  </si>
  <si>
    <t>Oncorhynchus mykiss</t>
  </si>
  <si>
    <t>Rainbow trout</t>
  </si>
  <si>
    <t xml:space="preserve">mean length and weight of fish: 22.2cm, 195.67g; </t>
  </si>
  <si>
    <t>fi18</t>
  </si>
  <si>
    <t>0901357</t>
  </si>
  <si>
    <t>Rainbow trout, farmed, skinless, boneless fillet, fried (sunflower oil)</t>
  </si>
  <si>
    <t>mean length and weight of fish: 22.2cm, 195.67g; frying: oil temperature 180 °C</t>
  </si>
  <si>
    <t>[62.69]</t>
  </si>
  <si>
    <t>[26.34]</t>
  </si>
  <si>
    <t>[12.7]</t>
  </si>
  <si>
    <t>[1.66]</t>
  </si>
  <si>
    <t>0901358</t>
  </si>
  <si>
    <t>Rainbow trout, farmed, skinless, boneless fillet, boiled</t>
  </si>
  <si>
    <t>mean length and weight of fish: 22.2cm, 195.67g; boiling: in boiling water for 5min</t>
  </si>
  <si>
    <t>[69.16]</t>
  </si>
  <si>
    <t>[20.66]</t>
  </si>
  <si>
    <t>[4.32]</t>
  </si>
  <si>
    <t>[1.61]</t>
  </si>
  <si>
    <t>0901359</t>
  </si>
  <si>
    <t>Rainbow trout, farmed, skinless, boneless fillet, baked</t>
  </si>
  <si>
    <t>[65.3]</t>
  </si>
  <si>
    <t>[23.26]</t>
  </si>
  <si>
    <t>[6.21]</t>
  </si>
  <si>
    <t>[1.41]</t>
  </si>
  <si>
    <t>0901360</t>
  </si>
  <si>
    <t>Rainbow trout, farmed, skinless, boneless fillet, grilled</t>
  </si>
  <si>
    <t>mean length and weight of fish: 22.2cm, 195.67g; grilling: electric grill, 180 °C for 30min</t>
  </si>
  <si>
    <t>0901361</t>
  </si>
  <si>
    <t>Rainbow trout, farmed, skinless, boneless fillet, microwave-cooked</t>
  </si>
  <si>
    <t>mean length and weight of fish: 22.2cm, 195.67g; microwave-cooked: 2450 MHZ, 13min</t>
  </si>
  <si>
    <t>0901362</t>
  </si>
  <si>
    <t>APG</t>
  </si>
  <si>
    <t>Russian sturgeon, farmed, skinless fillet, raw</t>
  </si>
  <si>
    <t>Acipenser guldenstadti</t>
  </si>
  <si>
    <t>Danube sturgeon</t>
  </si>
  <si>
    <t>Acipenser gueldenstaedtii</t>
  </si>
  <si>
    <t>weight: 2300-2600g, 18-24 months; commercial diet: 40-42% protein, 10-14% fat, 8-10% moisture</t>
  </si>
  <si>
    <t>fi20</t>
  </si>
  <si>
    <t>75.2-77.1</t>
  </si>
  <si>
    <t>16.4-17.6</t>
  </si>
  <si>
    <t>4.0-7.0</t>
  </si>
  <si>
    <t>1-1.5</t>
  </si>
  <si>
    <t>0901363</t>
  </si>
  <si>
    <t>APB</t>
  </si>
  <si>
    <t>Siberian sturgeon, farmed, skinless fillet, raw</t>
  </si>
  <si>
    <t>Acipenser baeri</t>
  </si>
  <si>
    <t>Siberian sturgeon</t>
  </si>
  <si>
    <t>Acipenser baerii</t>
  </si>
  <si>
    <t>weight: 2300-2600g, 18-24 months</t>
  </si>
  <si>
    <t>69.5-70.6</t>
  </si>
  <si>
    <t>17.8-19.6</t>
  </si>
  <si>
    <t>8-11.6</t>
  </si>
  <si>
    <t>1.2-1.9</t>
  </si>
  <si>
    <t>0901364</t>
  </si>
  <si>
    <t>USA, North Carolina NC</t>
  </si>
  <si>
    <t>ELA</t>
  </si>
  <si>
    <t>American eel, farmed (18mon), skinless muscle tissue, raw</t>
  </si>
  <si>
    <t>Anguilla rostrata</t>
  </si>
  <si>
    <t>American eel</t>
  </si>
  <si>
    <t>mean body length and weight: 37cm, 136.3g</t>
  </si>
  <si>
    <t>PRO- (analyzed accrding to AOAC 1975); FA converted using XFA</t>
  </si>
  <si>
    <t>fi21</t>
  </si>
  <si>
    <t>0901365</t>
  </si>
  <si>
    <t>Brazil, Amazonian region, Alta Floresta</t>
  </si>
  <si>
    <t>UDF</t>
  </si>
  <si>
    <t>Cachara</t>
  </si>
  <si>
    <t>Barred sorubim, farmed, muscle flesh, raw</t>
  </si>
  <si>
    <t>Pseudoplatystoma fasciatum</t>
  </si>
  <si>
    <t>Barred sorubim</t>
  </si>
  <si>
    <t>Sep (dry season) 2006</t>
  </si>
  <si>
    <t>mean length and weight of fish: 65.8cm, 2130g; commercial fish diet: 26% protein, 13.5% fat, 34% carbohydrates, 14% ash) and small fish (Astyanax spp.)</t>
  </si>
  <si>
    <t>fi22</t>
  </si>
  <si>
    <t>0901366</t>
  </si>
  <si>
    <t>Jan (wet season) 2007</t>
  </si>
  <si>
    <t>mean length and weight of fish: 62.2cm, 2150g; commercial fish diet: 26% protein, 13.5% fat, 34% carbohydrates, 14% ash) and small fish (Astyanax spp.)</t>
  </si>
  <si>
    <t>0901367</t>
  </si>
  <si>
    <t>Sri Lanka, Ibbagamuwa, Bathalagoda tank</t>
  </si>
  <si>
    <t>TLM</t>
  </si>
  <si>
    <t>Tilapia, wild, boneless flesh, raw</t>
  </si>
  <si>
    <t>Oreochromis mossambicus</t>
  </si>
  <si>
    <t>Mozambique tilapia</t>
  </si>
  <si>
    <t>mean length and weight of fish: 11.4cm, 59.2g</t>
  </si>
  <si>
    <t>fi24</t>
  </si>
  <si>
    <t>0901368</t>
  </si>
  <si>
    <t>Sri Lanka, Nikaweratiya, Magala tank</t>
  </si>
  <si>
    <t>FSS</t>
  </si>
  <si>
    <t>Lulla (Sinhala)/Viral (Tamil)</t>
  </si>
  <si>
    <t>Snakehead, wild, boneless flesh, raw</t>
  </si>
  <si>
    <t>Ophicephalus striatus</t>
  </si>
  <si>
    <t>Striped snakehead</t>
  </si>
  <si>
    <t>Channa striata</t>
  </si>
  <si>
    <t>mean length and weight of fish: 24.6cm, 112.0g</t>
  </si>
  <si>
    <t>[75.3]</t>
  </si>
  <si>
    <t>[16.9]</t>
  </si>
  <si>
    <t>[1.7]</t>
  </si>
  <si>
    <t>[1.3]</t>
  </si>
  <si>
    <t>[1]</t>
  </si>
  <si>
    <t>0901369</t>
  </si>
  <si>
    <t>GOU</t>
  </si>
  <si>
    <t>Weligouva (Sinhal)/Uluvai (Tamil)</t>
  </si>
  <si>
    <t>Goby, wild, boneless flesh, raw</t>
  </si>
  <si>
    <t>Glossogobius giurias</t>
  </si>
  <si>
    <t>Tank goby</t>
  </si>
  <si>
    <t>mean length and weight of fish: 18.0cm, 37.2g</t>
  </si>
  <si>
    <t>[336.6]</t>
  </si>
  <si>
    <t>[316.1]</t>
  </si>
  <si>
    <t>[77]</t>
  </si>
  <si>
    <t>[485.5]</t>
  </si>
  <si>
    <t>0901370</t>
  </si>
  <si>
    <t>Unknown (samples obtained from local fish market in Adana)</t>
  </si>
  <si>
    <t>GPW</t>
  </si>
  <si>
    <t>Waker, muscle tissue, raw</t>
  </si>
  <si>
    <t>Epinephelus aeneus</t>
  </si>
  <si>
    <t>Waker</t>
  </si>
  <si>
    <t>fi34</t>
  </si>
  <si>
    <t>0901371</t>
  </si>
  <si>
    <t>GUU</t>
  </si>
  <si>
    <t>Tub gurned, muscle tissue, raw</t>
  </si>
  <si>
    <t>Trigla lucerna</t>
  </si>
  <si>
    <t>Tub gurnard</t>
  </si>
  <si>
    <t>Chelidonichthys lucerna</t>
  </si>
  <si>
    <t>0901372</t>
  </si>
  <si>
    <t>WHG</t>
  </si>
  <si>
    <t>Whitting, muscle tissue, raw</t>
  </si>
  <si>
    <t>Merlangius merlangus</t>
  </si>
  <si>
    <t>Whiting</t>
  </si>
  <si>
    <t>0901373</t>
  </si>
  <si>
    <t>MAC</t>
  </si>
  <si>
    <t>Mackerel, muscle tissue, raw</t>
  </si>
  <si>
    <t>Scomber scombrus</t>
  </si>
  <si>
    <t>Atlantic mackerel</t>
  </si>
  <si>
    <t>0901374</t>
  </si>
  <si>
    <t>BLU</t>
  </si>
  <si>
    <t>Blue fish, muscle tissue, raw</t>
  </si>
  <si>
    <t>Pomatomus saltator</t>
  </si>
  <si>
    <t>Bluefish</t>
  </si>
  <si>
    <t>Pomatomus saltatrix</t>
  </si>
  <si>
    <t>FA converted using XFA; FAPUN6 calculated (sum of individual FA n-6)</t>
  </si>
  <si>
    <t>0901375</t>
  </si>
  <si>
    <t>Sea bream, muscle tissue, raw</t>
  </si>
  <si>
    <t>Sparus auratus</t>
  </si>
  <si>
    <t>0901376</t>
  </si>
  <si>
    <t>Sea bass, muscle tissue, raw</t>
  </si>
  <si>
    <t>0901377</t>
  </si>
  <si>
    <t>SRI</t>
  </si>
  <si>
    <t>Marbled spinefoot, muscle tissue, raw</t>
  </si>
  <si>
    <t>Siganus rivulatus</t>
  </si>
  <si>
    <t>Marbled spinefoot</t>
  </si>
  <si>
    <t>0901378</t>
  </si>
  <si>
    <t>Italy, Calvisano</t>
  </si>
  <si>
    <t>APN</t>
  </si>
  <si>
    <t>White sturgeon, farmed (5kg), boneless, skinless fillet, raw</t>
  </si>
  <si>
    <t>Acipenser transmontanus</t>
  </si>
  <si>
    <t>White sturegeon</t>
  </si>
  <si>
    <t>mean length and weight of fish: 104.5cm, 5525g</t>
  </si>
  <si>
    <t>PRO-/FAT- analyzed according to AOAC 1990</t>
  </si>
  <si>
    <t>fi37</t>
  </si>
  <si>
    <t>0901379</t>
  </si>
  <si>
    <t>White sturgeon, farmed (3yr, 5kg), boneless, skinless fillet, raw</t>
  </si>
  <si>
    <t>Apr 1992</t>
  </si>
  <si>
    <t>PRO-/FAT- analyzed according to AOAC 1990;</t>
  </si>
  <si>
    <t>0901380</t>
  </si>
  <si>
    <t>PRO-/FAT- analyzed according to AOAC 1990; FA calc. based on mean annual lipid value; FA calc. as % of FACID; FACID calculated using CF</t>
  </si>
  <si>
    <t>[2.54]</t>
  </si>
  <si>
    <t>[0.65579849]</t>
  </si>
  <si>
    <t>[0.10911418]</t>
  </si>
  <si>
    <t>0901381</t>
  </si>
  <si>
    <t>July 1992</t>
  </si>
  <si>
    <t>[0.71035558]</t>
  </si>
  <si>
    <t>[0.04676322]</t>
  </si>
  <si>
    <t>0901382</t>
  </si>
  <si>
    <t>Oct 1992</t>
  </si>
  <si>
    <t>[0.59456094]</t>
  </si>
  <si>
    <t>[0.15810422]</t>
  </si>
  <si>
    <t>0901383</t>
  </si>
  <si>
    <t>Jan 1993</t>
  </si>
  <si>
    <t>[0.55781841]</t>
  </si>
  <si>
    <t>[0.12581533]</t>
  </si>
  <si>
    <t>0901384</t>
  </si>
  <si>
    <t>White sturgeon, farmed (5yr, 10kg), boneless, skinless fillet, raw</t>
  </si>
  <si>
    <t>mean length and weight of fish: 119.27cm, 10092g</t>
  </si>
  <si>
    <t>0901385</t>
  </si>
  <si>
    <t>[3.36]</t>
  </si>
  <si>
    <t>[0.79135226]</t>
  </si>
  <si>
    <t>[0.10321986]</t>
  </si>
  <si>
    <t>0901386</t>
  </si>
  <si>
    <t>[0.822767]</t>
  </si>
  <si>
    <t>[0.15557776]</t>
  </si>
  <si>
    <t>0901387</t>
  </si>
  <si>
    <t>[0.89606806]</t>
  </si>
  <si>
    <t>[0.14510618]</t>
  </si>
  <si>
    <t>0901388</t>
  </si>
  <si>
    <t>[0.77340098]</t>
  </si>
  <si>
    <t>[0.1271549]</t>
  </si>
  <si>
    <t>0901389</t>
  </si>
  <si>
    <t>Siberian sturgeon, farmed, white muscle flesh, raw</t>
  </si>
  <si>
    <t>commercial diet (TROUVIT): 50% protein, 18% fat, 9.5% ash, 1% fiber; mean weight of fish and fork length: 90.2cm, 4292g, age 42-54 months</t>
  </si>
  <si>
    <t>FAME converted using ShF and XFA</t>
  </si>
  <si>
    <t>fi40</t>
  </si>
  <si>
    <t>0901390</t>
  </si>
  <si>
    <t>AAA</t>
  </si>
  <si>
    <t>Adriatic sturgeon, farmed, white muscle flesh, raw</t>
  </si>
  <si>
    <t>Acipenser naccarii</t>
  </si>
  <si>
    <t>Adriatic sturgeon</t>
  </si>
  <si>
    <t>commercial diet (TROUVIT): 50% protein, 18% fat, 9.5% ash, 1% fiber; mean weight of fish and fork length: 91.4cm, 4844g, age 42-54 months</t>
  </si>
  <si>
    <t>0901391</t>
  </si>
  <si>
    <t>White sturegeon, farmed, white muscle flesh, raw</t>
  </si>
  <si>
    <t>commercial diet (TROUVIT): 50% protein, 18% fat, 9.5% ash, 1% fiber; mean weight of fish and fork length: 69.6cm, 4974g, age 42-54 months</t>
  </si>
  <si>
    <t>0901392</t>
  </si>
  <si>
    <t>Carp, muscle tissue, raw</t>
  </si>
  <si>
    <t>Jun-Jul 1995</t>
  </si>
  <si>
    <t>mature, female fish; weight: 3500g</t>
  </si>
  <si>
    <t>fi41</t>
  </si>
  <si>
    <t>0901393</t>
  </si>
  <si>
    <t>BIC</t>
  </si>
  <si>
    <t>Bighead carp, muscle tissue, raw</t>
  </si>
  <si>
    <t>Aristichthys nobilis</t>
  </si>
  <si>
    <t>Bighead carp</t>
  </si>
  <si>
    <t>Hypophthalmichthys nobilis</t>
  </si>
  <si>
    <t>mature, female fish; weight: 7000g</t>
  </si>
  <si>
    <t>0901394</t>
  </si>
  <si>
    <t>FPI</t>
  </si>
  <si>
    <t>Pike, muscle tissue, raw</t>
  </si>
  <si>
    <t>Esox lucius</t>
  </si>
  <si>
    <t>Northern pike</t>
  </si>
  <si>
    <t>Mar-Apr 1995</t>
  </si>
  <si>
    <t>mature, female fish; weight: 1500g</t>
  </si>
  <si>
    <t>0901395</t>
  </si>
  <si>
    <t>New Zealand</t>
  </si>
  <si>
    <t>CAH</t>
  </si>
  <si>
    <t>Elephant fish, wild, skinless fillet, frozen</t>
  </si>
  <si>
    <t>Elephantfishes, etc. nei</t>
  </si>
  <si>
    <t>(Callorhinchidae)</t>
  </si>
  <si>
    <t>Jan 1985</t>
  </si>
  <si>
    <t>mean length and weight of fish: 67cm, 2407g</t>
  </si>
  <si>
    <t>fi42</t>
  </si>
  <si>
    <t>0901396</t>
  </si>
  <si>
    <t>CHI</t>
  </si>
  <si>
    <t>Salmon (sea-cage), farmed, female, skinless fillet, frozen</t>
  </si>
  <si>
    <t>Oncorhynchus tshawytscha</t>
  </si>
  <si>
    <t>Chinook salmon</t>
  </si>
  <si>
    <t>Sep 1984</t>
  </si>
  <si>
    <t>mean length and weight of fish: 43cm, 1130g</t>
  </si>
  <si>
    <t>0901397</t>
  </si>
  <si>
    <t>Salmon (freshwater), farmed, skinless fillet, frozen</t>
  </si>
  <si>
    <t>mean length and weight of fish: 25cm, 230g</t>
  </si>
  <si>
    <t>0901398</t>
  </si>
  <si>
    <t>FCY</t>
  </si>
  <si>
    <t>Shir-bot</t>
  </si>
  <si>
    <t>Barb, fillet, raw</t>
  </si>
  <si>
    <t>Barbus grypsus</t>
  </si>
  <si>
    <t>Cyprinidae</t>
  </si>
  <si>
    <t>PRO-/FAT- (analyzed according to AOAC 2000)</t>
  </si>
  <si>
    <t>fi44</t>
  </si>
  <si>
    <t>0901399</t>
  </si>
  <si>
    <t>Berzem</t>
  </si>
  <si>
    <t>Barbus barbilus</t>
  </si>
  <si>
    <t>0901400</t>
  </si>
  <si>
    <t>Capoor</t>
  </si>
  <si>
    <t>Common carp, fillet, raw</t>
  </si>
  <si>
    <t>0901401</t>
  </si>
  <si>
    <t>TRS</t>
  </si>
  <si>
    <t>Ghezel-ala</t>
  </si>
  <si>
    <t>Sea trout, fillet, raw</t>
  </si>
  <si>
    <t>Salmo trutta</t>
  </si>
  <si>
    <t>Sea trout</t>
  </si>
  <si>
    <t>0901402</t>
  </si>
  <si>
    <t>ANE</t>
  </si>
  <si>
    <t>Anchovy, skinless fillet, raw</t>
  </si>
  <si>
    <t>Engraulis encrasicolus</t>
  </si>
  <si>
    <t>European anchovy</t>
  </si>
  <si>
    <t>FA: tr means under the LOQ (0.1 g/100 g total lipids); FAPUN3 and FAPUN6 calc. (sum of individual FA n-3, n-6); Scientific names of species taken from: Sirot V, Guerin T, Volatier J.-L., Leblanc J.-C. (2008). Dieteary exposure and biomarkers of arsenic in consumers of fish and shellfish from France. Science of the Total Environment 407:1875-1885.</t>
  </si>
  <si>
    <t>fi45</t>
  </si>
  <si>
    <t>0901403</t>
  </si>
  <si>
    <t>COD</t>
  </si>
  <si>
    <t>Cod, skinless fillet, raw/frozen</t>
  </si>
  <si>
    <t>Gadus morhua</t>
  </si>
  <si>
    <t>Atlantic cod</t>
  </si>
  <si>
    <t>FA: tr means under the LOQ (0.1 g/100 g total lipids); FAPUN3 and FAPUN6 calc. (sum of individual FA n-3, n-6); Scientific names of species taken from: Sirot V, Guerin T, Volatier J.-L., Leblanc J.-C. (2008). Dieteary exposure and biomarkers of arsenic in</t>
  </si>
  <si>
    <t>0901404</t>
  </si>
  <si>
    <t>ELE</t>
  </si>
  <si>
    <t>Eel, skinless fillet, raw</t>
  </si>
  <si>
    <t>Anguilla anguilla</t>
  </si>
  <si>
    <t>European eel</t>
  </si>
  <si>
    <t>0901405</t>
  </si>
  <si>
    <t>ORY</t>
  </si>
  <si>
    <t>Emperor, skinless fillet, raw/frozen</t>
  </si>
  <si>
    <t>Hoplostethus atlanticus</t>
  </si>
  <si>
    <t>Orange roughy</t>
  </si>
  <si>
    <t>0901406</t>
  </si>
  <si>
    <t>RNG</t>
  </si>
  <si>
    <t>Grenadier, skinless fillet, raw/frozen</t>
  </si>
  <si>
    <t>Coryphaenoides rupestris</t>
  </si>
  <si>
    <t>Roundnose grenadier</t>
  </si>
  <si>
    <t>0901407</t>
  </si>
  <si>
    <t>HAD</t>
  </si>
  <si>
    <t>Haddock, skinless fillet, raw</t>
  </si>
  <si>
    <t>Melanogrammus aeglefinus</t>
  </si>
  <si>
    <t>Haddock</t>
  </si>
  <si>
    <t>0901408</t>
  </si>
  <si>
    <t>HKE</t>
  </si>
  <si>
    <t>Hake, skinless fillet, raw/frozen</t>
  </si>
  <si>
    <t>Merluccius merluccius</t>
  </si>
  <si>
    <t>European hake</t>
  </si>
  <si>
    <t>0901409</t>
  </si>
  <si>
    <t>JOD</t>
  </si>
  <si>
    <t>John dory, skinless fillet, raw/frozen</t>
  </si>
  <si>
    <t>Zeus faber</t>
  </si>
  <si>
    <t>John dory</t>
  </si>
  <si>
    <t>0901410</t>
  </si>
  <si>
    <t>Mackerel, skinless fillet, raw/frozen</t>
  </si>
  <si>
    <t>0901411</t>
  </si>
  <si>
    <t>POL</t>
  </si>
  <si>
    <t>Pollack, skinless fillet, raw</t>
  </si>
  <si>
    <t>Pollachius pollachius</t>
  </si>
  <si>
    <t>Pollack</t>
  </si>
  <si>
    <t>0901412</t>
  </si>
  <si>
    <t>POK</t>
  </si>
  <si>
    <t>Saithe, skinless fillet, raw/frozen</t>
  </si>
  <si>
    <t>Pollachius virens</t>
  </si>
  <si>
    <t>Saithe</t>
  </si>
  <si>
    <t>0901413</t>
  </si>
  <si>
    <t>Salmon, skinless fillet, raw/frozen</t>
  </si>
  <si>
    <t>0901414</t>
  </si>
  <si>
    <t>PIL</t>
  </si>
  <si>
    <t>Sardine, skin-on fillet, raw</t>
  </si>
  <si>
    <t>Sardina pilchardus</t>
  </si>
  <si>
    <t>European pilchard</t>
  </si>
  <si>
    <t>0901415</t>
  </si>
  <si>
    <t>Seabass, skinless fillet, raw/frozen</t>
  </si>
  <si>
    <t>0901416</t>
  </si>
  <si>
    <t>SOL</t>
  </si>
  <si>
    <t>Sole, skinless fillet, raw</t>
  </si>
  <si>
    <t>Solea solea</t>
  </si>
  <si>
    <t>Common sole</t>
  </si>
  <si>
    <t>0901417</t>
  </si>
  <si>
    <t>SWO</t>
  </si>
  <si>
    <t>Swordfish, skinless fillet, raw/frozen</t>
  </si>
  <si>
    <t>Xiphias gladius</t>
  </si>
  <si>
    <t>Swordfish</t>
  </si>
  <si>
    <t>0901418</t>
  </si>
  <si>
    <t>BFT</t>
  </si>
  <si>
    <t>Tuna, skinless fillet, raw/frozen</t>
  </si>
  <si>
    <t>Thunnus thynnus</t>
  </si>
  <si>
    <t>Atlantic bluefin tuna</t>
  </si>
  <si>
    <t>0901419</t>
  </si>
  <si>
    <t>ANF</t>
  </si>
  <si>
    <t>Angler fish, skinless fillet, raw/frozen</t>
  </si>
  <si>
    <t>Lophius piscatorius/Lophius budegassa</t>
  </si>
  <si>
    <t>Anglerfishes nei</t>
  </si>
  <si>
    <t>Lophiidae</t>
  </si>
  <si>
    <t>MON/ANK;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</si>
  <si>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0901420</t>
  </si>
  <si>
    <t>SCL</t>
  </si>
  <si>
    <t>Catshark, skinless fillet, raw</t>
  </si>
  <si>
    <t>Scyliorhinus canicula/Scyliorhinus stellaris</t>
  </si>
  <si>
    <t>Catsharks, nursehounds nei</t>
  </si>
  <si>
    <t>Scyliorhinus spp</t>
  </si>
  <si>
    <t>SYC/SYT;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</si>
  <si>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0901421</t>
  </si>
  <si>
    <t>PLZ</t>
  </si>
  <si>
    <t>Dab, raw, skinless fillet, raw/frozen</t>
  </si>
  <si>
    <t>Limanda limanda/Microstomus kitt</t>
  </si>
  <si>
    <t>Righteye flounders nei</t>
  </si>
  <si>
    <t>Pleuronectidae</t>
  </si>
  <si>
    <t>DAB/LEM;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</si>
  <si>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0901422</t>
  </si>
  <si>
    <t>MUX</t>
  </si>
  <si>
    <t>Goatfish, skinless fillet, raw/frozen</t>
  </si>
  <si>
    <t>Mullus barbattus/Mullus surmuletus</t>
  </si>
  <si>
    <t>Surmullets(=Red mullets) nei</t>
  </si>
  <si>
    <t>Mullus spp</t>
  </si>
  <si>
    <t>MUT/MUR;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</si>
  <si>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0901423</t>
  </si>
  <si>
    <t>GUX</t>
  </si>
  <si>
    <t>Gurnard, skinless fillet, raw/frozen</t>
  </si>
  <si>
    <t>Trigla lucerna/Eurtigla gurnardus/Aspitrigla cuculus</t>
  </si>
  <si>
    <t>Gurnards, searobins nei</t>
  </si>
  <si>
    <t>Triglidae</t>
  </si>
  <si>
    <t>GUG/GUR;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</si>
  <si>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0901424</t>
  </si>
  <si>
    <t>Halibut, skinless fillet, raw/frozen</t>
  </si>
  <si>
    <t>Hippoglossus hippoglossus/Reinhardtius hippoglossoides</t>
  </si>
  <si>
    <t>HAL/GHL;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</si>
  <si>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0901425</t>
  </si>
  <si>
    <t>LNZ</t>
  </si>
  <si>
    <t>Ling, skinless fillet, raw/frozen</t>
  </si>
  <si>
    <t>Molva molva/Molva dypterygia dypterygia</t>
  </si>
  <si>
    <t>Lings nei</t>
  </si>
  <si>
    <t>Molva spp</t>
  </si>
  <si>
    <t>LIN/BLI;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</si>
  <si>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0901426</t>
  </si>
  <si>
    <t>Plaice, skinless fillet, raw/frozen</t>
  </si>
  <si>
    <t>Pleuronectes platessa/Glyptocephalus cynoglossus</t>
  </si>
  <si>
    <t>PLE/WIT;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</si>
  <si>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0901427</t>
  </si>
  <si>
    <t>GAD</t>
  </si>
  <si>
    <t>Pout, skinless fillet, raw</t>
  </si>
  <si>
    <t>Trisopterus luscus/Trisopterus minutus capelanus</t>
  </si>
  <si>
    <t>Gadiformes</t>
  </si>
  <si>
    <t>Gadiformes nei/Gadidae</t>
  </si>
  <si>
    <t>BIB/POD;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</si>
  <si>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0901428</t>
  </si>
  <si>
    <t>SKA</t>
  </si>
  <si>
    <t>Ray, skinless fillet, raw/frozen</t>
  </si>
  <si>
    <t>Raja clavata/Raja naevus/Raja circularis</t>
  </si>
  <si>
    <t>Raja rays nei</t>
  </si>
  <si>
    <t>Raja spp</t>
  </si>
  <si>
    <t>RJC/RJN/RJI;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</si>
  <si>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0901429</t>
  </si>
  <si>
    <t>SCO</t>
  </si>
  <si>
    <t>Scorpionfish, skinless fillet, raw/frozen</t>
  </si>
  <si>
    <t>Scorpaena porcus/Scorpaena scrofa/Helicolenus dactylopterus</t>
  </si>
  <si>
    <t>Scorpionfishes nei</t>
  </si>
  <si>
    <t>Scorpaenidae</t>
  </si>
  <si>
    <t>BBS/RSE/BRF;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</si>
  <si>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0901430</t>
  </si>
  <si>
    <t>SBX</t>
  </si>
  <si>
    <t>Sea bream, skinless fillet, raw</t>
  </si>
  <si>
    <t>Spondyliosoma cantharus/Sparus aurata/Pagellus bogaraveo</t>
  </si>
  <si>
    <t>Porgies, seabreams nei</t>
  </si>
  <si>
    <t>Sparidae</t>
  </si>
  <si>
    <t>BRB/SBG/SBR;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</si>
  <si>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0901431</t>
  </si>
  <si>
    <t>Whiting, skinless fillet, raw/frozen</t>
  </si>
  <si>
    <t>Merlangius merlangus/Micromesistius poutassou</t>
  </si>
  <si>
    <t>WHG/WHB;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</si>
  <si>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0901432</t>
  </si>
  <si>
    <t>CTC</t>
  </si>
  <si>
    <t>Cuttle fish, edible flesh, raw/frozen</t>
  </si>
  <si>
    <t>Sepia officinalis</t>
  </si>
  <si>
    <t>Common cuttlefish</t>
  </si>
  <si>
    <t>0901433</t>
  </si>
  <si>
    <t>SCE</t>
  </si>
  <si>
    <t>Great scallop, edible flesh, raw/frozen</t>
  </si>
  <si>
    <t>Pecten maximus</t>
  </si>
  <si>
    <t>Great Atlantic scallop</t>
  </si>
  <si>
    <t>0901434</t>
  </si>
  <si>
    <t>Crustacean</t>
  </si>
  <si>
    <t>LBE</t>
  </si>
  <si>
    <t>Lobster, edible flesh raw/frozen</t>
  </si>
  <si>
    <t>Homarus gammarus</t>
  </si>
  <si>
    <t>European lobster</t>
  </si>
  <si>
    <t>0901435</t>
  </si>
  <si>
    <t>MUS</t>
  </si>
  <si>
    <t>Mussel, edible flesh, cooked</t>
  </si>
  <si>
    <t>Mytilus edulis</t>
  </si>
  <si>
    <t>Blue mussel</t>
  </si>
  <si>
    <t>0901436</t>
  </si>
  <si>
    <t>OCC</t>
  </si>
  <si>
    <t>Octopus, edible flesh raw/frozen</t>
  </si>
  <si>
    <t>Octopus vulgaris</t>
  </si>
  <si>
    <t>Common octopus</t>
  </si>
  <si>
    <t>0901437</t>
  </si>
  <si>
    <t>NEP</t>
  </si>
  <si>
    <t>Scampi, edible flesh, cooked</t>
  </si>
  <si>
    <t>Nephrops norvegicus</t>
  </si>
  <si>
    <t>Norway Lobster</t>
  </si>
  <si>
    <t>0901438</t>
  </si>
  <si>
    <t>DCP</t>
  </si>
  <si>
    <t>Shrimp, edible flesh, raw/frozen</t>
  </si>
  <si>
    <t>Palaemon serratus/Crangon crangon</t>
  </si>
  <si>
    <t>Natantian decapods nei</t>
  </si>
  <si>
    <t>Natantia/Palaemonidae, Crangonidae</t>
  </si>
  <si>
    <t>CPR/CSH; FA: tr means under the LOQ (0.1 g/100 g total lipids); FAPUN3 and FAPUN6 calc. (sum of individual FA n-3, n-6); Scientific names of species taken from: Sirot V, Guerin T, Volatier J.-L., Leblanc J.-C. (2008). Dieteary exposure and biomarkers of arsenic in consumers of fish and shellfish from France. Science of the Total Environment 407:1875-1885.</t>
  </si>
  <si>
    <t>0901439</t>
  </si>
  <si>
    <t>SQR</t>
  </si>
  <si>
    <t>Squid, edible flesh raw/frozen</t>
  </si>
  <si>
    <t>Loligo vulgaris</t>
  </si>
  <si>
    <t>European squid</t>
  </si>
  <si>
    <t>0901440</t>
  </si>
  <si>
    <t>Anchovy, canned</t>
  </si>
  <si>
    <t>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</si>
  <si>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0901441</t>
  </si>
  <si>
    <t>CRE</t>
  </si>
  <si>
    <t>Crab, canned</t>
  </si>
  <si>
    <t>Cancer pagurus</t>
  </si>
  <si>
    <t>Edible crab</t>
  </si>
  <si>
    <t>0901442</t>
  </si>
  <si>
    <t>Mackerel, canned</t>
  </si>
  <si>
    <t>0901443</t>
  </si>
  <si>
    <t>Pilchard, canned</t>
  </si>
  <si>
    <t>0901444</t>
  </si>
  <si>
    <t>Sardine, canned</t>
  </si>
  <si>
    <t>0901445</t>
  </si>
  <si>
    <t>TUN</t>
  </si>
  <si>
    <t>Tuna, canned</t>
  </si>
  <si>
    <t>Thunnus alalunga/Euthynnus pelamis</t>
  </si>
  <si>
    <t>Tunas nei</t>
  </si>
  <si>
    <t>Thunnini</t>
  </si>
  <si>
    <t>ALB/SKJ;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</si>
  <si>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0901446</t>
  </si>
  <si>
    <t>Haddock, smoked</t>
  </si>
  <si>
    <t>0901447</t>
  </si>
  <si>
    <t>HER</t>
  </si>
  <si>
    <t>Herring, smoked</t>
  </si>
  <si>
    <t>Clupea harengus</t>
  </si>
  <si>
    <t>Atlantic herring</t>
  </si>
  <si>
    <t>0901448</t>
  </si>
  <si>
    <t>Mackerel, smoked</t>
  </si>
  <si>
    <t>0901449</t>
  </si>
  <si>
    <t>Salmon, smoked</t>
  </si>
  <si>
    <t>0901450</t>
  </si>
  <si>
    <t>China, Xiangshan Port</t>
  </si>
  <si>
    <t>LYC</t>
  </si>
  <si>
    <t>Large yellow croaker, farmed (2yr), skinless dorsal fillet, raw</t>
  </si>
  <si>
    <t>Pseudosciaena crocea</t>
  </si>
  <si>
    <t>Large yellow croaker</t>
  </si>
  <si>
    <t>Larimichthys croceus</t>
  </si>
  <si>
    <t>Autumn</t>
  </si>
  <si>
    <t>fish diet: raw fish (Sardinella spp): 70.6% protein, 13.1% fat, 15.5% ash</t>
  </si>
  <si>
    <t>Values expressed per DM - conversionn to FW; FA converted using XFA</t>
  </si>
  <si>
    <t>fi49</t>
  </si>
  <si>
    <t>0901451</t>
  </si>
  <si>
    <t>commercial fish diet: 45.5% protein, 10.9% fat, 12.7% ash</t>
  </si>
  <si>
    <t>0901452</t>
  </si>
  <si>
    <t>Unknown (samples from local fish markets, Malaysia)</t>
  </si>
  <si>
    <t>COM</t>
  </si>
  <si>
    <t>Tenggiri papan</t>
  </si>
  <si>
    <t>Spanish mackerel, fillet, raw</t>
  </si>
  <si>
    <t>Scomberomorus commersonii</t>
  </si>
  <si>
    <t>Narrow-barred Spanish mackerel</t>
  </si>
  <si>
    <t>Scomberomorus commerson</t>
  </si>
  <si>
    <t>fi51</t>
  </si>
  <si>
    <t>0901453</t>
  </si>
  <si>
    <t>RBY</t>
  </si>
  <si>
    <t>Pari</t>
  </si>
  <si>
    <t>Whiptail stingray, fillet, raw</t>
  </si>
  <si>
    <t>Gymnura spp.</t>
  </si>
  <si>
    <t>Butterfly rays</t>
  </si>
  <si>
    <t>0901454</t>
  </si>
  <si>
    <t>FOT</t>
  </si>
  <si>
    <t>Senangin</t>
  </si>
  <si>
    <t>Fourfinger threadfin, fillet, raw</t>
  </si>
  <si>
    <t>Eleutheronema tradactylum</t>
  </si>
  <si>
    <t>Fourfinger threadfin</t>
  </si>
  <si>
    <t>0901455</t>
  </si>
  <si>
    <t>CAE</t>
  </si>
  <si>
    <t>Sembilang</t>
  </si>
  <si>
    <t>Striped sea catfish, fillet, raw</t>
  </si>
  <si>
    <t>Plotosus spp.</t>
  </si>
  <si>
    <t>Eeltail catfishes</t>
  </si>
  <si>
    <t>0901456</t>
  </si>
  <si>
    <t>POB</t>
  </si>
  <si>
    <t>Bawal Hitam</t>
  </si>
  <si>
    <t>Black pomfret, fillet, raw</t>
  </si>
  <si>
    <t>Parastromateus niger</t>
  </si>
  <si>
    <t>Black pomfret</t>
  </si>
  <si>
    <t>0901457</t>
  </si>
  <si>
    <t>SIP</t>
  </si>
  <si>
    <t>Bawal Putih</t>
  </si>
  <si>
    <t>Silver pomfret, fillet, raw</t>
  </si>
  <si>
    <t>Pampus argenteus</t>
  </si>
  <si>
    <t>Silver pomfret</t>
  </si>
  <si>
    <t>0901458</t>
  </si>
  <si>
    <t>FRS</t>
  </si>
  <si>
    <t>Tamban</t>
  </si>
  <si>
    <t>Fringescale sardine, fillet, raw</t>
  </si>
  <si>
    <t>Clupea fimbriata</t>
  </si>
  <si>
    <t>Fringescale sardinella</t>
  </si>
  <si>
    <t>Sardinella fimbriata</t>
  </si>
  <si>
    <t>0901459</t>
  </si>
  <si>
    <t>HAS</t>
  </si>
  <si>
    <t>Cencaru</t>
  </si>
  <si>
    <t>Hardtail pomfret, fillet, raw</t>
  </si>
  <si>
    <t>Magalapsis cordyla</t>
  </si>
  <si>
    <t>Torpedo scad</t>
  </si>
  <si>
    <t>Megalapsis cordyla</t>
  </si>
  <si>
    <t>0901460</t>
  </si>
  <si>
    <t>RAG</t>
  </si>
  <si>
    <t>Kembung</t>
  </si>
  <si>
    <t>Indian mackerel, fillet, raw</t>
  </si>
  <si>
    <t>Rastrelliger kanagurta</t>
  </si>
  <si>
    <t>Indian mackerel</t>
  </si>
  <si>
    <t>0901461</t>
  </si>
  <si>
    <t>TRY</t>
  </si>
  <si>
    <t>Selar Kuning</t>
  </si>
  <si>
    <t>Yellow striped scad, fillet, raw</t>
  </si>
  <si>
    <t>Selarides leptolejus</t>
  </si>
  <si>
    <t>Yellowstripe scad</t>
  </si>
  <si>
    <t>Selaroides leptolepis</t>
  </si>
  <si>
    <t>0901462</t>
  </si>
  <si>
    <t>Turkey</t>
  </si>
  <si>
    <t>Rainbow trout, farmed (freshwater), dorsal muscle flesh, raw</t>
  </si>
  <si>
    <t>Sep-Nov 1994</t>
  </si>
  <si>
    <t>mean length and weight: 29.5cm, 267.5g</t>
  </si>
  <si>
    <t>FAPUN6 calc. (sum of individual FA n-6)</t>
  </si>
  <si>
    <t>fi55</t>
  </si>
  <si>
    <t>0901463</t>
  </si>
  <si>
    <t>Japan, Wakayama</t>
  </si>
  <si>
    <t>PBF</t>
  </si>
  <si>
    <t>Pacific bluefin tuna, farmed, dorsal muscle (F5), raw</t>
  </si>
  <si>
    <t>Thunnus orientalis</t>
  </si>
  <si>
    <t>Pacific bluefin tuna</t>
  </si>
  <si>
    <t>FC-5 final stage of full-cycle tuna</t>
  </si>
  <si>
    <t>fi56</t>
  </si>
  <si>
    <t>0901464</t>
  </si>
  <si>
    <t>Apr 2006</t>
  </si>
  <si>
    <t>mean length and weight: 24.32cm, 256g</t>
  </si>
  <si>
    <t>fi60</t>
  </si>
  <si>
    <t>0901465</t>
  </si>
  <si>
    <t>CBM</t>
  </si>
  <si>
    <t>Brown meagre, farmed, fillet, raw</t>
  </si>
  <si>
    <t>Sciaena umbra</t>
  </si>
  <si>
    <t>Brown meagre</t>
  </si>
  <si>
    <t>mean length and weight: 27.50cm, 228.12g</t>
  </si>
  <si>
    <t>0901466</t>
  </si>
  <si>
    <t>SHR</t>
  </si>
  <si>
    <t>Sharp-snout sea bream, farmed, fillet, raw</t>
  </si>
  <si>
    <t>Diplodus puntazzo</t>
  </si>
  <si>
    <t>Sharpsnout seabream</t>
  </si>
  <si>
    <t>mean length and weight: 23.51cm, 245.12g</t>
  </si>
  <si>
    <t>0901467</t>
  </si>
  <si>
    <t>Thailand, Phan district</t>
  </si>
  <si>
    <t>PNG</t>
  </si>
  <si>
    <t>Pangasius gigas, farmed, dorsal fillet, raw</t>
  </si>
  <si>
    <t>Pangasiandodon gigas</t>
  </si>
  <si>
    <t>Mekong giant catfish</t>
  </si>
  <si>
    <t>Pangasius gigas</t>
  </si>
  <si>
    <t>age ~5yr, 25-30kg</t>
  </si>
  <si>
    <t>fi61</t>
  </si>
  <si>
    <t>0901468</t>
  </si>
  <si>
    <t>Pangasius gigas, farmed, ventral fillet, raw</t>
  </si>
  <si>
    <t>0901469</t>
  </si>
  <si>
    <t>Spain</t>
  </si>
  <si>
    <t>Sharpsnout sea bream, (young &lt;1yr) farmed, dorsal white muscle, raw</t>
  </si>
  <si>
    <t>Nov 1997</t>
  </si>
  <si>
    <t>commercial diet (Trouw-Mar sea bream no.2); mean weight: 200.82g</t>
  </si>
  <si>
    <t>fi62</t>
  </si>
  <si>
    <t>0901470</t>
  </si>
  <si>
    <t>Unknown (samples from local fish market in Riyadh, Saudi Arabia)</t>
  </si>
  <si>
    <t>SSM</t>
  </si>
  <si>
    <t>Kanad</t>
  </si>
  <si>
    <t>Spanish mackerel, muscle tissue (dorsal fillet), raw</t>
  </si>
  <si>
    <t>Scomberomorus maculatus</t>
  </si>
  <si>
    <t>Atlantic Spanish mackerel</t>
  </si>
  <si>
    <t>fi64</t>
  </si>
  <si>
    <t>0901471</t>
  </si>
  <si>
    <t>ENI</t>
  </si>
  <si>
    <t>Hammour</t>
  </si>
  <si>
    <t>Grouper, muscle tissue (dorsal fillet), raw</t>
  </si>
  <si>
    <t>Epinephelus coioides</t>
  </si>
  <si>
    <t>Orange-spotted grouper</t>
  </si>
  <si>
    <t>0901472</t>
  </si>
  <si>
    <t>NGU</t>
  </si>
  <si>
    <t>Hammam</t>
  </si>
  <si>
    <t>Yellow-spotted trevally, muscle tissue (dorsal fillet), raw</t>
  </si>
  <si>
    <t>Carangoides fulvoguttatus</t>
  </si>
  <si>
    <t>Yellowspotted trevally</t>
  </si>
  <si>
    <t>0901473</t>
  </si>
  <si>
    <t>LRH</t>
  </si>
  <si>
    <t>Danbro</t>
  </si>
  <si>
    <t>Rohu, farmed, fillet, raw</t>
  </si>
  <si>
    <t>Labeo roho</t>
  </si>
  <si>
    <t>Roho labeo</t>
  </si>
  <si>
    <t>mean length and weight of fish: 46.80cm, 1500g; commercial fish diet: 10.1% moisture, 67.7% protein, 14.9% fat, 5.90% ash</t>
  </si>
  <si>
    <t>fi69</t>
  </si>
  <si>
    <t>0901474</t>
  </si>
  <si>
    <t>CMG</t>
  </si>
  <si>
    <t>Morakhi</t>
  </si>
  <si>
    <t>Mrigal, farmed, fillet, raw</t>
  </si>
  <si>
    <t>Cirrhinus mrigala</t>
  </si>
  <si>
    <t>Mrigal carp</t>
  </si>
  <si>
    <t>mean length and weight of fish:46.60cm, 1200g; commercial fish diet: 10.1% moisture, 67.7% protein, 14.9% fat, 5.90% ash</t>
  </si>
  <si>
    <t>0901475</t>
  </si>
  <si>
    <t>CTT</t>
  </si>
  <si>
    <t>Thalli</t>
  </si>
  <si>
    <t>Catla, farmed, fillet, raw</t>
  </si>
  <si>
    <t>Catla catla</t>
  </si>
  <si>
    <t>Catla</t>
  </si>
  <si>
    <t>mean length and weight of fish: 48.20cm, 1300g; commercial fish diet: 10.1% moisture, 67.7% protein, 14.9% fat, 5.90% ash</t>
  </si>
  <si>
    <t>0901476</t>
  </si>
  <si>
    <t>Greece</t>
  </si>
  <si>
    <t>Sea bass (young 1yr), farmed, fillet, raw</t>
  </si>
  <si>
    <t>May 2000</t>
  </si>
  <si>
    <t>meand length and weight: 23.8cm, 224g; commercial fish diet (LAKY, Nea Kerasounta): 46% protein, 20% fat, 17.6% carbohydrate, 1.2% crude fibre, 8% moisture, 7.2% ash</t>
  </si>
  <si>
    <t>FA converted using XFA; minerals expressed per DM - conversion to FW</t>
  </si>
  <si>
    <t>fi70</t>
  </si>
  <si>
    <t>0901477</t>
  </si>
  <si>
    <t>Carp, farmed, skinless fillet, raw</t>
  </si>
  <si>
    <t>fi74</t>
  </si>
  <si>
    <t>0901478</t>
  </si>
  <si>
    <t>Trout, farmed, skinless fillet, raw</t>
  </si>
  <si>
    <t>0901479</t>
  </si>
  <si>
    <t>Sutchi catfish, farmed, skinless fillet, frozen</t>
  </si>
  <si>
    <t>0901480</t>
  </si>
  <si>
    <t>China</t>
  </si>
  <si>
    <t>Tilapia, frozen, farmed, skinless fillet, frozen</t>
  </si>
  <si>
    <t>0901481</t>
  </si>
  <si>
    <t>Unknown (samples from local fish market, India)</t>
  </si>
  <si>
    <t>Rohu, meat, raw</t>
  </si>
  <si>
    <t>Labeo rohita</t>
  </si>
  <si>
    <t>May-Oct</t>
  </si>
  <si>
    <t>fi75</t>
  </si>
  <si>
    <t>0901482</t>
  </si>
  <si>
    <t>Catla, meat, raw</t>
  </si>
  <si>
    <t>0901483</t>
  </si>
  <si>
    <t>Mrigal, meat, raw</t>
  </si>
  <si>
    <t>0901484</t>
  </si>
  <si>
    <t>Tilapia, meat, raw</t>
  </si>
  <si>
    <t>0901485</t>
  </si>
  <si>
    <t>Common carp, meat, raw</t>
  </si>
  <si>
    <t>0901486</t>
  </si>
  <si>
    <t>Spain, La Coruna, local aquaculture facility</t>
  </si>
  <si>
    <t>SBR</t>
  </si>
  <si>
    <t>Blackspot seabream, farmed, ventral white muscle fillet, raw</t>
  </si>
  <si>
    <t>Pagellus bogaraveo</t>
  </si>
  <si>
    <t>Blackspot seabream</t>
  </si>
  <si>
    <t>length and weight of fish: 32-35cm, 650-850g; commercial diet: 9.5% moisture, 44.5% protein, 13.5% fat, 23.5% carbohydrate, 9.0% ash</t>
  </si>
  <si>
    <t>fi76</t>
  </si>
  <si>
    <t>0901487</t>
  </si>
  <si>
    <t>Blackspot seabream, farmed, dorsal white muscle fillet, raw</t>
  </si>
  <si>
    <t>0901488</t>
  </si>
  <si>
    <t>Blackspot seabream, farmed, tail white muscle fillet, raw</t>
  </si>
  <si>
    <t>0901489</t>
  </si>
  <si>
    <t>Norway, Stolt seafarm</t>
  </si>
  <si>
    <t>HAL</t>
  </si>
  <si>
    <t>Atlantic halibut, farmed, ventral white fillet (skinless, boneless, visible fat removed), raw</t>
  </si>
  <si>
    <t xml:space="preserve">Hippoglossus hippoglossus </t>
  </si>
  <si>
    <t xml:space="preserve">Atlantic halibut </t>
  </si>
  <si>
    <t>mean length and weight (gutted): 69cm, 4585g; immature fish</t>
  </si>
  <si>
    <t>FA: tr= &lt;0.001g FA/100g muscle</t>
  </si>
  <si>
    <t>fi77</t>
  </si>
  <si>
    <t>0901490</t>
  </si>
  <si>
    <t>King salmon, farmed, skinless fillet, raw</t>
  </si>
  <si>
    <t>May-Aug 2007</t>
  </si>
  <si>
    <t>fi81</t>
  </si>
  <si>
    <t>0901491</t>
  </si>
  <si>
    <t>King salmon, farmed, skinless fillet, poached</t>
  </si>
  <si>
    <t>poached: in boiling water for 3min30sec</t>
  </si>
  <si>
    <t>0901492</t>
  </si>
  <si>
    <t xml:space="preserve">King salmon, farmed, skinless fillet, steamed </t>
  </si>
  <si>
    <t>steaming: for 5min30sec</t>
  </si>
  <si>
    <t>0901493</t>
  </si>
  <si>
    <t>King salmon, farmed, skinless fillet, microwaved</t>
  </si>
  <si>
    <t>microwave-cooking: 100%power, 40sec</t>
  </si>
  <si>
    <t>0901494</t>
  </si>
  <si>
    <t>King salmon, farmed, skinless fillet, oven-baked</t>
  </si>
  <si>
    <t>oven-baking: 180°C, 10 min</t>
  </si>
  <si>
    <t>0901495</t>
  </si>
  <si>
    <t>King salmon, farmed, skinless fillet, pan fried</t>
  </si>
  <si>
    <t>pan-frying: 180°C, 8min</t>
  </si>
  <si>
    <t>0901496</t>
  </si>
  <si>
    <t>King salmon, farmed, skinless fillet, deep fried (sunflower oil)</t>
  </si>
  <si>
    <t>deep-frying: 180°C, 5min</t>
  </si>
  <si>
    <t>0901497</t>
  </si>
  <si>
    <t>Spain, Galicia</t>
  </si>
  <si>
    <t>TUR</t>
  </si>
  <si>
    <t>Turbot, farmed, muscle flesh, raw</t>
  </si>
  <si>
    <t>Psetta maxima</t>
  </si>
  <si>
    <t>Turbot</t>
  </si>
  <si>
    <t>Jan-Dec</t>
  </si>
  <si>
    <t>mean length and weight of fish: 36.0cm,976.7g</t>
  </si>
  <si>
    <t>FA converted using XFA; minerals tr= &lt;0.01mg/100g flesh</t>
  </si>
  <si>
    <t>fi83</t>
  </si>
  <si>
    <t>0901498</t>
  </si>
  <si>
    <t>China, Xiamen Bay</t>
  </si>
  <si>
    <t>Large yellow croaker, farmed, boneless back muscle tissue, raw</t>
  </si>
  <si>
    <t>FAT-/PRO- (analyzed according to AOAC 1990); proximates and AA expressed per DM - conversion to FW</t>
  </si>
  <si>
    <t>fi90</t>
  </si>
  <si>
    <t>0901499</t>
  </si>
  <si>
    <t>BAJ</t>
  </si>
  <si>
    <t>Common sea perch, farmed, boneless back muscle tissue, raw</t>
  </si>
  <si>
    <t>Lateolabrax japonicus</t>
  </si>
  <si>
    <t>Japanese seabass</t>
  </si>
  <si>
    <t>0901500</t>
  </si>
  <si>
    <t>SBP</t>
  </si>
  <si>
    <t>Red sea bream, farmed, boneless back muscle tissue, raw</t>
  </si>
  <si>
    <t>Pagrosomus major</t>
  </si>
  <si>
    <t>Pargo breams nei</t>
  </si>
  <si>
    <t>Pagrus spp</t>
  </si>
  <si>
    <t>0901501</t>
  </si>
  <si>
    <t>AMB</t>
  </si>
  <si>
    <t>Dumeril's amberjack, farmed, boneless back muscle tissue, raw</t>
  </si>
  <si>
    <t>Seriola dumerili</t>
  </si>
  <si>
    <t>Greater amberjack</t>
  </si>
  <si>
    <t>0901502</t>
  </si>
  <si>
    <t>GRX</t>
  </si>
  <si>
    <t>Black grunt, farmed, boneless back muscle tissue, raw</t>
  </si>
  <si>
    <t>Hapalogenys nitens</t>
  </si>
  <si>
    <t>Haemulidae (=Pomadasyidae)</t>
  </si>
  <si>
    <t>0901503</t>
  </si>
  <si>
    <t>Turkey, Gulf of Anatlya</t>
  </si>
  <si>
    <t>Bluefish tuna, farmed, dorsal, caudal, pectoral muscle flesh (bone and skinless), raw</t>
  </si>
  <si>
    <t>Aug 2007</t>
  </si>
  <si>
    <t>fi91</t>
  </si>
  <si>
    <t>[78.69]</t>
  </si>
  <si>
    <t>[18.55]</t>
  </si>
  <si>
    <t>[5.32]</t>
  </si>
  <si>
    <t>[1.03]</t>
  </si>
  <si>
    <t>0901504</t>
  </si>
  <si>
    <t>Sep 2007</t>
  </si>
  <si>
    <t>[67.87]</t>
  </si>
  <si>
    <t>[19.39]</t>
  </si>
  <si>
    <t>[7.66]</t>
  </si>
  <si>
    <t>[1.21]</t>
  </si>
  <si>
    <t>0901505</t>
  </si>
  <si>
    <t>Nov 2007</t>
  </si>
  <si>
    <t>0901506</t>
  </si>
  <si>
    <t>Unknown (samples from local fish market, Istanbul)</t>
  </si>
  <si>
    <t>Common sole, wild, edible muscle tissue, raw</t>
  </si>
  <si>
    <t>Winter (Dec 2006, Jan, Feb 2007)</t>
  </si>
  <si>
    <t>fi92</t>
  </si>
  <si>
    <t>0901507</t>
  </si>
  <si>
    <t>Spring (Mar, Apr, May 2007)</t>
  </si>
  <si>
    <t>0901508</t>
  </si>
  <si>
    <t>Summer (Jun, Jul, Aug 2007)</t>
  </si>
  <si>
    <t>0901509</t>
  </si>
  <si>
    <t>Autumn (Sep, Oct, Nov 2007)</t>
  </si>
  <si>
    <t>0901510</t>
  </si>
  <si>
    <t>MUR</t>
  </si>
  <si>
    <t>Striped red mullet, wild, edible muscle tissue, raw</t>
  </si>
  <si>
    <t>Mullus surmuletus</t>
  </si>
  <si>
    <t>Surmullet</t>
  </si>
  <si>
    <t>0901511</t>
  </si>
  <si>
    <t>0901512</t>
  </si>
  <si>
    <t>0901513</t>
  </si>
  <si>
    <t>0901514</t>
  </si>
  <si>
    <t>Whiting, wild, edible muscle tissue, raw</t>
  </si>
  <si>
    <t>0901515</t>
  </si>
  <si>
    <t>0901516</t>
  </si>
  <si>
    <t>0901517</t>
  </si>
  <si>
    <t>0901518</t>
  </si>
  <si>
    <t>Iran</t>
  </si>
  <si>
    <t>HUH</t>
  </si>
  <si>
    <t>Beluga sturgeon, farmed (1yr), skinless fillet (white and red muscle), raw</t>
  </si>
  <si>
    <t>Huso huso</t>
  </si>
  <si>
    <t>Beluga</t>
  </si>
  <si>
    <t>length and weight of fish: 52-65cm, 910-1510g</t>
  </si>
  <si>
    <t>Proximates expressed per DM - conversion to FW; FA converted using XFA; AAS = sum of methione and cystein;</t>
  </si>
  <si>
    <t>fi93</t>
  </si>
  <si>
    <t>0901519</t>
  </si>
  <si>
    <t>Beluga sturgeon, farmed (2yr), skinless fillet (white and red muscle), raw</t>
  </si>
  <si>
    <t>length and weight of fish: 84-98cm, 4250-6860g</t>
  </si>
  <si>
    <t>0901520</t>
  </si>
  <si>
    <t>Beluga sturgeon, farmed (3yr), skinless fillet (white and red muscle), raw</t>
  </si>
  <si>
    <t>length and weight of fish: 109cm, 9252-12500g</t>
  </si>
  <si>
    <t>0901521</t>
  </si>
  <si>
    <t>Beluga sturgeon, farmed (4yr), skinless dorsal fillet (white and red muscle), raw</t>
  </si>
  <si>
    <t>length and weight of fish: 122-136cm, 15700-18600g</t>
  </si>
  <si>
    <t>0901522</t>
  </si>
  <si>
    <t>Beluga sturgeon, farmed (5yr), skinless dorsal fillet (white and red muscle), raw</t>
  </si>
  <si>
    <t>length and weight of fish: 145-158cm, 19900-24300g</t>
  </si>
  <si>
    <t>0901523</t>
  </si>
  <si>
    <t>Unknown (samples from Turkey, Hatay, local fish market)</t>
  </si>
  <si>
    <t>African catfish, fillet, raw</t>
  </si>
  <si>
    <t>length and weight of fish: 25-30cm, 250-300g</t>
  </si>
  <si>
    <t>Minerals expressed per DM - conversion to FW; Vitamins assumed to be expressed on a FW basis</t>
  </si>
  <si>
    <t>fi97</t>
  </si>
  <si>
    <t>0901524</t>
  </si>
  <si>
    <t>African catfish, fillet, oven-baked</t>
  </si>
  <si>
    <t>length and weight of fish: 25-30cm, 250-300g; oven-baking: 200°C, 5min</t>
  </si>
  <si>
    <t>0901525</t>
  </si>
  <si>
    <t>African catfish, fillet, grilled</t>
  </si>
  <si>
    <t>length and weight of fish: 25-30cm, 250-300g; grilling: 200°C, 10min</t>
  </si>
  <si>
    <t>0901526</t>
  </si>
  <si>
    <t>African catfish, fillet, microwaved</t>
  </si>
  <si>
    <t>length and weight of fish: 25-30cm, 250-300g; microwave-cooking: 2450MHz, 4min</t>
  </si>
  <si>
    <t>0901527</t>
  </si>
  <si>
    <t>African catfish, fillet, fried (sunflower oil)</t>
  </si>
  <si>
    <t xml:space="preserve">length and weight of fish: 25-30cm, 250-300g; </t>
  </si>
  <si>
    <t>0901528</t>
  </si>
  <si>
    <t>Unknown (samples from local fish market, Hyderabad, India)</t>
  </si>
  <si>
    <t>GUT</t>
  </si>
  <si>
    <t>Seer, wild, skinless, muscle flesh, raw</t>
  </si>
  <si>
    <t>Scomberomorus guttatus</t>
  </si>
  <si>
    <t>Indo-Pacific king mackerel</t>
  </si>
  <si>
    <t>Dec 1988-Mar 1989</t>
  </si>
  <si>
    <t>fi98</t>
  </si>
  <si>
    <t>0901529</t>
  </si>
  <si>
    <t>HIL</t>
  </si>
  <si>
    <t>Hilsa (marine), wild, skinless, muscle flesh, raw</t>
  </si>
  <si>
    <t>Hilsa hilsa</t>
  </si>
  <si>
    <t>Hilsa shad</t>
  </si>
  <si>
    <t>Tenualosa ilisha</t>
  </si>
  <si>
    <t>Dec 1988-Mar 1990</t>
  </si>
  <si>
    <t>0901530</t>
  </si>
  <si>
    <t>EYP</t>
  </si>
  <si>
    <t>Anchovy, wild, skinless, muscle flesh, raw</t>
  </si>
  <si>
    <t>Thryssa purava</t>
  </si>
  <si>
    <t>Oblique-jaw thryssa</t>
  </si>
  <si>
    <t>Dec 1988-Mar 1991</t>
  </si>
  <si>
    <t>0901531</t>
  </si>
  <si>
    <t>Pomfret (Black), wild, skinless, muscle flesh, raw</t>
  </si>
  <si>
    <t>Parastromteur niger</t>
  </si>
  <si>
    <t>Dec 1988-Mar 1992</t>
  </si>
  <si>
    <t>[80]</t>
  </si>
  <si>
    <t>[17]</t>
  </si>
  <si>
    <t>[6.1]</t>
  </si>
  <si>
    <t>0901532</t>
  </si>
  <si>
    <t>OTI</t>
  </si>
  <si>
    <t>Jew fish, wild, skinless, muscle flesh, raw</t>
  </si>
  <si>
    <t>Pseudosciaena diacanthus</t>
  </si>
  <si>
    <t>Blackspotted croaker</t>
  </si>
  <si>
    <t>Protonibea diacanthus</t>
  </si>
  <si>
    <t>Dec 1988-Mar 1993</t>
  </si>
  <si>
    <t>0901533</t>
  </si>
  <si>
    <t>MUF</t>
  </si>
  <si>
    <t>Mullet, wild, skinless, muscle flesh, raw</t>
  </si>
  <si>
    <t>Mugil cephalus</t>
  </si>
  <si>
    <t>Flathead grey mullet</t>
  </si>
  <si>
    <t>Dec 1988-Mar 1994</t>
  </si>
  <si>
    <t>0901534</t>
  </si>
  <si>
    <t>Mackerel, wild, skinless, muscle flesh, raw</t>
  </si>
  <si>
    <t>Dec 1988-Mar 1995</t>
  </si>
  <si>
    <t>0901535</t>
  </si>
  <si>
    <t>PCX</t>
  </si>
  <si>
    <t>Conger eel, wild, skinless, muscle flesh, raw</t>
  </si>
  <si>
    <t>Muraenesox talabon</t>
  </si>
  <si>
    <t>Pike-congers nei</t>
  </si>
  <si>
    <t>Muraenesox spp</t>
  </si>
  <si>
    <t>Dec 1988-Mar 1996</t>
  </si>
  <si>
    <t>0901536</t>
  </si>
  <si>
    <t>Pomfret (White), wild, skinless, muscle flesh, raw</t>
  </si>
  <si>
    <t>Dec 1988-Mar 1997</t>
  </si>
  <si>
    <t>0901537</t>
  </si>
  <si>
    <t>TRE</t>
  </si>
  <si>
    <t>Trevally, wild, skinless, muscle flesh, raw</t>
  </si>
  <si>
    <t>Caranx sansun</t>
  </si>
  <si>
    <t>Jacks, crevalles nei</t>
  </si>
  <si>
    <t>Caranx spp</t>
  </si>
  <si>
    <t>0901538</t>
  </si>
  <si>
    <t>NNJ</t>
  </si>
  <si>
    <t>Pinkperch, wild, skinless, muscle flesh, raw</t>
  </si>
  <si>
    <t>Nemipterus japonicus</t>
  </si>
  <si>
    <t>Japanese threadfin bream</t>
  </si>
  <si>
    <t>Dec 1988-Mar 1999</t>
  </si>
  <si>
    <t>0901539</t>
  </si>
  <si>
    <t>Lesser sardine, wild, skinless, muscle flesh, raw</t>
  </si>
  <si>
    <t>Dec 1988-Mar 2000</t>
  </si>
  <si>
    <t>0901540</t>
  </si>
  <si>
    <t>OYD</t>
  </si>
  <si>
    <t>Thread fins, wild, skinless, muscle flesh, raw</t>
  </si>
  <si>
    <t>Polynemus indicus</t>
  </si>
  <si>
    <t>Indian threadfin</t>
  </si>
  <si>
    <t>Leptomelanosoma indicum</t>
  </si>
  <si>
    <t>Dec 1988-Mar 2001</t>
  </si>
  <si>
    <t>0901541</t>
  </si>
  <si>
    <t>BUC</t>
  </si>
  <si>
    <t>Bombay duck, wild, skinless, muscle flesh, raw</t>
  </si>
  <si>
    <t>Harpodon nehereus</t>
  </si>
  <si>
    <t>Bombay-duck</t>
  </si>
  <si>
    <t>Harpadon nehereus</t>
  </si>
  <si>
    <t>Dec 1988-Mar 2002</t>
  </si>
  <si>
    <t>0901542</t>
  </si>
  <si>
    <t>GIP</t>
  </si>
  <si>
    <t>Giant perch (marine), wild, skinless, muscle flesh, raw</t>
  </si>
  <si>
    <t>Lates calcarifer</t>
  </si>
  <si>
    <t>Barramundi</t>
  </si>
  <si>
    <t>Dec 1988-Mar 2003</t>
  </si>
  <si>
    <t>[78.2]</t>
  </si>
  <si>
    <t>[16]</t>
  </si>
  <si>
    <t>[0.7]</t>
  </si>
  <si>
    <t>0901543</t>
  </si>
  <si>
    <t>RSK</t>
  </si>
  <si>
    <t>Shark, wild, skinless, muscle flesh, raw</t>
  </si>
  <si>
    <t>Scoliodon sorrakowah</t>
  </si>
  <si>
    <t>Requiem sharks nei</t>
  </si>
  <si>
    <t>Carcharhinidae</t>
  </si>
  <si>
    <t>Dec 1988-Mar 2004</t>
  </si>
  <si>
    <t>0901544</t>
  </si>
  <si>
    <t>CAX</t>
  </si>
  <si>
    <t>Cat fish, wild, skinless, muscle flesh, raw</t>
  </si>
  <si>
    <t>Tachysurus zona</t>
  </si>
  <si>
    <t>Ariidae</t>
  </si>
  <si>
    <t>Dec 1988-Mar 2005</t>
  </si>
  <si>
    <t>0901545</t>
  </si>
  <si>
    <t>KNA</t>
  </si>
  <si>
    <t>Murrel, wild, skinless, muscle flesh, raw</t>
  </si>
  <si>
    <t>Ophiocephalus marules</t>
  </si>
  <si>
    <t xml:space="preserve">Great snakehead </t>
  </si>
  <si>
    <t>Channa marulius</t>
  </si>
  <si>
    <t>Dec 1988-Mar 2006</t>
  </si>
  <si>
    <t>0901546</t>
  </si>
  <si>
    <t>Rohu, wild, skinless, muscle flesh, raw</t>
  </si>
  <si>
    <t>Dec 1988-Mar 2007</t>
  </si>
  <si>
    <t>0901547</t>
  </si>
  <si>
    <t>Catla, wild, skinless, muscle flesh, raw</t>
  </si>
  <si>
    <t>Dec 1988-Mar 2008</t>
  </si>
  <si>
    <t>0901548</t>
  </si>
  <si>
    <t>Unknown (sampled in Venezuela, Maracaibo, local fish market)</t>
  </si>
  <si>
    <t>FSI</t>
  </si>
  <si>
    <t>Armadillo</t>
  </si>
  <si>
    <t>muscle flesh, skinless, raw</t>
  </si>
  <si>
    <t>Hypostomus watwata</t>
  </si>
  <si>
    <t>Freshwater siluroids nei</t>
  </si>
  <si>
    <t>Siluroidei</t>
  </si>
  <si>
    <t>fi99</t>
  </si>
  <si>
    <t>0901549</t>
  </si>
  <si>
    <t>PLR</t>
  </si>
  <si>
    <t>Bocachico</t>
  </si>
  <si>
    <t>Netted prochilod, muscle flesh, skinless, raw</t>
  </si>
  <si>
    <t>Prochilodus reticulatus</t>
  </si>
  <si>
    <t>Netted prochilod</t>
  </si>
  <si>
    <t>0901550</t>
  </si>
  <si>
    <t>CSM</t>
  </si>
  <si>
    <t>Cachama</t>
  </si>
  <si>
    <t>Cachama, muscle flesh, skinless, raw</t>
  </si>
  <si>
    <t>Colossoma macropomum</t>
  </si>
  <si>
    <t>0901551</t>
  </si>
  <si>
    <t>MOJ</t>
  </si>
  <si>
    <t>Carpeta</t>
  </si>
  <si>
    <t>Eugerres plumieri</t>
  </si>
  <si>
    <t>Mojarras(=Silver-biddies) nei</t>
  </si>
  <si>
    <t>Gerres spp</t>
  </si>
  <si>
    <t>0901552</t>
  </si>
  <si>
    <t>YNA</t>
  </si>
  <si>
    <t>Acoupa weakfish, muscle flesh, skinless, raw</t>
  </si>
  <si>
    <t>Cynoscion maracaiboensis</t>
  </si>
  <si>
    <t>Acoupa weakfish</t>
  </si>
  <si>
    <t>Cynoscion acoupa</t>
  </si>
  <si>
    <t>0901553</t>
  </si>
  <si>
    <t>MGU</t>
  </si>
  <si>
    <t>Lisa</t>
  </si>
  <si>
    <t>White mullet, muscle flesh, skinless, raw</t>
  </si>
  <si>
    <t>Mugil curema</t>
  </si>
  <si>
    <t>White mullet</t>
  </si>
  <si>
    <t>0901554</t>
  </si>
  <si>
    <t>HOF</t>
  </si>
  <si>
    <t>Merluza</t>
  </si>
  <si>
    <t>Offshore silver hake, muscle flesh, skinless, raw</t>
  </si>
  <si>
    <t>Merluccius albidus</t>
  </si>
  <si>
    <t>Offshore silver hake</t>
  </si>
  <si>
    <t>0901555</t>
  </si>
  <si>
    <t>GPN</t>
  </si>
  <si>
    <t>Mero</t>
  </si>
  <si>
    <t>Nassau grouper, muscle flesh, skinless, raw</t>
  </si>
  <si>
    <t>Epinephelus striatus</t>
  </si>
  <si>
    <t>Nassau grouper</t>
  </si>
  <si>
    <t>0901556</t>
  </si>
  <si>
    <t>LJU</t>
  </si>
  <si>
    <t>Pargo</t>
  </si>
  <si>
    <t>Blackfin snapper, muscle flesh, skinless, raw</t>
  </si>
  <si>
    <t>Lutjanus buccanella</t>
  </si>
  <si>
    <t>Blackfin snapper</t>
  </si>
  <si>
    <t>0901557</t>
  </si>
  <si>
    <t>SNO</t>
  </si>
  <si>
    <t>Robalo</t>
  </si>
  <si>
    <t>Common snook, muscle flesh, skinless, raw</t>
  </si>
  <si>
    <t>Centropomus undecimalis</t>
  </si>
  <si>
    <t>Common snook</t>
  </si>
  <si>
    <t>0901558</t>
  </si>
  <si>
    <t>TLP</t>
  </si>
  <si>
    <t>Tilapia</t>
  </si>
  <si>
    <t>Tilapia, muscle flesh, skinless, raw</t>
  </si>
  <si>
    <t>Oreochromis sp.</t>
  </si>
  <si>
    <t>Tilapias nei</t>
  </si>
  <si>
    <t>Oreochromis (=Tilapia) spp</t>
  </si>
  <si>
    <t>0901559</t>
  </si>
  <si>
    <t>Trucha</t>
  </si>
  <si>
    <t>Rainbow trout, muscle flesh, skinless, raw</t>
  </si>
  <si>
    <t>0901560</t>
  </si>
  <si>
    <t>Brazil, Santa Maria</t>
  </si>
  <si>
    <t>RMQ</t>
  </si>
  <si>
    <t>Silver catfish, farmed, bone-, skinless fillet, raw</t>
  </si>
  <si>
    <t>Rhamdia quelen</t>
  </si>
  <si>
    <t>Autumn 2006</t>
  </si>
  <si>
    <t>fi101</t>
  </si>
  <si>
    <t>0901561</t>
  </si>
  <si>
    <t>Silver catfish, farmed, bone-, skinless fillet, boiled</t>
  </si>
  <si>
    <t>0901562</t>
  </si>
  <si>
    <t>Silver catfish, farmed, bone-, skinless fillet, oven-baked</t>
  </si>
  <si>
    <t>0901563</t>
  </si>
  <si>
    <t>Silver catfish, farmed, bone-, skinless fillet, microwave-baked</t>
  </si>
  <si>
    <t>0901564</t>
  </si>
  <si>
    <t>Silver catfish, farmed, bone-, skinless fillet, grilled</t>
  </si>
  <si>
    <t>[64.9]</t>
  </si>
  <si>
    <t>[25.7]</t>
  </si>
  <si>
    <t>[3.79]</t>
  </si>
  <si>
    <t>[1.97]</t>
  </si>
  <si>
    <t>0901565</t>
  </si>
  <si>
    <t>Silver catfish, farmed, bone-, skinless fillet, fried in soybean oil</t>
  </si>
  <si>
    <t>[45.4]</t>
  </si>
  <si>
    <t>[33.4]</t>
  </si>
  <si>
    <t>[14]</t>
  </si>
  <si>
    <t>[2.47]</t>
  </si>
  <si>
    <t>0901566</t>
  </si>
  <si>
    <t>Silver catfish, farmed, bone-, skinless fillet, fried in hydrogenated veg. oil</t>
  </si>
  <si>
    <t>[46.9]</t>
  </si>
  <si>
    <t>[32.2]</t>
  </si>
  <si>
    <t>[14.1]</t>
  </si>
  <si>
    <t>[2.5]</t>
  </si>
  <si>
    <t>0901567</t>
  </si>
  <si>
    <t>Sep 2004</t>
  </si>
  <si>
    <t>fi105</t>
  </si>
  <si>
    <t>0901568</t>
  </si>
  <si>
    <t>Pike, farmed, skinless fillet, raw</t>
  </si>
  <si>
    <t>Nov 2004</t>
  </si>
  <si>
    <t>0901569</t>
  </si>
  <si>
    <t>Pike-perch, farmed, skinless fillet, raw</t>
  </si>
  <si>
    <t>0901570</t>
  </si>
  <si>
    <t>Germany</t>
  </si>
  <si>
    <t>Rainbow trout, farmed (conventionally), skinless fillet, raw</t>
  </si>
  <si>
    <t>Jun 2002</t>
  </si>
  <si>
    <t>0901571</t>
  </si>
  <si>
    <t>Oct 2002</t>
  </si>
  <si>
    <t>0901572</t>
  </si>
  <si>
    <t>Dec 2002</t>
  </si>
  <si>
    <t>0901573</t>
  </si>
  <si>
    <t>May 2003</t>
  </si>
  <si>
    <t>0901574</t>
  </si>
  <si>
    <t>Rainbow trout, farmed (organically) skinless fillet, raw</t>
  </si>
  <si>
    <t>Nov 2002</t>
  </si>
  <si>
    <t>0901575</t>
  </si>
  <si>
    <t>Sep 2003</t>
  </si>
  <si>
    <t>0901576</t>
  </si>
  <si>
    <t>Ireland</t>
  </si>
  <si>
    <t>Salmon, farmed, (conventionally), skinless fillet, raw</t>
  </si>
  <si>
    <t>Sep 2002</t>
  </si>
  <si>
    <t>0901577</t>
  </si>
  <si>
    <t>Norway</t>
  </si>
  <si>
    <t>Apr 2003</t>
  </si>
  <si>
    <t>0901578</t>
  </si>
  <si>
    <t>0901579</t>
  </si>
  <si>
    <t>Jun 2003</t>
  </si>
  <si>
    <t>0901580</t>
  </si>
  <si>
    <t>Salmon, farmed (organically), skinless fillet, raw</t>
  </si>
  <si>
    <t>0901581</t>
  </si>
  <si>
    <t>0901582</t>
  </si>
  <si>
    <t>Salmon, farmed (conventionally), edible portion, smoked</t>
  </si>
  <si>
    <t>0901583</t>
  </si>
  <si>
    <t>UK, Scotland</t>
  </si>
  <si>
    <t>0901584</t>
  </si>
  <si>
    <t>Unknown, Scandinavia</t>
  </si>
  <si>
    <t>0901585</t>
  </si>
  <si>
    <t>BNC</t>
  </si>
  <si>
    <t>Matrinxã</t>
  </si>
  <si>
    <t>Matrinxã, dorsolateral fillet, skin-on, raw</t>
  </si>
  <si>
    <t>Brycon cephalus</t>
  </si>
  <si>
    <t>average weight and length of fish: 751.9g, 32.8cm</t>
  </si>
  <si>
    <t>PRO-/FAT- (analyzed according to AOAC 1995)</t>
  </si>
  <si>
    <t>fi106</t>
  </si>
  <si>
    <t>0901586</t>
  </si>
  <si>
    <t>Matrinxã, dorsolateral fillet, skin-on, salted (brined), hot smoked</t>
  </si>
  <si>
    <t>average weight and length of fish: 751.9g, 32.8cm; hot smoking: 45-90 °C for 5h</t>
  </si>
  <si>
    <t>0901587</t>
  </si>
  <si>
    <t>Matrinxã, dorsolateral fillet, skin-on, salted (brined), cold smoked</t>
  </si>
  <si>
    <t>average weight and length of fish: 751.9g, 32.8cm; cold smoking: 27-45 °C for 10h</t>
  </si>
  <si>
    <t>0901588</t>
  </si>
  <si>
    <t>Thailand, Kalasin province</t>
  </si>
  <si>
    <t>CGM</t>
  </si>
  <si>
    <t>Hybrid catfish, farmed, skinless fillet, raw, chilled storage</t>
  </si>
  <si>
    <t>Clarias macrocephalus x Clarias gariepinus</t>
  </si>
  <si>
    <t>Catfish, hybrid</t>
  </si>
  <si>
    <t>C.gariepinus x C.macrocephalus</t>
  </si>
  <si>
    <t>chilled storage 4˚C for 0d; fish weight: 150-225g, 6-10 months old</t>
  </si>
  <si>
    <t>PRO-/FAT- (analyzed according to AOAC 1999)</t>
  </si>
  <si>
    <t>fi107</t>
  </si>
  <si>
    <t>0901589</t>
  </si>
  <si>
    <t>stored at 4˚C for 3d; fish weight: 150-225g, 6-10 months old</t>
  </si>
  <si>
    <t>0901590</t>
  </si>
  <si>
    <t>stored at 4˚C for 6d; fish weight: 150-225g, 6-10 months old</t>
  </si>
  <si>
    <t>0901591</t>
  </si>
  <si>
    <t>stored at 4˚C for 9d; fish weight: 150-225g, 6-10 months old</t>
  </si>
  <si>
    <t>[74.14]</t>
  </si>
  <si>
    <t>[17.7]</t>
  </si>
  <si>
    <t>[2.96]</t>
  </si>
  <si>
    <t>[1.16]</t>
  </si>
  <si>
    <t>0901592</t>
  </si>
  <si>
    <t>stored at 4˚C for 12d; fish weight: 150-225g, 6-10 months old</t>
  </si>
  <si>
    <t>[17.4]</t>
  </si>
  <si>
    <t>[1.17]</t>
  </si>
  <si>
    <t>0901593</t>
  </si>
  <si>
    <t>stored at 4˚C for 15d; fish weight: 150-225g, 6-10 months old</t>
  </si>
  <si>
    <t>[73.71]</t>
  </si>
  <si>
    <t>[17.25]</t>
  </si>
  <si>
    <t>[2.95]</t>
  </si>
  <si>
    <t>[1.18]</t>
  </si>
  <si>
    <t>0901594</t>
  </si>
  <si>
    <t>Matrinxã, farmed (pond), fillet, raw</t>
  </si>
  <si>
    <t>Sep-Dec 1999</t>
  </si>
  <si>
    <t>comercial fish diet (28-40% fat, 5-12% protein)</t>
  </si>
  <si>
    <t>PRO- (analyzed according to AOAC 1998); FA converted using XFA</t>
  </si>
  <si>
    <t>fi108</t>
  </si>
  <si>
    <t>0901595</t>
  </si>
  <si>
    <t>Matrinxã, farmed (cage), fillet, raw</t>
  </si>
  <si>
    <t>0901596</t>
  </si>
  <si>
    <t>CHA</t>
  </si>
  <si>
    <t>Piraputanga</t>
  </si>
  <si>
    <t>Piraputanga, farmed (pond), fillet, raw</t>
  </si>
  <si>
    <t>Brycon microlepis</t>
  </si>
  <si>
    <t>Characins nei</t>
  </si>
  <si>
    <t>0901597</t>
  </si>
  <si>
    <t>BNO</t>
  </si>
  <si>
    <t>Piracanjuba</t>
  </si>
  <si>
    <t>Piracanjuba, farmed (pond), fillet, raw</t>
  </si>
  <si>
    <t>Brycon orbignyanus</t>
  </si>
  <si>
    <t>0901598</t>
  </si>
  <si>
    <t>Piracanjuba, farmed (cage), fillet, raw</t>
  </si>
  <si>
    <t>0901599</t>
  </si>
  <si>
    <t>Brazil, Maringa</t>
  </si>
  <si>
    <t>Pintado, farmed, muscle tissue, raw</t>
  </si>
  <si>
    <t>Pseudoplatystoma coruscans</t>
  </si>
  <si>
    <t>Aug (drought period)</t>
  </si>
  <si>
    <t>mean fish weight: 7200g; Commercial fish diet: 12.7% water, 42.0% protein, 12.9% ash, 10.2% lipid; FA expressed as % FAME</t>
  </si>
  <si>
    <t>PRO- (analyzed according to AOAC 1998); FAME converted using ShF and XFA</t>
  </si>
  <si>
    <t>fi109</t>
  </si>
  <si>
    <t>0901600</t>
  </si>
  <si>
    <t>Pacu, farmed, muscle tissue, raw</t>
  </si>
  <si>
    <t>mean fish weight: 2504g; Commercial fish diet: 12.7% water, 42.0% protein, 12.9% ash, 10.2% lipid; FA expressed as % FAME</t>
  </si>
  <si>
    <t>0901601</t>
  </si>
  <si>
    <t>Poland, Dgał</t>
  </si>
  <si>
    <t>Northern pike, farmed, fillet, raw</t>
  </si>
  <si>
    <t>Commercial fish diet: Nutra Classic and Nutra Classic T-3P (Trouvit, France): protein: 45%, fat 16%; FA as % of FACID, FACID calculated using CF</t>
  </si>
  <si>
    <t>fi110</t>
  </si>
  <si>
    <t>0901602</t>
  </si>
  <si>
    <t>Australia, Warrnambool</t>
  </si>
  <si>
    <t>MCP</t>
  </si>
  <si>
    <t>Murray cod, farmed purged 0weeks), muscle fillet, raw</t>
  </si>
  <si>
    <t>Maccullochella peelii peelii (Mitchell)</t>
  </si>
  <si>
    <t>Murray cod</t>
  </si>
  <si>
    <t>Maccullochella peelii</t>
  </si>
  <si>
    <t>mean weight of fish: 746g; commercial fish diet Nova, Skretting, Tasmania, Australia: protein: 45%, lipid: 22%; proximates given as mg/g (w/w basis); FA given as mg/g lipid - direct calculation</t>
  </si>
  <si>
    <t>fi111</t>
  </si>
  <si>
    <t>[0.27]</t>
  </si>
  <si>
    <t>0901603</t>
  </si>
  <si>
    <t>Murray cod, farmed (purged 2weeks), muscle fillet, raw</t>
  </si>
  <si>
    <t>mean weight of fish: 628g; commercial fish diet Nova, Skretting, Tasmania, Australia: protein: 45%, lipid: 22%; proximates given as mg/g (w/w basis); FA given as mg/g lipid - direct calculation</t>
  </si>
  <si>
    <t>[0.24]</t>
  </si>
  <si>
    <t>0901604</t>
  </si>
  <si>
    <t>Murray cod, farmed (purged 4weeks), muscle fillet, raw</t>
  </si>
  <si>
    <t>mean weight of fish: 595g; commercial fish diet Nova, Skretting, Tasmania, Australia: protein: 45%, lipid: 22%; proximates given as mg/g (w/w basis); FA given as mg/g lipid - direct calculation</t>
  </si>
  <si>
    <t>0901605</t>
  </si>
  <si>
    <t>USA, Kentucky State</t>
  </si>
  <si>
    <t>PAM</t>
  </si>
  <si>
    <t>Paddlefish, farmed, whole fillet (white and red muscle), skinless, raw</t>
  </si>
  <si>
    <t>Polyodon spathula</t>
  </si>
  <si>
    <t>Mississippi paddlefish</t>
  </si>
  <si>
    <t>Sep 1989</t>
  </si>
  <si>
    <t>mean weight of fish: 394-666g, 17 months old; mean values of % FA of polar and non-polar lipid fractions summed up in order to calculate FA composition of total lipids; calc. as % of FACID; FACID calculated using CF</t>
  </si>
  <si>
    <t>fi112</t>
  </si>
  <si>
    <t>0901606</t>
  </si>
  <si>
    <t>Paddlefish, farmed, white muscle fillet, skinless, raw</t>
  </si>
  <si>
    <t xml:space="preserve">mean weight of fish: 394-666g, 17 months old </t>
  </si>
  <si>
    <t>0901607</t>
  </si>
  <si>
    <t>Japan, Kagoshima, local fish market</t>
  </si>
  <si>
    <t>ELJ</t>
  </si>
  <si>
    <t>Japanese eel, farmed, dorsal muscle, raw</t>
  </si>
  <si>
    <t>Anguilla japonica</t>
  </si>
  <si>
    <t>Japanese eel</t>
  </si>
  <si>
    <t>mean fish weight: 220g; FA calc. as % of FACID, FACID calculated using CF</t>
  </si>
  <si>
    <t>PRO- (analyzed according to AOAC 1984); FA converted using XFA</t>
  </si>
  <si>
    <t>fi113</t>
  </si>
  <si>
    <t>0901608</t>
  </si>
  <si>
    <t>Eel, smoked product, salt, sugar</t>
  </si>
  <si>
    <t>fi115</t>
  </si>
  <si>
    <t>[375.5]</t>
  </si>
  <si>
    <t>[48.7]</t>
  </si>
  <si>
    <t>[22.8]</t>
  </si>
  <si>
    <t>[30.6]</t>
  </si>
  <si>
    <t>0901609</t>
  </si>
  <si>
    <t>Sea bass, smoked, salt, sugar</t>
  </si>
  <si>
    <t>0901610</t>
  </si>
  <si>
    <t xml:space="preserve">Norway  </t>
  </si>
  <si>
    <t>Salmon, farmed, smoked product</t>
  </si>
  <si>
    <t>0901611</t>
  </si>
  <si>
    <t>Salmon, farmed, marinated (dill and herbs) product, salt, sugar</t>
  </si>
  <si>
    <t>0901612</t>
  </si>
  <si>
    <t>Norway and other countries</t>
  </si>
  <si>
    <t>0901613</t>
  </si>
  <si>
    <t>Denmark</t>
  </si>
  <si>
    <t xml:space="preserve">Trout, farmed, smoked product, salt </t>
  </si>
  <si>
    <t>0901614</t>
  </si>
  <si>
    <t>Tanzania, Dar es Salaam, Indian Ocean</t>
  </si>
  <si>
    <t>LZX</t>
  </si>
  <si>
    <t>Changu</t>
  </si>
  <si>
    <t>Changu, wild (small size), dorsal muscle fillet, skinless, raw</t>
  </si>
  <si>
    <t>(Lethrinus spp)</t>
  </si>
  <si>
    <t>Nov-Dec 1993</t>
  </si>
  <si>
    <t>mean length and weight: 20cm, 133g; Iodine given in mcg/kg wet weight</t>
  </si>
  <si>
    <t>fi118</t>
  </si>
  <si>
    <t>0901615</t>
  </si>
  <si>
    <t>Changu, wild (medium size), dorsal muscle fillet, skinless, raw</t>
  </si>
  <si>
    <t>mean length and weight: 24cm, 235g; Iodine given in mcg/kg wet weight</t>
  </si>
  <si>
    <t>0901616</t>
  </si>
  <si>
    <t>Changu, wild (large size), dorsal muscle fillet, skinless, raw</t>
  </si>
  <si>
    <t>mean length and weight: 31cm, 537g; Iodine given in mcg/kg wet weight</t>
  </si>
  <si>
    <t>0901617</t>
  </si>
  <si>
    <t>SPI</t>
  </si>
  <si>
    <t>Tasi</t>
  </si>
  <si>
    <t>Tasi, wild (small size), dorsal muscle fillet, skinless, raw</t>
  </si>
  <si>
    <t>Spinefeet(=Rabbitfishes) nei</t>
  </si>
  <si>
    <t>Siganus spp</t>
  </si>
  <si>
    <t>mean length and weight: 19cm, 85g; Iodine given in mcg/kg wet weight</t>
  </si>
  <si>
    <t>0901618</t>
  </si>
  <si>
    <t>Tasi, wild (medium size), dorsal muscle fillet, skinless, raw</t>
  </si>
  <si>
    <t>mean length and weight: 24cm, 181g; Iodine given in mcg/kg wet weight</t>
  </si>
  <si>
    <t>0901619</t>
  </si>
  <si>
    <t>Tasi, wild (large size), dorsal muscle fillet, skinless, raw</t>
  </si>
  <si>
    <t>mean length and weight: 35cm, 620g; Iodine given in mcg/kg wet weight</t>
  </si>
  <si>
    <t>0901620</t>
  </si>
  <si>
    <t>Changu, wild (small size), skin, raw</t>
  </si>
  <si>
    <t>Iodine given in mcg/kg wet weight</t>
  </si>
  <si>
    <t>0901621</t>
  </si>
  <si>
    <t>Changu, wild, (medium size), skin, raw</t>
  </si>
  <si>
    <t>0901622</t>
  </si>
  <si>
    <t>Changu, wild (large size), skin, raw</t>
  </si>
  <si>
    <t>0901623</t>
  </si>
  <si>
    <t>Tasi, wild (small size), skin, raw</t>
  </si>
  <si>
    <t>(Siganus spp)</t>
  </si>
  <si>
    <t>0901624</t>
  </si>
  <si>
    <t>Tasi, wild, (medium size), skin, raw</t>
  </si>
  <si>
    <t>0901625</t>
  </si>
  <si>
    <t>Tasi, wild (large size), skin, raw</t>
  </si>
  <si>
    <t>0901626</t>
  </si>
  <si>
    <t>TAI</t>
  </si>
  <si>
    <t>Pawale</t>
  </si>
  <si>
    <t>Pawale, wild, whole, raw</t>
  </si>
  <si>
    <t>Indo-Pacific tarpon</t>
  </si>
  <si>
    <t>(Megalops cyprinoides)</t>
  </si>
  <si>
    <t>mean length and weight: 7.5cm, 5.1g; Iodine given in mcg/kg wet weight</t>
  </si>
  <si>
    <t>0901627</t>
  </si>
  <si>
    <t>Dagaa mchete</t>
  </si>
  <si>
    <t>Dagaa mchete, wild, whole, raw</t>
  </si>
  <si>
    <t>Cyprinids nei</t>
  </si>
  <si>
    <t>(Cyprinidae)</t>
  </si>
  <si>
    <t>mean length and weight: 10.2cm, 7.5g; Iodine given in mcg/kg wet weight</t>
  </si>
  <si>
    <t>0901628</t>
  </si>
  <si>
    <t>Dagaa papa</t>
  </si>
  <si>
    <t>Dagaa papa, wild, whole, raw</t>
  </si>
  <si>
    <t>0901629</t>
  </si>
  <si>
    <t>Dagaa kavu</t>
  </si>
  <si>
    <t>Dagaa kavu, wild, whole, raw</t>
  </si>
  <si>
    <t>0901630</t>
  </si>
  <si>
    <t>Prawns, wild, whole, raw</t>
  </si>
  <si>
    <t>(Natantia)</t>
  </si>
  <si>
    <t>0901631</t>
  </si>
  <si>
    <t>Dagaa mchete, wild, whole fish, raw</t>
  </si>
  <si>
    <t>mean length and weight: 10.4cm, 8.5g; Iodine given in mcg/kg wet weight</t>
  </si>
  <si>
    <t>0901632</t>
  </si>
  <si>
    <t>Ethiopia, Zwai, Lake Zwai</t>
  </si>
  <si>
    <t>HXP</t>
  </si>
  <si>
    <t>Carp, wild (small size), dorsal muscle fillet, skinless, raw</t>
  </si>
  <si>
    <t>Carps nei</t>
  </si>
  <si>
    <t>Hypophthalmichthys spp</t>
  </si>
  <si>
    <t>Nov 1993</t>
  </si>
  <si>
    <t>mean length and weight: 24cm, 191g; Iodine given in mcg/kg wet weight</t>
  </si>
  <si>
    <t>0901633</t>
  </si>
  <si>
    <t>Finland</t>
  </si>
  <si>
    <t>Rainbow trout, farmed, skinless fillet, raw</t>
  </si>
  <si>
    <t>fi119</t>
  </si>
  <si>
    <t>0901634</t>
  </si>
  <si>
    <t>Rainbow trout, farmed skinless fillet, raw</t>
  </si>
  <si>
    <t>0901635</t>
  </si>
  <si>
    <t>0901636</t>
  </si>
  <si>
    <t>0901637</t>
  </si>
  <si>
    <t>Rainbow trout, farmed skinless fillet, oven-baked</t>
  </si>
  <si>
    <t>0901638</t>
  </si>
  <si>
    <t>0901639</t>
  </si>
  <si>
    <t>0901640</t>
  </si>
  <si>
    <t>0901641</t>
  </si>
  <si>
    <t>USA, MS, Yazoo City</t>
  </si>
  <si>
    <t>Channel catfish, farmed, fillet, raw</t>
  </si>
  <si>
    <t>Apr 1989</t>
  </si>
  <si>
    <t>FAT- (analyzed according to AOAC 1984, method 43.257-43.277); tr= VitC &lt;1.0 mg/100g; CARTB &lt;10mcg/100g; CHO &lt;0.1g/100g; RIBF &lt;0.02mg/100g</t>
  </si>
  <si>
    <t>fi120</t>
  </si>
  <si>
    <t>0901642</t>
  </si>
  <si>
    <t>Channel catfish, farmed, fillet, oven-baked</t>
  </si>
  <si>
    <t>0901643</t>
  </si>
  <si>
    <t>USA, BC, Sechelt Inlet</t>
  </si>
  <si>
    <t>COH</t>
  </si>
  <si>
    <t>Coho salmon, farmed, skinless fillet, raw</t>
  </si>
  <si>
    <t>Oncorhynchus kisutch</t>
  </si>
  <si>
    <t>Coho(=Silver)salmon</t>
  </si>
  <si>
    <t>Jul 1989</t>
  </si>
  <si>
    <t>0901644</t>
  </si>
  <si>
    <t>0901645</t>
  </si>
  <si>
    <t>Coho salmon, farmed, skinless fillet, oven-baked</t>
  </si>
  <si>
    <t>0901646</t>
  </si>
  <si>
    <t>0901647</t>
  </si>
  <si>
    <t>USA, ID, Buhl</t>
  </si>
  <si>
    <t>Salmo gairdneri</t>
  </si>
  <si>
    <t>Jun 1989</t>
  </si>
  <si>
    <t>0901648</t>
  </si>
  <si>
    <t>Rainbow trout, farmed, skinless fillet, oven-baked</t>
  </si>
  <si>
    <t>0901649</t>
  </si>
  <si>
    <t>USA, LA, Atchafalaya Basin</t>
  </si>
  <si>
    <t>RCW</t>
  </si>
  <si>
    <t>Red swamp crayfish, farmed, tail meat, raw</t>
  </si>
  <si>
    <t>Procambarus clarkii</t>
  </si>
  <si>
    <t>Red swamp crawfish</t>
  </si>
  <si>
    <t>Jan 1989</t>
  </si>
  <si>
    <t>FAT- (analyzed using AOAC 1984, method: 43.257-43.277); tr: VitC &lt;1.0 mg/100g; CARTB &lt;10mcg/100g; CHO &lt;0.1g/100g; RIBF &lt;0.02mg/100g</t>
  </si>
  <si>
    <t>0901650</t>
  </si>
  <si>
    <t>Red swamp crayfish, farmed, tail meat, boiled</t>
  </si>
  <si>
    <t>0901651</t>
  </si>
  <si>
    <t>PCC</t>
  </si>
  <si>
    <t>White River crayfish, farmed, tail meat, raw</t>
  </si>
  <si>
    <t>Procambarus acutus acutus</t>
  </si>
  <si>
    <t>White crawfish</t>
  </si>
  <si>
    <t>Procambarus acutus</t>
  </si>
  <si>
    <t>0901652</t>
  </si>
  <si>
    <t>White River crayfish, farmed, tail meat, boiled</t>
  </si>
  <si>
    <t>0901653</t>
  </si>
  <si>
    <t>USA, MD, Nanticoke River</t>
  </si>
  <si>
    <t>OYA</t>
  </si>
  <si>
    <t>Eastern Oysters, farmed, raw</t>
  </si>
  <si>
    <t>Crassostrea virginica</t>
  </si>
  <si>
    <t>American cupped oyster</t>
  </si>
  <si>
    <t>May 1989</t>
  </si>
  <si>
    <t>FAT- ( analyzed according to AOAC 1984: 43.257-43.2770; tr: VitC &lt;1.0 mg/100g; CARTB &lt;10mcg/100g; CHO &lt;0.1g/100g; RIBF &lt;0.02mg/100g</t>
  </si>
  <si>
    <t>[88.6]</t>
  </si>
  <si>
    <t>[5]</t>
  </si>
  <si>
    <t>[1.2]</t>
  </si>
  <si>
    <t>[1.4]</t>
  </si>
  <si>
    <t>0901654</t>
  </si>
  <si>
    <t>Dec 1993</t>
  </si>
  <si>
    <t>fi122</t>
  </si>
  <si>
    <t>0901655</t>
  </si>
  <si>
    <t>May 1993</t>
  </si>
  <si>
    <t>0901656</t>
  </si>
  <si>
    <t>Greece, Ithaca Islands, Mediterranean Sea</t>
  </si>
  <si>
    <t>RPG</t>
  </si>
  <si>
    <t>Red porgy, farmed, muscle flesh, raw</t>
  </si>
  <si>
    <t>Pagrus pagrus</t>
  </si>
  <si>
    <t>Red porgy</t>
  </si>
  <si>
    <t>Mar</t>
  </si>
  <si>
    <t>mean length and weight of fish: 33.70cm, 644g; commercial fish diet (Perseus AG for red fish): 48% protein, 12% fat, 18.5% carbohydrate, 1.5% fiber, 10% moisture, 10% ash</t>
  </si>
  <si>
    <t>FA tr= &lt;0.5 mg/100g food</t>
  </si>
  <si>
    <t>fi124</t>
  </si>
  <si>
    <t>0901657</t>
  </si>
  <si>
    <t>Unknown (samples from fish market, Hangzhou, China)</t>
  </si>
  <si>
    <t>FCG</t>
  </si>
  <si>
    <t>Grass carp, skinless, boneless fillet, raw</t>
  </si>
  <si>
    <t>Ctenopharyngodon idellus</t>
  </si>
  <si>
    <t>Grass carp(=White amur)</t>
  </si>
  <si>
    <t>fi127</t>
  </si>
  <si>
    <t>0901658</t>
  </si>
  <si>
    <t>Grass carp, skinless, boneless fillet, dried (hot air)</t>
  </si>
  <si>
    <t>0901659</t>
  </si>
  <si>
    <t>Grass carp, skinless, boneless fillet, dried (microwave)</t>
  </si>
  <si>
    <t>0901660</t>
  </si>
  <si>
    <t>FPY</t>
  </si>
  <si>
    <t>Yellow perch, farmed, skinless fillet, raw</t>
  </si>
  <si>
    <t>Perca flavescens</t>
  </si>
  <si>
    <t>American yellow perch</t>
  </si>
  <si>
    <t>fish weight: 150g; commercial fish diet (Melick, Aquadiets): 42% protein, 16% lipid</t>
  </si>
  <si>
    <t>All values expressed per DM - conversion to FW; FA converted using XFA</t>
  </si>
  <si>
    <t>fi128</t>
  </si>
  <si>
    <t>0901661</t>
  </si>
  <si>
    <t>USA, Maryland (MD)</t>
  </si>
  <si>
    <t>SBH</t>
  </si>
  <si>
    <t>Striped bass, farmed, skinless fillet (incl. belly flaps), brackish water, male (1y), raw</t>
  </si>
  <si>
    <t>Morone saxatilis x M. chrysops</t>
  </si>
  <si>
    <t>Morone chrysops x M. saxatilis</t>
  </si>
  <si>
    <t>mean length and weight: 26.1cm, 440g; Commercial fish diet for trout (Ziegler Brothers): 38% protein, 8% fat</t>
  </si>
  <si>
    <t>fi132</t>
  </si>
  <si>
    <t>0901662</t>
  </si>
  <si>
    <t>Striped bass, farmed, skinless fillet (incl. belly flaps), male (1y), raw</t>
  </si>
  <si>
    <t>Striped bass, hybrid</t>
  </si>
  <si>
    <t>mean length and weight: 22.1cm, 300g; Commercial fish diet for trout (Ziegler Brothers): 38% protein, 8% fat</t>
  </si>
  <si>
    <t>0901663</t>
  </si>
  <si>
    <t>Italy, Brescia</t>
  </si>
  <si>
    <t>Striped bass, farmed, small size (9-10mo), skin-on fillet, raw</t>
  </si>
  <si>
    <t>Jul 1999</t>
  </si>
  <si>
    <t>Commercial fish diet: Aqualife 18, BioMarch S.r.l.): 46.6% protein, 6.1% moisture, 23.4% lipid, 1.0% fibre</t>
  </si>
  <si>
    <t>PRO- (analyzed according to AOAC 1990); FA converted using XFA</t>
  </si>
  <si>
    <t>fi134</t>
  </si>
  <si>
    <t>0901664</t>
  </si>
  <si>
    <t>Striped bass, farmed, small size (9-10mo), skinless fillet, raw</t>
  </si>
  <si>
    <t>Commercial fish diet: Aqualife 18, BioMarch S.r.l.): 46.6% protein, 6.1% moisture, 23.4% lipid, 1.0% fibre; FA calc. as % of FACID, FACID calculated using CF</t>
  </si>
  <si>
    <t>0901665</t>
  </si>
  <si>
    <t>Striped bass, farmed, medium size (13-14mo), skin-on fillet, raw</t>
  </si>
  <si>
    <t>0901666</t>
  </si>
  <si>
    <t>Striped bass, farmed, medium size (13-14mo), skinless fillet, raw</t>
  </si>
  <si>
    <t>0901667</t>
  </si>
  <si>
    <t>Striped bass, farmed, large size (18-19mo), skin-on fillet, raw</t>
  </si>
  <si>
    <t>0901668</t>
  </si>
  <si>
    <t>Striped bass, farmed, large size (18-19mo), skinless fillet, raw</t>
  </si>
  <si>
    <t>0901669</t>
  </si>
  <si>
    <t xml:space="preserve">mean length and weight of fish: 28.9cm, 259g </t>
  </si>
  <si>
    <t>fi136</t>
  </si>
  <si>
    <t>0901670</t>
  </si>
  <si>
    <t>Sea bass, farmed, fillet, fried (sunflower oil)</t>
  </si>
  <si>
    <t>0901671</t>
  </si>
  <si>
    <t>Sea bass, farmed, fillet, microwaved</t>
  </si>
  <si>
    <t>0901672</t>
  </si>
  <si>
    <t>Sea bass, farmed, fillet, baked</t>
  </si>
  <si>
    <t>0901673</t>
  </si>
  <si>
    <t>Sea bass, farmed, fillet, grilled</t>
  </si>
  <si>
    <t>0901674</t>
  </si>
  <si>
    <t>Italy</t>
  </si>
  <si>
    <t>STU</t>
  </si>
  <si>
    <t>Sturgeon, farmed, skinless, bonless fillet (white flesh only; dark muscle and subepithelial fat layer removed), raw</t>
  </si>
  <si>
    <t>Acipenser spp.</t>
  </si>
  <si>
    <t>Sturgeons nei</t>
  </si>
  <si>
    <t>Acipenseridae</t>
  </si>
  <si>
    <t>Apr-Jun 1993</t>
  </si>
  <si>
    <t>age and weight of fish: 42-54 months, 3350-5700g; FA expressed as % FAME</t>
  </si>
  <si>
    <t>fi143</t>
  </si>
  <si>
    <t>0901675</t>
  </si>
  <si>
    <t>Greece, Argosaronikos Gulf</t>
  </si>
  <si>
    <t>Gilthead sea bream, farmed, skinless fillet, raw</t>
  </si>
  <si>
    <t>Jan</t>
  </si>
  <si>
    <t>Commercial fish diet: 45% protein, 22%fat, 15% carbohydrate, 10% moisture, 8% ash; fish weight: 317.9g</t>
  </si>
  <si>
    <t>FAT- (analyzed according to AOAC 1984)</t>
  </si>
  <si>
    <t>fi145</t>
  </si>
  <si>
    <t>0901676</t>
  </si>
  <si>
    <t>Commercial fish diet: 45% protein, 22%fat, 15% carbohydrate, 10% moisture, 8% ash; fish weight: 320.4g</t>
  </si>
  <si>
    <t>0901677</t>
  </si>
  <si>
    <t>Aug</t>
  </si>
  <si>
    <t>Commercial fish diet: 45% protein, 22%fat, 15% carbohydrate, 10% moisture, 8% ash; fish weight: 285.0g</t>
  </si>
  <si>
    <t>0901678</t>
  </si>
  <si>
    <t>Sea trout, farmed, skinless dorsal fillet, frozen</t>
  </si>
  <si>
    <t>FA expressed per DM - conversion to FW</t>
  </si>
  <si>
    <t>fi146</t>
  </si>
  <si>
    <t>0901679</t>
  </si>
  <si>
    <t>Sea trout, farmed, skinless dorsal fillet, boiled</t>
  </si>
  <si>
    <t xml:space="preserve">boiling: 85-90 °C for 10-15min; </t>
  </si>
  <si>
    <t>0901680</t>
  </si>
  <si>
    <t>Sea trout, farmed, skinless dorsal fillet, fried (sunflower oil)</t>
  </si>
  <si>
    <t xml:space="preserve">frying: 150-170 °C for 15-20min; </t>
  </si>
  <si>
    <t>0901681</t>
  </si>
  <si>
    <t>Russia, Siberia</t>
  </si>
  <si>
    <t>0901682</t>
  </si>
  <si>
    <t xml:space="preserve">boiling: 85-90 °C for 10-15min;  </t>
  </si>
  <si>
    <t>0901683</t>
  </si>
  <si>
    <t>0901684</t>
  </si>
  <si>
    <t>Japan</t>
  </si>
  <si>
    <t>Amberjack, farmed, dorsal fillet, raw</t>
  </si>
  <si>
    <t>Jul 2000</t>
  </si>
  <si>
    <t>fi147</t>
  </si>
  <si>
    <t>0901685</t>
  </si>
  <si>
    <t>Aug 2000</t>
  </si>
  <si>
    <t>0901686</t>
  </si>
  <si>
    <t>Oct 2000</t>
  </si>
  <si>
    <t>0901687</t>
  </si>
  <si>
    <t>Nov 2000</t>
  </si>
  <si>
    <t>0901688</t>
  </si>
  <si>
    <t>Dec 2000</t>
  </si>
  <si>
    <t>0901689</t>
  </si>
  <si>
    <t>Jan 2001</t>
  </si>
  <si>
    <t>0901690</t>
  </si>
  <si>
    <t>Feb 2001</t>
  </si>
  <si>
    <t>0901691</t>
  </si>
  <si>
    <t>Mar 2001</t>
  </si>
  <si>
    <t>0901692</t>
  </si>
  <si>
    <t>May 2001</t>
  </si>
  <si>
    <t>0901693</t>
  </si>
  <si>
    <t>Jun 2001</t>
  </si>
  <si>
    <t>0901694</t>
  </si>
  <si>
    <t>India, Tamilnadu, Tuticorin fish-landing center</t>
  </si>
  <si>
    <t>SKJ</t>
  </si>
  <si>
    <t>Skipjack tuna, wild, steak, raw</t>
  </si>
  <si>
    <t>Katsuwonus pelamis</t>
  </si>
  <si>
    <t>Skipjack tuna</t>
  </si>
  <si>
    <t>mean length and weight of fish: 74cm, 6000g</t>
  </si>
  <si>
    <t>CHOLE- (analyzed according to AOAC 1995); FAT expressed per DM - conversion to FW; FAME converted using XFA</t>
  </si>
  <si>
    <t>fi150</t>
  </si>
  <si>
    <t>0901695</t>
  </si>
  <si>
    <t>Skipjack tuna, wild, steak, cooked</t>
  </si>
  <si>
    <t>mean length and weight of fish: 74cm, 6000g; cooked (in boiling water for 10 min)</t>
  </si>
  <si>
    <t>0901696</t>
  </si>
  <si>
    <t>mean length and weight of fish: 74cm, 6000g; cooked (in boiling water for 20 min)</t>
  </si>
  <si>
    <t>0901697</t>
  </si>
  <si>
    <t>mean length and weight of fish: 74cm, 6000g; cooked (in boiling water for 30 min)</t>
  </si>
  <si>
    <t>0901698</t>
  </si>
  <si>
    <t>Skipjack tuna, wild, steak, fried</t>
  </si>
  <si>
    <t>mean length and weight of fish: 74cm, 6000g; fried (in sunflower oil for 5 min)</t>
  </si>
  <si>
    <t>0901699</t>
  </si>
  <si>
    <t>mean length and weight of fish: 74cm, 6000g; fried (in sunflower oil for 7.5 min)</t>
  </si>
  <si>
    <t>0901700</t>
  </si>
  <si>
    <t>mean length and weight of fish: 74cm, 6000g; fried (in sunflower oil for 10 min)</t>
  </si>
  <si>
    <t>0901701</t>
  </si>
  <si>
    <t>Skipjack tuna, wild, steak, canned</t>
  </si>
  <si>
    <t>mean length and weight of fish: 74cm, 6000g; canned (110 ˚C, 90 min)</t>
  </si>
  <si>
    <t>0901702</t>
  </si>
  <si>
    <t>mean length and weight of fish: 74cm, 6000g; canned (115 ˚C, 70 min)</t>
  </si>
  <si>
    <t>0901703</t>
  </si>
  <si>
    <t>mean length and weight of fish: 74cm, 6000g; canned (121 ˚C, 40 min)</t>
  </si>
  <si>
    <t>0901704</t>
  </si>
  <si>
    <t>Skipjack tuna, wild, steak, microwave-cooked</t>
  </si>
  <si>
    <t>mean length and weight of fish: 74cm, 6000g; microwave-cooked for 10 sec</t>
  </si>
  <si>
    <t>0901705</t>
  </si>
  <si>
    <t>mean length and weight of fish: 74cm, 6000g; microwave-cooked (for 15 sec)</t>
  </si>
  <si>
    <t>0901706</t>
  </si>
  <si>
    <t>mean length and weight of fish: 74cm, 6000g; microwave-cooked (for 20 sec)</t>
  </si>
  <si>
    <t>0901707</t>
  </si>
  <si>
    <t>Salmón coho</t>
  </si>
  <si>
    <t>Salmon, skinless fillet, frozen</t>
  </si>
  <si>
    <t>all values given as range (proximates/FA/minerals)</t>
  </si>
  <si>
    <t>fi151</t>
  </si>
  <si>
    <t>60-68.6</t>
  </si>
  <si>
    <t>19.4-20.9</t>
  </si>
  <si>
    <t>7.4-17</t>
  </si>
  <si>
    <t>1.1-1.3</t>
  </si>
  <si>
    <t>283-361</t>
  </si>
  <si>
    <t>0901708</t>
  </si>
  <si>
    <t>Colombia, Bucaramanga</t>
  </si>
  <si>
    <t>Trucha arco iris</t>
  </si>
  <si>
    <t>Trout, farmed, skinless, boneless fillet, raw</t>
  </si>
  <si>
    <t>Salmo gairdnerii</t>
  </si>
  <si>
    <t>69.8-75.9</t>
  </si>
  <si>
    <t>17.8-20.4</t>
  </si>
  <si>
    <t>4.1-8.1</t>
  </si>
  <si>
    <t>1-1.2</t>
  </si>
  <si>
    <t>16-43</t>
  </si>
  <si>
    <t>217-331</t>
  </si>
  <si>
    <t>0901709</t>
  </si>
  <si>
    <t>Tilapia roja</t>
  </si>
  <si>
    <t>Tilapia, farmed, boneless, skinless fillet, raw</t>
  </si>
  <si>
    <t>Oreocliromis sp.</t>
  </si>
  <si>
    <t>72.3-76.9</t>
  </si>
  <si>
    <t>18.4-20.8</t>
  </si>
  <si>
    <t>2.2-4.5</t>
  </si>
  <si>
    <t>1.1-1.5</t>
  </si>
  <si>
    <t>15-33</t>
  </si>
  <si>
    <t>191-285</t>
  </si>
  <si>
    <t>0901710</t>
  </si>
  <si>
    <t>CSD</t>
  </si>
  <si>
    <t>Cachama blanca</t>
  </si>
  <si>
    <t>Pirapatinga, farmed, boneless, skinless fillet, raw</t>
  </si>
  <si>
    <t>Piaractus brachypomus</t>
  </si>
  <si>
    <t>Pirapatinga</t>
  </si>
  <si>
    <t>74.8-79.3</t>
  </si>
  <si>
    <t>16.7-19.3</t>
  </si>
  <si>
    <t>1.6-6.3</t>
  </si>
  <si>
    <t>157-248</t>
  </si>
  <si>
    <t>0901711</t>
  </si>
  <si>
    <t>Unknown (samples from fish market in Mexico City)</t>
  </si>
  <si>
    <t>ALB</t>
  </si>
  <si>
    <t>Albacora</t>
  </si>
  <si>
    <t>Albacore, fillet, raw</t>
  </si>
  <si>
    <t>Thunnus alalunga</t>
  </si>
  <si>
    <t>Albacore</t>
  </si>
  <si>
    <t>fi152</t>
  </si>
  <si>
    <t>0901712</t>
  </si>
  <si>
    <t>RGM</t>
  </si>
  <si>
    <t>Aleta mantarraya</t>
  </si>
  <si>
    <t>California butterfly ray, fillet, raw</t>
  </si>
  <si>
    <t>Gymnura marmorata</t>
  </si>
  <si>
    <t>California butterfly ray</t>
  </si>
  <si>
    <t>0901713</t>
  </si>
  <si>
    <t>Atún</t>
  </si>
  <si>
    <t>Atlantic bluefin tuna, fillet, raw</t>
  </si>
  <si>
    <t>0901714</t>
  </si>
  <si>
    <t>BEM</t>
  </si>
  <si>
    <t>Bagre</t>
  </si>
  <si>
    <t>Gafftopsail sea catfish, fillet, raw</t>
  </si>
  <si>
    <t>Bagre marinus</t>
  </si>
  <si>
    <t>Gafftopsail sea catfish</t>
  </si>
  <si>
    <t>0901715</t>
  </si>
  <si>
    <t>RPU</t>
  </si>
  <si>
    <t>Besuga</t>
  </si>
  <si>
    <t>Vermilion snapper, fillet, raw</t>
  </si>
  <si>
    <t>Rhomboplites aurorubens</t>
  </si>
  <si>
    <t>Vermilion snapper</t>
  </si>
  <si>
    <t>0901716</t>
  </si>
  <si>
    <t>CCR</t>
  </si>
  <si>
    <t>Cazón</t>
  </si>
  <si>
    <t>Smalltail shark, fillet, raw</t>
  </si>
  <si>
    <t>Carcharhinus porosus</t>
  </si>
  <si>
    <t>Smalltail shark</t>
  </si>
  <si>
    <t>0901717</t>
  </si>
  <si>
    <t>LHT</t>
  </si>
  <si>
    <t>Cintilla</t>
  </si>
  <si>
    <t>Largehead hairtail, fillet, raw</t>
  </si>
  <si>
    <t>Trichiurus lepturus</t>
  </si>
  <si>
    <t>Largehead hairtail</t>
  </si>
  <si>
    <t>0901718</t>
  </si>
  <si>
    <t>RUB</t>
  </si>
  <si>
    <t>Cojinuda</t>
  </si>
  <si>
    <t>Blue runner, fillet, raw</t>
  </si>
  <si>
    <t>Caranx crysus</t>
  </si>
  <si>
    <t>Blue runner</t>
  </si>
  <si>
    <t>Caranx crysos</t>
  </si>
  <si>
    <t>0901719</t>
  </si>
  <si>
    <t>SNR</t>
  </si>
  <si>
    <t>Huachinango golfo</t>
  </si>
  <si>
    <t>Northern red snapper, fillet, raw</t>
  </si>
  <si>
    <t>Lutjanus campechanus</t>
  </si>
  <si>
    <t>Northern red snapper</t>
  </si>
  <si>
    <t>0901720</t>
  </si>
  <si>
    <t>LWP</t>
  </si>
  <si>
    <t>Huachinango pacifico</t>
  </si>
  <si>
    <t>Pacific red snapper, fillet, raw</t>
  </si>
  <si>
    <t>Lutjanus peru</t>
  </si>
  <si>
    <t>Pacific red snapper</t>
  </si>
  <si>
    <t>0901721</t>
  </si>
  <si>
    <t>CVJ</t>
  </si>
  <si>
    <t>Jurel</t>
  </si>
  <si>
    <t>Crevalle jack, fillet, raw</t>
  </si>
  <si>
    <t>Caranx hippos</t>
  </si>
  <si>
    <t>Crevalle jack</t>
  </si>
  <si>
    <t>0901722</t>
  </si>
  <si>
    <t>GPR</t>
  </si>
  <si>
    <t>Red grouper, fillet, raw</t>
  </si>
  <si>
    <t>Epinephelus morio</t>
  </si>
  <si>
    <t>Red grouper</t>
  </si>
  <si>
    <t>0901723</t>
  </si>
  <si>
    <t>DUX</t>
  </si>
  <si>
    <t>Mojarra</t>
  </si>
  <si>
    <t>Caitipa mojarra, fillet, raw</t>
  </si>
  <si>
    <t>Diapterus rhombeus</t>
  </si>
  <si>
    <t>Diapterus spp</t>
  </si>
  <si>
    <t>0901724</t>
  </si>
  <si>
    <t>KGM</t>
  </si>
  <si>
    <t>Peto carito</t>
  </si>
  <si>
    <t>King mackerel, fillet, raw</t>
  </si>
  <si>
    <t>Scomberomorus cavalla</t>
  </si>
  <si>
    <t>King mackerel</t>
  </si>
  <si>
    <t>0901725</t>
  </si>
  <si>
    <t>Common snook, fillet, raw</t>
  </si>
  <si>
    <t>0901726</t>
  </si>
  <si>
    <t>SWF</t>
  </si>
  <si>
    <t>Spotted weakfish, fillet, raw</t>
  </si>
  <si>
    <t>Cynoscion nebulosus</t>
  </si>
  <si>
    <t>Spotted weakfish</t>
  </si>
  <si>
    <t>0901727</t>
  </si>
  <si>
    <t>SNL</t>
  </si>
  <si>
    <t>Villajaiba</t>
  </si>
  <si>
    <t>Lane snapper, fillet, raw</t>
  </si>
  <si>
    <t>Lutjanus synagris</t>
  </si>
  <si>
    <t>Lane snapper</t>
  </si>
  <si>
    <t>0901728</t>
  </si>
  <si>
    <t>LNM</t>
  </si>
  <si>
    <t>Jorobado</t>
  </si>
  <si>
    <t>Lookdown, fillet, raw</t>
  </si>
  <si>
    <t>Selene vomer</t>
  </si>
  <si>
    <t>Lookdown</t>
  </si>
  <si>
    <t>0901729</t>
  </si>
  <si>
    <t>Rainbow trout, farmed (conventionally, semi-intensive), skinless fillet, raw</t>
  </si>
  <si>
    <t>mean length and weight of fish: 33cm, 175g</t>
  </si>
  <si>
    <t>Iodine: &lt;20mcg/100g; FAT- (extraction according to Smedes, 1999: Determination of total lipid using non-chlorinated solvents. Analyst 124:1711-1718); FA converted using XFA</t>
  </si>
  <si>
    <t>fi154</t>
  </si>
  <si>
    <t>0901730</t>
  </si>
  <si>
    <t>Rainbow trout, farmed (conventionally, extensive), skinless fillet, raw</t>
  </si>
  <si>
    <t>mean length and weight of fish: 31cm, 307g</t>
  </si>
  <si>
    <t>0901731</t>
  </si>
  <si>
    <t>Rainbow trout, farmed (conventionally, intensive), skinless fillet, raw</t>
  </si>
  <si>
    <t>mean length and weight of fish: 32.7cm, 389g</t>
  </si>
  <si>
    <t>0901732</t>
  </si>
  <si>
    <t>Rainbow trout, farmed (organically), skinless fillet, raw</t>
  </si>
  <si>
    <t>mean length and weight of fish: 33cm, 401g</t>
  </si>
  <si>
    <t>0901733</t>
  </si>
  <si>
    <t>mean length and weight of fish: 32.2cm, 330g</t>
  </si>
  <si>
    <t>0901734</t>
  </si>
  <si>
    <t>Rainbow trout, farmed (conventionally), skinless fillet, hot-smoked</t>
  </si>
  <si>
    <t>0901735</t>
  </si>
  <si>
    <t>Rainbow trout, farmed (organically), skinless fillet, hot-smoked</t>
  </si>
  <si>
    <t>0901736</t>
  </si>
  <si>
    <t>SUR</t>
  </si>
  <si>
    <t>Yellowfin surgeon fish, muscle flesh, raw</t>
  </si>
  <si>
    <t>Acanthurus xanthopterus</t>
  </si>
  <si>
    <t>Acanthuridae</t>
  </si>
  <si>
    <t>CHOL- (cholesterol determination with ferric chloride method, Rudel and Morris 1973)</t>
  </si>
  <si>
    <t>fi155</t>
  </si>
  <si>
    <t>0901737</t>
  </si>
  <si>
    <t>AUJ</t>
  </si>
  <si>
    <t>Black fin sea catfish, muscle flesh, raw</t>
  </si>
  <si>
    <t>Arius jella</t>
  </si>
  <si>
    <t>Blackfin sea catfish</t>
  </si>
  <si>
    <t>Jul</t>
  </si>
  <si>
    <t>mean length and weight of fish: 25cm, 300g</t>
  </si>
  <si>
    <t>0901738</t>
  </si>
  <si>
    <t>mean length and weight of fish: 32cm, 315g</t>
  </si>
  <si>
    <t>0901739</t>
  </si>
  <si>
    <t>DRI</t>
  </si>
  <si>
    <t>Indian drift fish, muscle flesh, raw</t>
  </si>
  <si>
    <t>Ariomma indicus</t>
  </si>
  <si>
    <t>Indian driftfish</t>
  </si>
  <si>
    <t>Ariomma indica</t>
  </si>
  <si>
    <t>0901740</t>
  </si>
  <si>
    <t>SGY</t>
  </si>
  <si>
    <t>Spot tail needle fish, muscle flesh, raw</t>
  </si>
  <si>
    <t>Strongylura strongylura</t>
  </si>
  <si>
    <t>Spottail needlefish</t>
  </si>
  <si>
    <t>mean length and weight of fish: 35cm, 145g</t>
  </si>
  <si>
    <t>0901741</t>
  </si>
  <si>
    <t>UKX</t>
  </si>
  <si>
    <t>Flounder, muscle flesh, raw</t>
  </si>
  <si>
    <t>Pseudorhombus sp</t>
  </si>
  <si>
    <t>Pseudorhombus spp</t>
  </si>
  <si>
    <t>mean length and weight of fish: 15cm, 40g</t>
  </si>
  <si>
    <t>0901742</t>
  </si>
  <si>
    <t>mean length and weight of fish: 14cm, 29.5g</t>
  </si>
  <si>
    <t>0901743</t>
  </si>
  <si>
    <t>Torpedo scad, muscle flesh, raw</t>
  </si>
  <si>
    <t>Megalaspis cordyla</t>
  </si>
  <si>
    <t>mean length and weight of fish: 21cm, 100g</t>
  </si>
  <si>
    <t>0901744</t>
  </si>
  <si>
    <t>Torpedo scad, skin-on fillet, raw</t>
  </si>
  <si>
    <t>0901745</t>
  </si>
  <si>
    <t>POP</t>
  </si>
  <si>
    <t>Pompano, muscle flesh, raw</t>
  </si>
  <si>
    <t>Trachynotus ovatus</t>
  </si>
  <si>
    <t>Pompano</t>
  </si>
  <si>
    <t>Trachinotus ovatus</t>
  </si>
  <si>
    <t>mean length and weight of fish: 19cm, 193g</t>
  </si>
  <si>
    <t>0901746</t>
  </si>
  <si>
    <t>Black tailed trevally, muscle flesh, raw</t>
  </si>
  <si>
    <t>mean length and weight of fish: 14cm, 968g</t>
  </si>
  <si>
    <t>0901747</t>
  </si>
  <si>
    <t>OBJ</t>
  </si>
  <si>
    <t>Needle scaled queen fish, muscle flesh, raw</t>
  </si>
  <si>
    <t>Scomberoides tol</t>
  </si>
  <si>
    <t>Needlescaled queenfish</t>
  </si>
  <si>
    <t>0901748</t>
  </si>
  <si>
    <t>mean length and weight of fish: 20cm, 220g</t>
  </si>
  <si>
    <t>0901749</t>
  </si>
  <si>
    <t>mean length and weight of fish: 20cm, 120g</t>
  </si>
  <si>
    <t>0901750</t>
  </si>
  <si>
    <t>Black pomfret, muscle flesh, raw</t>
  </si>
  <si>
    <t>mean length and weight of fish: 23cm, 250g</t>
  </si>
  <si>
    <t>0901751</t>
  </si>
  <si>
    <t>RUS</t>
  </si>
  <si>
    <t>Indian scad, muscle flesh, raw</t>
  </si>
  <si>
    <t>Decapterus russelli</t>
  </si>
  <si>
    <t>Indian scad</t>
  </si>
  <si>
    <t>mean length and weight of fish: 18cm, 49g</t>
  </si>
  <si>
    <t>0901752</t>
  </si>
  <si>
    <t>mean length and weight of fish: 36cm, 285g</t>
  </si>
  <si>
    <t>0901753</t>
  </si>
  <si>
    <t>mean length and weight of fish: 37cm,424g</t>
  </si>
  <si>
    <t>0901754</t>
  </si>
  <si>
    <t>NGS</t>
  </si>
  <si>
    <t>Malabar trevelly, muscle flesh, raw</t>
  </si>
  <si>
    <t>Carangoides malabaricus</t>
  </si>
  <si>
    <t>Malabar trevally</t>
  </si>
  <si>
    <t>mean length and weight of fish: 16cm75g</t>
  </si>
  <si>
    <t>0901755</t>
  </si>
  <si>
    <t>0901756</t>
  </si>
  <si>
    <t>mean length and weight of fish: 20cm, 99g</t>
  </si>
  <si>
    <t>0901757</t>
  </si>
  <si>
    <t>Banded scad, muscle flesh, raw</t>
  </si>
  <si>
    <t>Caranx para</t>
  </si>
  <si>
    <t>mean length and weight of fish: 15cm, 32g</t>
  </si>
  <si>
    <t>0901758</t>
  </si>
  <si>
    <t>TUP</t>
  </si>
  <si>
    <t>Cleft belly trevally, muscle flesh, raw</t>
  </si>
  <si>
    <t>Atropus atropus female</t>
  </si>
  <si>
    <t>Cleftbelly trevally</t>
  </si>
  <si>
    <t>Atropus atropos</t>
  </si>
  <si>
    <t>mean length and weight of fish: 23cm, 181g</t>
  </si>
  <si>
    <t>0901759</t>
  </si>
  <si>
    <t>Atropus atropus</t>
  </si>
  <si>
    <t>mean length and weight of fish: 18cm,91g</t>
  </si>
  <si>
    <t>0901760</t>
  </si>
  <si>
    <t>MIL</t>
  </si>
  <si>
    <t>Mikfish, muscle flesh, raw</t>
  </si>
  <si>
    <t>Chanos chanos</t>
  </si>
  <si>
    <t>Milkfish</t>
  </si>
  <si>
    <t>Dec</t>
  </si>
  <si>
    <t>mean length and weight of fish: 35cm, 300g</t>
  </si>
  <si>
    <t>0901761</t>
  </si>
  <si>
    <t>DOB</t>
  </si>
  <si>
    <t>Silver bar, muscle flesh, raw</t>
  </si>
  <si>
    <t>Chirocentrus dorab</t>
  </si>
  <si>
    <t>Dorab wolf-herring</t>
  </si>
  <si>
    <t>0901762</t>
  </si>
  <si>
    <t>CNU</t>
  </si>
  <si>
    <t>White fin wolf herring, muscle flesh, raw</t>
  </si>
  <si>
    <t>Chirocentrus nudus</t>
  </si>
  <si>
    <t>Whitefin wolf-herring</t>
  </si>
  <si>
    <t>mean length and weight of fish: 49cm, 94g</t>
  </si>
  <si>
    <t>0901763</t>
  </si>
  <si>
    <t>mean length and weight of fish: 45cm, 364g</t>
  </si>
  <si>
    <t>0901764</t>
  </si>
  <si>
    <t>Tilapia, female, muscle flesh, raw</t>
  </si>
  <si>
    <t>Oreochromis mossambica</t>
  </si>
  <si>
    <t>mean length and weight of fish: 16cm, 65g</t>
  </si>
  <si>
    <t>0901765</t>
  </si>
  <si>
    <t>ERC</t>
  </si>
  <si>
    <t>Orange chromicle, muscle flesh, raw</t>
  </si>
  <si>
    <t>Etroplus maculatus</t>
  </si>
  <si>
    <t>Orange chromide</t>
  </si>
  <si>
    <t>mean length and weight of fish: 7cm, 7.5g</t>
  </si>
  <si>
    <t>0901766</t>
  </si>
  <si>
    <t>PHT</t>
  </si>
  <si>
    <t>Tardoore, muscle flesh, raw</t>
  </si>
  <si>
    <t>Opisthoptertus tardoor</t>
  </si>
  <si>
    <t>Tardoore</t>
  </si>
  <si>
    <t>Opisthopterus tardoore</t>
  </si>
  <si>
    <t>mean length and weight of fish: 15cm, 30g</t>
  </si>
  <si>
    <t>0901767</t>
  </si>
  <si>
    <t>mean length and weight of fish: 16cm, 44g</t>
  </si>
  <si>
    <t>0901768</t>
  </si>
  <si>
    <t>mean length and weight of fish: 24cm, 110g</t>
  </si>
  <si>
    <t>0901769</t>
  </si>
  <si>
    <t>RAS</t>
  </si>
  <si>
    <t>Rainbow sardine, muscle flesh, raw</t>
  </si>
  <si>
    <t>Dussumieria acuta</t>
  </si>
  <si>
    <t>Rainbow sardine</t>
  </si>
  <si>
    <t>mean length and weight of fish: 17cm, 41g</t>
  </si>
  <si>
    <t>0901770</t>
  </si>
  <si>
    <t>SDM</t>
  </si>
  <si>
    <t>Blacktrip sardinella, muscle flesh, raw</t>
  </si>
  <si>
    <t>Sardinella melanura</t>
  </si>
  <si>
    <t>Blacktip sardinella</t>
  </si>
  <si>
    <t>mean length and weight of fish: 16cm, 49g</t>
  </si>
  <si>
    <t>0901771</t>
  </si>
  <si>
    <t>RAL</t>
  </si>
  <si>
    <t>Oil sardine, muscle flesh, raw</t>
  </si>
  <si>
    <t>Dussumieria hasselti</t>
  </si>
  <si>
    <t>Slender rainbow sardine</t>
  </si>
  <si>
    <t>Dussumieria elopsoides</t>
  </si>
  <si>
    <t>mean length and weight of fish: 16cm, 25g</t>
  </si>
  <si>
    <t>0901772</t>
  </si>
  <si>
    <t>YOD</t>
  </si>
  <si>
    <t>Carrot tongue sole, muscle flesh, raw</t>
  </si>
  <si>
    <t>Cynoglossus dubius</t>
  </si>
  <si>
    <t>Carrot tonguesole</t>
  </si>
  <si>
    <t>mean length and weight of fish: 33cm, 213g</t>
  </si>
  <si>
    <t>0901773</t>
  </si>
  <si>
    <t>YOX</t>
  </si>
  <si>
    <t>Cynoglossus sp</t>
  </si>
  <si>
    <t>Tonguesole nei</t>
  </si>
  <si>
    <t>Cynoglossus spp</t>
  </si>
  <si>
    <t>mean length and weight of fish: 19cm, 38g</t>
  </si>
  <si>
    <t>0901774</t>
  </si>
  <si>
    <t>Mrigal, muscle flesh, raw</t>
  </si>
  <si>
    <t>Cirrhinal mrigata</t>
  </si>
  <si>
    <t>0901775</t>
  </si>
  <si>
    <t>Rohu (adult), muscle flesh, raw</t>
  </si>
  <si>
    <t>0901776</t>
  </si>
  <si>
    <t>CEV</t>
  </si>
  <si>
    <t>Ladyfish, muscle flesh, raw</t>
  </si>
  <si>
    <t>Elops machnata</t>
  </si>
  <si>
    <t>Tenpounder</t>
  </si>
  <si>
    <t>mean length and weight of fish: 52cm, 900g</t>
  </si>
  <si>
    <t>0901777</t>
  </si>
  <si>
    <t>EYD</t>
  </si>
  <si>
    <t>Dussumier's thryssa, muscle flesh, raw</t>
  </si>
  <si>
    <t>Tryssa dusumeri</t>
  </si>
  <si>
    <t>Dussumier's thryssa</t>
  </si>
  <si>
    <t>Thryssa dussumieri</t>
  </si>
  <si>
    <t>0901778</t>
  </si>
  <si>
    <t>HUO</t>
  </si>
  <si>
    <t>Spade fish, muscle flesh, raw</t>
  </si>
  <si>
    <t>Ephippus orbis</t>
  </si>
  <si>
    <t>Orbfish</t>
  </si>
  <si>
    <t>mean length and weight of fish: 11cm, 42g</t>
  </si>
  <si>
    <t>0901779</t>
  </si>
  <si>
    <t>GEF</t>
  </si>
  <si>
    <t>Whipfin silver biddy, muscle flesh, raw</t>
  </si>
  <si>
    <t>Gerres filamentoses</t>
  </si>
  <si>
    <t>Whipfin silver-biddy</t>
  </si>
  <si>
    <t>Gerres filamentosus</t>
  </si>
  <si>
    <t>mean length and weight of fish:15cm, 84g</t>
  </si>
  <si>
    <t>0901780</t>
  </si>
  <si>
    <t>mean length and weight of fish: 18cm, 84g</t>
  </si>
  <si>
    <t>0901781</t>
  </si>
  <si>
    <t>BGX</t>
  </si>
  <si>
    <t>Grunter, muscle flesh, raw</t>
  </si>
  <si>
    <t>Pomadasys furcatum</t>
  </si>
  <si>
    <t>Pomadasys spp</t>
  </si>
  <si>
    <t>mean length and weight of fish: 19cm, 100g</t>
  </si>
  <si>
    <t>0901782</t>
  </si>
  <si>
    <t>KAH</t>
  </si>
  <si>
    <t>Javelin grunter, muscle flesh, raw</t>
  </si>
  <si>
    <t>Pomadasys kaakan</t>
  </si>
  <si>
    <t>Javelin grunter</t>
  </si>
  <si>
    <t>0901783</t>
  </si>
  <si>
    <t>Pomadasys sp</t>
  </si>
  <si>
    <t>mean length and weight of fish: 15cm, 63g</t>
  </si>
  <si>
    <t>0901784</t>
  </si>
  <si>
    <t>HAX</t>
  </si>
  <si>
    <t>Needle fish, muscle flesh, raw</t>
  </si>
  <si>
    <t>Hemiramphus lutkei</t>
  </si>
  <si>
    <t>Hemiramphus spp</t>
  </si>
  <si>
    <t>0901785</t>
  </si>
  <si>
    <t>TRF</t>
  </si>
  <si>
    <t>False trevally, muscle flesh, raw</t>
  </si>
  <si>
    <t>Lactarius lactarius</t>
  </si>
  <si>
    <t>False trevally</t>
  </si>
  <si>
    <t>mean length and weight of fish: 14cm, 40g</t>
  </si>
  <si>
    <t>0901786</t>
  </si>
  <si>
    <t>LGE</t>
  </si>
  <si>
    <t>Pugnose ponyfish, muscle flesh, raw</t>
  </si>
  <si>
    <t>Leiognathus equulus</t>
  </si>
  <si>
    <t>Common ponyfish</t>
  </si>
  <si>
    <t>0901787</t>
  </si>
  <si>
    <t>LGP</t>
  </si>
  <si>
    <t>Splendid ponyfish, muscle flesh, raw</t>
  </si>
  <si>
    <t>Leiognathus splendens</t>
  </si>
  <si>
    <t>Splendid ponyfish</t>
  </si>
  <si>
    <t>0901788</t>
  </si>
  <si>
    <t>LCV</t>
  </si>
  <si>
    <t>Orange fin pony fish, muscle flesh, raw</t>
  </si>
  <si>
    <t>Leiognathus bindus</t>
  </si>
  <si>
    <t>Orangefin ponyfish</t>
  </si>
  <si>
    <t>mean length and weight of fish: 8cm, 7g</t>
  </si>
  <si>
    <t>0901789</t>
  </si>
  <si>
    <t>LTS</t>
  </si>
  <si>
    <t>Emperor, muscle flesh, raw</t>
  </si>
  <si>
    <t>Lethrinus cinerius</t>
  </si>
  <si>
    <t>Pink ear emperor</t>
  </si>
  <si>
    <t>Lethrinus lentjan</t>
  </si>
  <si>
    <t>mean length and weight of fish: 244cm, 1200g</t>
  </si>
  <si>
    <t>0901790</t>
  </si>
  <si>
    <t>LJG</t>
  </si>
  <si>
    <t>Humpback red snapper, muscle flesh, raw</t>
  </si>
  <si>
    <t>Lutjanus gibbus</t>
  </si>
  <si>
    <t>Humpback red snapper</t>
  </si>
  <si>
    <t>mean length and weight of fish: 31cm, 850g</t>
  </si>
  <si>
    <t>0901791</t>
  </si>
  <si>
    <t>PFM</t>
  </si>
  <si>
    <t>Blue spotted job fish, muscle flesh, raw</t>
  </si>
  <si>
    <t>Pristipomoides filamentoses</t>
  </si>
  <si>
    <t>Crimson jobfish</t>
  </si>
  <si>
    <t>Pristipomoides filamentosus</t>
  </si>
  <si>
    <t>0901792</t>
  </si>
  <si>
    <t>Oxeye tarpon, muscle flesh, raw</t>
  </si>
  <si>
    <t>Megalops cyprinoides</t>
  </si>
  <si>
    <t>mean length and weight of fish: 18cm, 69g</t>
  </si>
  <si>
    <t>0901793</t>
  </si>
  <si>
    <t>VMC</t>
  </si>
  <si>
    <t>Long arm mullet, muscle flesh, raw</t>
  </si>
  <si>
    <t>Vaiamugil cunnesius</t>
  </si>
  <si>
    <t>Longarm mullet</t>
  </si>
  <si>
    <t>Valamugil cunnesius</t>
  </si>
  <si>
    <t>0901794</t>
  </si>
  <si>
    <t>UPI</t>
  </si>
  <si>
    <t>Striped goatfish, muscle flesh, raw</t>
  </si>
  <si>
    <t>Upenus vittatus</t>
  </si>
  <si>
    <t>Yellowstriped goatfish</t>
  </si>
  <si>
    <t>Upeneus vittatus</t>
  </si>
  <si>
    <t>mean length and weight of fish: 15cm, 50g</t>
  </si>
  <si>
    <t>0901795</t>
  </si>
  <si>
    <t>0901796</t>
  </si>
  <si>
    <t>RYH</t>
  </si>
  <si>
    <t>Eagle ray, muscle flesh, raw</t>
  </si>
  <si>
    <t>Myliobatis nieuhofli</t>
  </si>
  <si>
    <t>Banded eagle ray</t>
  </si>
  <si>
    <t>Aetomylaeus niehofii</t>
  </si>
  <si>
    <t>mean length and weight of fish: 27cm, 1040g</t>
  </si>
  <si>
    <t>0901797</t>
  </si>
  <si>
    <t>THB</t>
  </si>
  <si>
    <t>Pink perch, muscle flesh, raw</t>
  </si>
  <si>
    <t>Nemipterus bleekeri</t>
  </si>
  <si>
    <t>Threadfin breams nei</t>
  </si>
  <si>
    <t>Nemipterus spp</t>
  </si>
  <si>
    <t>mean length and weight of fish: 22cm, 119g</t>
  </si>
  <si>
    <t>0901798</t>
  </si>
  <si>
    <t>mean length and weight of fish: 21cm, 130g</t>
  </si>
  <si>
    <t>0901799</t>
  </si>
  <si>
    <t>THD</t>
  </si>
  <si>
    <t>Rosy monacle bream, muscle flesh, raw</t>
  </si>
  <si>
    <t>Parascolopsis eriomma</t>
  </si>
  <si>
    <t>Nemipteridae</t>
  </si>
  <si>
    <t>mean length and weight of fish: 27cm, 375g</t>
  </si>
  <si>
    <t>0901800</t>
  </si>
  <si>
    <t>Four finger thread fin, muscle flesh, raw</t>
  </si>
  <si>
    <t>Eleutheronema tetradactylus</t>
  </si>
  <si>
    <t>Eleutheronema tetradactylum</t>
  </si>
  <si>
    <t>mean length and weight of fish: 33cm, 500g</t>
  </si>
  <si>
    <t>0901801</t>
  </si>
  <si>
    <t>OAX</t>
  </si>
  <si>
    <t>Blackspot threadfin, muscle flesh, raw</t>
  </si>
  <si>
    <t>Polynemus sextarius</t>
  </si>
  <si>
    <t>Blackspot threadfin</t>
  </si>
  <si>
    <t>Polydactylus sextarius</t>
  </si>
  <si>
    <t>mean length and weight of fish: 15cm, 43g</t>
  </si>
  <si>
    <t>0901802</t>
  </si>
  <si>
    <t>BIG</t>
  </si>
  <si>
    <t>Bull eye, muscle flesh, raw</t>
  </si>
  <si>
    <t>Priacanthus sp</t>
  </si>
  <si>
    <t>Bigeyes nei</t>
  </si>
  <si>
    <t>Priacanthus spp</t>
  </si>
  <si>
    <t>mean length and weight of fish: 18cm, 75g</t>
  </si>
  <si>
    <t>0901803</t>
  </si>
  <si>
    <t>HAI</t>
  </si>
  <si>
    <t>Indian tiny turbot, muscle flesh, raw</t>
  </si>
  <si>
    <t>Psettodes erumei</t>
  </si>
  <si>
    <t>Indian halibut</t>
  </si>
  <si>
    <t>mean length and weight of fish: 33cm, 587g</t>
  </si>
  <si>
    <t>0901804</t>
  </si>
  <si>
    <t>NBA</t>
  </si>
  <si>
    <t>Bloched croaker, muscle flesh, raw</t>
  </si>
  <si>
    <t>Nibea maculata</t>
  </si>
  <si>
    <t>Blotched croaker</t>
  </si>
  <si>
    <t>mean length and weight of fish: 23cm, 150g</t>
  </si>
  <si>
    <t>0901805</t>
  </si>
  <si>
    <t>JOX</t>
  </si>
  <si>
    <t>Karut croaker, muscle flesh, raw</t>
  </si>
  <si>
    <t>Johnius carutta</t>
  </si>
  <si>
    <t>Johnius spp</t>
  </si>
  <si>
    <t>mean length and weight of fish: 18cm, 65g</t>
  </si>
  <si>
    <t>0901806</t>
  </si>
  <si>
    <t>JOU</t>
  </si>
  <si>
    <t>Sin croaker, muscle flesh, raw</t>
  </si>
  <si>
    <t>Johniops sinai</t>
  </si>
  <si>
    <t>Sin croaker</t>
  </si>
  <si>
    <t>Johnius dussumieri</t>
  </si>
  <si>
    <t>mean length and weight of fish: 14cm, 33g</t>
  </si>
  <si>
    <t>0901807</t>
  </si>
  <si>
    <t>mean length and weight of fish: 12cm, 18g</t>
  </si>
  <si>
    <t>0901808</t>
  </si>
  <si>
    <t>Spindle croaker, muscle flesh, raw</t>
  </si>
  <si>
    <t>Johnius elongatus</t>
  </si>
  <si>
    <t>mean length and weight of fish: 16cm, 74g</t>
  </si>
  <si>
    <t>0901809</t>
  </si>
  <si>
    <t>LKR</t>
  </si>
  <si>
    <t>Tiger toothed croaker, muscle flesh, raw</t>
  </si>
  <si>
    <t>Otolithus ruber</t>
  </si>
  <si>
    <t>Tigertooth croaker</t>
  </si>
  <si>
    <t>Otolithes ruber</t>
  </si>
  <si>
    <t>mean length and weight of fish: 34cm, 458g</t>
  </si>
  <si>
    <t>0901810</t>
  </si>
  <si>
    <t>Johniops sina</t>
  </si>
  <si>
    <t>mean length and weight of fish: 17cm, 80g</t>
  </si>
  <si>
    <t>0901811</t>
  </si>
  <si>
    <t>Mackerel, muscle flesh, raw</t>
  </si>
  <si>
    <t>mean length and weight of fish: 12cm, 15g</t>
  </si>
  <si>
    <t>0901812</t>
  </si>
  <si>
    <t>Mackerel, female, muscle flesh, raw</t>
  </si>
  <si>
    <t>mean length and weight of fish: 27cm, 259g</t>
  </si>
  <si>
    <t>0901813</t>
  </si>
  <si>
    <t>Mackerel, male, muscle flesh, raw</t>
  </si>
  <si>
    <t>mean length and weight of fish: 23cm, 127g</t>
  </si>
  <si>
    <t>0901814</t>
  </si>
  <si>
    <t>Mackerel, immature, muscle flesh, raw</t>
  </si>
  <si>
    <t>mean length and weight of fish: 18cm, 70g</t>
  </si>
  <si>
    <t>0901815</t>
  </si>
  <si>
    <t>mean length and weight of fish: 21cm, 115g</t>
  </si>
  <si>
    <t>0901816</t>
  </si>
  <si>
    <t>Kadal varal, muscle flesh, raw</t>
  </si>
  <si>
    <t>Elachata nigra</t>
  </si>
  <si>
    <t>mean length and weight of fish: 46cm, 750g</t>
  </si>
  <si>
    <t>0901817</t>
  </si>
  <si>
    <t>mean length and weight of fish: 21cm, 119g</t>
  </si>
  <si>
    <t>0901818</t>
  </si>
  <si>
    <t>mean length and weight of fish: 44cm, 514g</t>
  </si>
  <si>
    <t>0901819</t>
  </si>
  <si>
    <t>EES</t>
  </si>
  <si>
    <t>Banded grouper, muscle flesh, raw</t>
  </si>
  <si>
    <t>Epinephles latifasciiatus</t>
  </si>
  <si>
    <t>Striped grouper</t>
  </si>
  <si>
    <t>Epinephelus latifasciatus</t>
  </si>
  <si>
    <t>mean length and weight of fish: 27cm, 283g</t>
  </si>
  <si>
    <t>0901820</t>
  </si>
  <si>
    <t>ILS</t>
  </si>
  <si>
    <t>Silver sillago, muscle flesh, raw</t>
  </si>
  <si>
    <t>Sillago sihama</t>
  </si>
  <si>
    <t>Silver sillago</t>
  </si>
  <si>
    <t>mean length and weight of fish: 14cm, 30g</t>
  </si>
  <si>
    <t>0901821</t>
  </si>
  <si>
    <t>KBR</t>
  </si>
  <si>
    <t>King soldier bream, muscle flesh, raw</t>
  </si>
  <si>
    <t>Argyrops spinifer</t>
  </si>
  <si>
    <t>King soldier bream</t>
  </si>
  <si>
    <t>mean length and weight of fish: 20cm, 190g</t>
  </si>
  <si>
    <t>0901822</t>
  </si>
  <si>
    <t>YBS</t>
  </si>
  <si>
    <t>Big eye barracuda, muscle flesh, raw</t>
  </si>
  <si>
    <t>Sphyraena forsteri</t>
  </si>
  <si>
    <t>Bigeye barracuda</t>
  </si>
  <si>
    <t>mean length and weight of fish: 30cm, 125g</t>
  </si>
  <si>
    <t>0901823</t>
  </si>
  <si>
    <t>YRB</t>
  </si>
  <si>
    <t>Obtuse barracuda, muscle flesh, raw</t>
  </si>
  <si>
    <t>Sphyraena obtusata</t>
  </si>
  <si>
    <t>Obtuse barracuda</t>
  </si>
  <si>
    <t>mean length and weight of fish: 23cm, 80g</t>
  </si>
  <si>
    <t>0901824</t>
  </si>
  <si>
    <t>BAC</t>
  </si>
  <si>
    <t>Barracuda, muscle flesh, raw</t>
  </si>
  <si>
    <t>Sphyraena jello</t>
  </si>
  <si>
    <t>Pickhandle barracuda</t>
  </si>
  <si>
    <t>mean length and weight of fish: 45cm, 510g</t>
  </si>
  <si>
    <t>0901825</t>
  </si>
  <si>
    <t>Silver pomfret, muscle flesh, raw</t>
  </si>
  <si>
    <t>Pambus argentius</t>
  </si>
  <si>
    <t>mean length and weight of fish: 16cm, 150g</t>
  </si>
  <si>
    <t>0901826</t>
  </si>
  <si>
    <t>LIB</t>
  </si>
  <si>
    <t>Brush tooth lizard fish, muscle flesh, raw</t>
  </si>
  <si>
    <t>Saurida undosquamosis</t>
  </si>
  <si>
    <t>Brushtooth lizardfish</t>
  </si>
  <si>
    <t>Saurida undosquamis</t>
  </si>
  <si>
    <t>mean length and weight of fish: 24cm, 98g</t>
  </si>
  <si>
    <t>0901827</t>
  </si>
  <si>
    <t>TJB</t>
  </si>
  <si>
    <t>Jarbua therapon, muscle flesh, raw</t>
  </si>
  <si>
    <t>Jarbua therapon</t>
  </si>
  <si>
    <t>Jarbua terapon</t>
  </si>
  <si>
    <t>Terapon jarbua</t>
  </si>
  <si>
    <t>0901828</t>
  </si>
  <si>
    <t>0901829</t>
  </si>
  <si>
    <t>TOF</t>
  </si>
  <si>
    <t>Electric ray, muscle flesh, raw</t>
  </si>
  <si>
    <t>Narcine sp</t>
  </si>
  <si>
    <t>Electric rays, etc.nei</t>
  </si>
  <si>
    <t>Torpediniformes/Narcinidae</t>
  </si>
  <si>
    <t>mean length and weight of fish: 23cm</t>
  </si>
  <si>
    <t>0901830</t>
  </si>
  <si>
    <t>LDP</t>
  </si>
  <si>
    <t>Rosy grub fish, muscle flesh, raw</t>
  </si>
  <si>
    <t>Percis pulchella</t>
  </si>
  <si>
    <t>Orange perch</t>
  </si>
  <si>
    <t>Lepidoperca pulchella</t>
  </si>
  <si>
    <t>mean length and weight of fish: 14cm, 35g</t>
  </si>
  <si>
    <t>0901831</t>
  </si>
  <si>
    <t>SVH</t>
  </si>
  <si>
    <t>Savalai hair tail, muscle flesh, raw</t>
  </si>
  <si>
    <t>Lepturacanthus savala</t>
  </si>
  <si>
    <t>Savalai hairtail</t>
  </si>
  <si>
    <t>mean length and weight of fish:47cm, 87g</t>
  </si>
  <si>
    <t>0901832</t>
  </si>
  <si>
    <t>URA</t>
  </si>
  <si>
    <t>Star gazers, muscle flesh, raw</t>
  </si>
  <si>
    <t>Chanoscopes sp</t>
  </si>
  <si>
    <t>Stargazers</t>
  </si>
  <si>
    <t>Uranoscopus spp</t>
  </si>
  <si>
    <t>mean length and weight of fish: 28cm, 399g</t>
  </si>
  <si>
    <t>0901833</t>
  </si>
  <si>
    <t>PNI</t>
  </si>
  <si>
    <t>Indian white shrimp, edible flesh, raw</t>
  </si>
  <si>
    <t>Penaeus indicus</t>
  </si>
  <si>
    <t>Indian white prawn</t>
  </si>
  <si>
    <t>mean length and weight of prawn:13cm, 14g</t>
  </si>
  <si>
    <t>0901834</t>
  </si>
  <si>
    <t>mean length and weight of prawn: 17cm, 22g</t>
  </si>
  <si>
    <t>0901835</t>
  </si>
  <si>
    <t>MPN</t>
  </si>
  <si>
    <t>Speckled shrimp, edible flesh, raw</t>
  </si>
  <si>
    <t>Metapenaeus monoceros</t>
  </si>
  <si>
    <t>Speckled shrimp</t>
  </si>
  <si>
    <t>mean length and weight of prawn: 7cm, 2.75g</t>
  </si>
  <si>
    <t>0901836</t>
  </si>
  <si>
    <t>mean length and weight of prawn: 9cm, 6.25g</t>
  </si>
  <si>
    <t>0901837</t>
  </si>
  <si>
    <t>GIT</t>
  </si>
  <si>
    <t>Giant tiger prawn, edible flesh, raw</t>
  </si>
  <si>
    <t>Penaeus monodon</t>
  </si>
  <si>
    <t>Giant tiger prawn</t>
  </si>
  <si>
    <t>mean length and weight of prawn: 19cm, 45g</t>
  </si>
  <si>
    <t>0901838</t>
  </si>
  <si>
    <t>MPD</t>
  </si>
  <si>
    <t>Kadal shrimp, edible flesh, raw</t>
  </si>
  <si>
    <t>Metapenaeus dobsoni</t>
  </si>
  <si>
    <t>Kadal shrimp</t>
  </si>
  <si>
    <t>mean length and weight of prawn: 9cm, 3.3g</t>
  </si>
  <si>
    <t>0901839</t>
  </si>
  <si>
    <t>NMY</t>
  </si>
  <si>
    <t>Fiddler shrimp, edible flesh, raw</t>
  </si>
  <si>
    <t>Metapenaeopsis stridulens</t>
  </si>
  <si>
    <t>Fiddler shrimp</t>
  </si>
  <si>
    <t>Metapenaeopsis stridulans</t>
  </si>
  <si>
    <t>mean length and weight of prawn: 8cm, 2.3g</t>
  </si>
  <si>
    <t>0901840</t>
  </si>
  <si>
    <t>MUD</t>
  </si>
  <si>
    <t>Mud crab, edible flesh, raw</t>
  </si>
  <si>
    <t>Scylla seffata</t>
  </si>
  <si>
    <t>Indo-Pacific swamp crab</t>
  </si>
  <si>
    <t>Scylla serrata</t>
  </si>
  <si>
    <t>mean length and weight of crab: 10cm, 180g</t>
  </si>
  <si>
    <t>0901841</t>
  </si>
  <si>
    <t>Mud crab, claw meat, raw</t>
  </si>
  <si>
    <t>0901842</t>
  </si>
  <si>
    <t>UNG</t>
  </si>
  <si>
    <t>Red spot crab, edible flesh, raw</t>
  </si>
  <si>
    <t>Portunus sanquinolentus</t>
  </si>
  <si>
    <t>Threespot swimming crab</t>
  </si>
  <si>
    <t>Portunus sanguinolentus</t>
  </si>
  <si>
    <t>mean length and weight of crab: 13cm, 110g</t>
  </si>
  <si>
    <t>0901843</t>
  </si>
  <si>
    <t>YBX</t>
  </si>
  <si>
    <t>Coral crab, edible flesh, raw</t>
  </si>
  <si>
    <t>Charibdis cruciata</t>
  </si>
  <si>
    <t>Charybdis crabs nei</t>
  </si>
  <si>
    <t>Charybdis spp</t>
  </si>
  <si>
    <t>mean length and weight of crab: 10cm, 156g</t>
  </si>
  <si>
    <t>0901844</t>
  </si>
  <si>
    <t>mean length and weight of crab: 11cm, 190g</t>
  </si>
  <si>
    <t>0901845</t>
  </si>
  <si>
    <t>SCD</t>
  </si>
  <si>
    <t>Sand crab, edible flesh, raw</t>
  </si>
  <si>
    <t>Portunus pelagicus</t>
  </si>
  <si>
    <t>Blue swimming crab</t>
  </si>
  <si>
    <t>mean length and weight of crab: 14cm, 11g</t>
  </si>
  <si>
    <t>0901846</t>
  </si>
  <si>
    <t>EJA</t>
  </si>
  <si>
    <t>Cuttle fish, edible flesh, raw</t>
  </si>
  <si>
    <t>Sepia aculeate</t>
  </si>
  <si>
    <t>Needle cuttlefish</t>
  </si>
  <si>
    <t>Sepia aculeata</t>
  </si>
  <si>
    <t>0901847</t>
  </si>
  <si>
    <t>mean length and weight of cuttle fish: 10cm, 67g</t>
  </si>
  <si>
    <t>0901848</t>
  </si>
  <si>
    <t>OJD</t>
  </si>
  <si>
    <t>Squid, edible flesh, raw</t>
  </si>
  <si>
    <t>Loligo duvauceli</t>
  </si>
  <si>
    <t>Indian squid</t>
  </si>
  <si>
    <t>mean length and weight of squid: 15cm, 52g</t>
  </si>
  <si>
    <t>0901849</t>
  </si>
  <si>
    <t>0901850</t>
  </si>
  <si>
    <t>USA, SE Alaska</t>
  </si>
  <si>
    <t>ABX</t>
  </si>
  <si>
    <t>Abalone, edible flesh, raw</t>
  </si>
  <si>
    <t>Haliotis</t>
  </si>
  <si>
    <t>Abalones nei</t>
  </si>
  <si>
    <t>Haliotis spp</t>
  </si>
  <si>
    <t>fi195</t>
  </si>
  <si>
    <t>0901851</t>
  </si>
  <si>
    <t>SXI</t>
  </si>
  <si>
    <t>Butter clam, edible fleh, raw</t>
  </si>
  <si>
    <t>Saxidomus nuttalli</t>
  </si>
  <si>
    <t>Common butter clam</t>
  </si>
  <si>
    <t>0901852</t>
  </si>
  <si>
    <t>KCL</t>
  </si>
  <si>
    <t>Cockle clam, edible flesh, raw</t>
  </si>
  <si>
    <t>Cardium corbis</t>
  </si>
  <si>
    <t>Basket cockle</t>
  </si>
  <si>
    <t>Clinocardium nuttallii</t>
  </si>
  <si>
    <t>0901853</t>
  </si>
  <si>
    <t>PTS</t>
  </si>
  <si>
    <t>Little neck clam, edible flesh, raw</t>
  </si>
  <si>
    <t>Protothaca staminea</t>
  </si>
  <si>
    <t>Pacific littleneck clam</t>
  </si>
  <si>
    <t>0901854</t>
  </si>
  <si>
    <t>USA, Alaksa/Washington/Oregon</t>
  </si>
  <si>
    <t>PCO</t>
  </si>
  <si>
    <t>Pacific cod, skinless muscle flesh, raw</t>
  </si>
  <si>
    <t>Gadus macrocephalus</t>
  </si>
  <si>
    <t>Pacific cod</t>
  </si>
  <si>
    <t>0901855</t>
  </si>
  <si>
    <t>USA, Washington/Oregon</t>
  </si>
  <si>
    <t>CLI</t>
  </si>
  <si>
    <t>Lingcod, skinless muscle flesh, raw</t>
  </si>
  <si>
    <t>Ophiodon elongatus</t>
  </si>
  <si>
    <t>Lingcod</t>
  </si>
  <si>
    <t>0901856</t>
  </si>
  <si>
    <t>USA, Washington/Oregon/N California</t>
  </si>
  <si>
    <t>DUN</t>
  </si>
  <si>
    <t>Dungeness crab, edible flesh (body), raw</t>
  </si>
  <si>
    <t>Cancer magister</t>
  </si>
  <si>
    <t>Dungeness crab</t>
  </si>
  <si>
    <t>0901857</t>
  </si>
  <si>
    <t>Dungeness crab, edible flesh (leg), raw</t>
  </si>
  <si>
    <t>0901858</t>
  </si>
  <si>
    <t>USA, Kodiak Islands</t>
  </si>
  <si>
    <t>KCD</t>
  </si>
  <si>
    <t>King crab, edible flesh (body), raw</t>
  </si>
  <si>
    <t>Paralithodes camschatica</t>
  </si>
  <si>
    <t>Red king crab</t>
  </si>
  <si>
    <t>Paralithodes camtschaticus</t>
  </si>
  <si>
    <t>0901859</t>
  </si>
  <si>
    <t>King crab, edible flesh (leg), raw</t>
  </si>
  <si>
    <t>0901860</t>
  </si>
  <si>
    <t>King crab, edible flesh (composite), raw</t>
  </si>
  <si>
    <t>0901861</t>
  </si>
  <si>
    <t>CUX</t>
  </si>
  <si>
    <t>Red sea cucumber, edible flesh, raw</t>
  </si>
  <si>
    <t>Stichopus californicus</t>
  </si>
  <si>
    <t>Sea cucumbers nei</t>
  </si>
  <si>
    <t>Holothurioidea</t>
  </si>
  <si>
    <t>0901862</t>
  </si>
  <si>
    <t>Canada, Straits of Juan de Fuca</t>
  </si>
  <si>
    <t>DGS</t>
  </si>
  <si>
    <t>Spiny dogfish, skinless muscle flesh, raw</t>
  </si>
  <si>
    <t>Squalus acanthias</t>
  </si>
  <si>
    <t>Picked dogfish</t>
  </si>
  <si>
    <t>0901863</t>
  </si>
  <si>
    <t>USA, Lower Puget Sound, Washington</t>
  </si>
  <si>
    <t>Spiny dogfish, whole, raw</t>
  </si>
  <si>
    <t>0901864</t>
  </si>
  <si>
    <t>USA, Colorado River</t>
  </si>
  <si>
    <t>EUL</t>
  </si>
  <si>
    <t>Eulachon, skinless muscle flesh, raw</t>
  </si>
  <si>
    <t>Thaleichthys pacificus</t>
  </si>
  <si>
    <t>Eulachon</t>
  </si>
  <si>
    <t>0901865</t>
  </si>
  <si>
    <t>USA, SE Alaska/Washington/Oregon</t>
  </si>
  <si>
    <t>ARF</t>
  </si>
  <si>
    <t>Arrowtooth flounder, skinless muscle flesh, raw</t>
  </si>
  <si>
    <t>Atheresthes stomias</t>
  </si>
  <si>
    <t>Arrow-tooth flounder</t>
  </si>
  <si>
    <t>0901866</t>
  </si>
  <si>
    <t>USA, SE Alaska/Washington/Oregon/Puget Sound</t>
  </si>
  <si>
    <t>PWQ</t>
  </si>
  <si>
    <t>Starry flounder, skinless muscle flesh, raw</t>
  </si>
  <si>
    <t>Platichthys stellatus</t>
  </si>
  <si>
    <t>Starry flounder</t>
  </si>
  <si>
    <t>0901867</t>
  </si>
  <si>
    <t>CLX</t>
  </si>
  <si>
    <t>Geoduck, syphon, raw</t>
  </si>
  <si>
    <t>Panope generosa</t>
  </si>
  <si>
    <t>Clams, etc. nei</t>
  </si>
  <si>
    <t>Bivalvia/Hiatellidae</t>
  </si>
  <si>
    <t>0901868</t>
  </si>
  <si>
    <t>Geoduck, edible muscle flesh (body), raw</t>
  </si>
  <si>
    <t>0901869</t>
  </si>
  <si>
    <t>USA, Oregon/Washington/Alaska</t>
  </si>
  <si>
    <t>HAP</t>
  </si>
  <si>
    <t>Pacific halibut, skinless muscle flesh, raw</t>
  </si>
  <si>
    <t>Hippoglossus stenolepis</t>
  </si>
  <si>
    <t>Pacific halibut</t>
  </si>
  <si>
    <t>0901870</t>
  </si>
  <si>
    <t>USA, British Colombia/Puget Sound</t>
  </si>
  <si>
    <t>HEP</t>
  </si>
  <si>
    <t>Pacific herring, skinless muscle flesh, raw</t>
  </si>
  <si>
    <t>Clupea harengus pallasi</t>
  </si>
  <si>
    <t>Clupea pallasii</t>
  </si>
  <si>
    <t>0901871</t>
  </si>
  <si>
    <t>USA, Kodiak/SE Alaska/British Colombia</t>
  </si>
  <si>
    <t>Pacific herring, whole, raw</t>
  </si>
  <si>
    <t>0901872</t>
  </si>
  <si>
    <t>OCT</t>
  </si>
  <si>
    <t>Octopus, edible flesh, raw</t>
  </si>
  <si>
    <t>Paroctopus hongkongensis</t>
  </si>
  <si>
    <t>Octopuses, etc. nei</t>
  </si>
  <si>
    <t>Octopodidae</t>
  </si>
  <si>
    <t>0901873</t>
  </si>
  <si>
    <t>USA, Alaska</t>
  </si>
  <si>
    <t>OYG</t>
  </si>
  <si>
    <t>Japanese oyster, edible flesh, raw</t>
  </si>
  <si>
    <t>Crassostrea gigas</t>
  </si>
  <si>
    <t>Pacific cupped oyster</t>
  </si>
  <si>
    <t>0901874</t>
  </si>
  <si>
    <t>OFO</t>
  </si>
  <si>
    <t>Native oyster, edible flesh, raw</t>
  </si>
  <si>
    <t>Ostrea lurida</t>
  </si>
  <si>
    <t>Yaquina oyster</t>
  </si>
  <si>
    <t>0901875</t>
  </si>
  <si>
    <t>USA, Bering Sea/NE Pacific Ocean of Alaska</t>
  </si>
  <si>
    <t>ALK</t>
  </si>
  <si>
    <t>Walleye pollock, skinless fillet, raw</t>
  </si>
  <si>
    <t>Theragra chalcogramma</t>
  </si>
  <si>
    <t>Alaska pollock(=Walleye poll.)</t>
  </si>
  <si>
    <t>0901876</t>
  </si>
  <si>
    <t>RAT</t>
  </si>
  <si>
    <t>Ratfish, skinless fillet, raw</t>
  </si>
  <si>
    <t>Hydrolagus colliei</t>
  </si>
  <si>
    <t>Spotted ratfish</t>
  </si>
  <si>
    <t>0901877</t>
  </si>
  <si>
    <t>RMG</t>
  </si>
  <si>
    <t>Black rockfish, skinless fillet, raw</t>
  </si>
  <si>
    <t>Sebastes melanops</t>
  </si>
  <si>
    <t>Black rockfish</t>
  </si>
  <si>
    <t>0901878</t>
  </si>
  <si>
    <t>RFC</t>
  </si>
  <si>
    <t>Darkblotched rockfish, skinless fillet, raw</t>
  </si>
  <si>
    <t>Sebastes crameri</t>
  </si>
  <si>
    <t>Darkblotched rockfish</t>
  </si>
  <si>
    <t>0901879</t>
  </si>
  <si>
    <t>SFT</t>
  </si>
  <si>
    <t>Rougheye rockfish, skinless fillet, raw</t>
  </si>
  <si>
    <t>Sebastes aleutianus</t>
  </si>
  <si>
    <t>Rougheye rockfish</t>
  </si>
  <si>
    <t>0901880</t>
  </si>
  <si>
    <t>USA, Washington</t>
  </si>
  <si>
    <t>SBC</t>
  </si>
  <si>
    <t>Bocaccio rockfish, skinless fillet, raw</t>
  </si>
  <si>
    <t>Sebastes paucispinis</t>
  </si>
  <si>
    <t>Bocaccio rockfish</t>
  </si>
  <si>
    <t>0901881</t>
  </si>
  <si>
    <t>USA, N California</t>
  </si>
  <si>
    <t>SGO</t>
  </si>
  <si>
    <t>Chilipepper rockfish, skinless fillet, raw</t>
  </si>
  <si>
    <t>Sebastes goodei</t>
  </si>
  <si>
    <t>Chilipepper rockfish</t>
  </si>
  <si>
    <t>0901882</t>
  </si>
  <si>
    <t>RED</t>
  </si>
  <si>
    <t>Flag rockfish, skinless fillet, raw</t>
  </si>
  <si>
    <t>Sebastes rubrivincuts</t>
  </si>
  <si>
    <t>Atlantic redfishes nei</t>
  </si>
  <si>
    <t>Sebastes spp</t>
  </si>
  <si>
    <t>0901883</t>
  </si>
  <si>
    <t>SFE</t>
  </si>
  <si>
    <t>Greenstriped rockfish, skinless fillet, raw</t>
  </si>
  <si>
    <t>Sebastes elongatus</t>
  </si>
  <si>
    <t>Greenstriped rockfish</t>
  </si>
  <si>
    <t>0901884</t>
  </si>
  <si>
    <t>Shortspine thornyhead rockfish, skinless fillet, raw</t>
  </si>
  <si>
    <t>Sebastes alascanus</t>
  </si>
  <si>
    <t>0901885</t>
  </si>
  <si>
    <t>SPG</t>
  </si>
  <si>
    <t>Canary rockfish, skinless fillet, raw</t>
  </si>
  <si>
    <t>Sebastes pinninger</t>
  </si>
  <si>
    <t>Canary rockfish</t>
  </si>
  <si>
    <t>Sebastes pinniger</t>
  </si>
  <si>
    <t>0901886</t>
  </si>
  <si>
    <t>USA, Washington/Oregon/N Carolina</t>
  </si>
  <si>
    <t>OPP</t>
  </si>
  <si>
    <t>Pacific ocean perch, skinless fillet, raw</t>
  </si>
  <si>
    <t>Sebastes alutus</t>
  </si>
  <si>
    <t>Pacific ocean perch</t>
  </si>
  <si>
    <t>0901887</t>
  </si>
  <si>
    <t>USA, SE Alaska/Washington</t>
  </si>
  <si>
    <t>RRV</t>
  </si>
  <si>
    <t>Yelloweye rockfish, skinless fillet, raw</t>
  </si>
  <si>
    <t>Sebastes ruberrimus</t>
  </si>
  <si>
    <t>Yelloweye rockfish</t>
  </si>
  <si>
    <t>0901888</t>
  </si>
  <si>
    <t>SEQ</t>
  </si>
  <si>
    <t>Rosy rockfish, skinless fillet, raw</t>
  </si>
  <si>
    <t>Sebastes rosaceus</t>
  </si>
  <si>
    <t>Rosy rockfish</t>
  </si>
  <si>
    <t>0901889</t>
  </si>
  <si>
    <t>YRO</t>
  </si>
  <si>
    <t>Yellowtail rockfish, skinless fillet, raw</t>
  </si>
  <si>
    <t>Sebastes flavidus</t>
  </si>
  <si>
    <t>Yellowtail rockfish</t>
  </si>
  <si>
    <t>0901890</t>
  </si>
  <si>
    <t>WRO</t>
  </si>
  <si>
    <t>Widow rockfish, skinless fillet, raw</t>
  </si>
  <si>
    <t>Sebastes entomelas</t>
  </si>
  <si>
    <t>Widow rockfish</t>
  </si>
  <si>
    <t>0901891</t>
  </si>
  <si>
    <t>SAB</t>
  </si>
  <si>
    <t>Sablefish, skinless fillet, raw</t>
  </si>
  <si>
    <t>Anoplopoma fimbria</t>
  </si>
  <si>
    <t>Sablefish</t>
  </si>
  <si>
    <t>0901892</t>
  </si>
  <si>
    <t>USA, Puget Sound</t>
  </si>
  <si>
    <t>CHU</t>
  </si>
  <si>
    <t>Chum salmon, skinless fillet, raw</t>
  </si>
  <si>
    <t>Oncorhynchus keta</t>
  </si>
  <si>
    <t>Chum(=Keta=Dog)salmon</t>
  </si>
  <si>
    <t>0901893</t>
  </si>
  <si>
    <t>Chinook salmon, skinless fillet, raw</t>
  </si>
  <si>
    <t>Chinook(=Spring=King)salmon</t>
  </si>
  <si>
    <t>0901894</t>
  </si>
  <si>
    <t>PIN</t>
  </si>
  <si>
    <t>Pink salmon, skinless fillet, raw</t>
  </si>
  <si>
    <t>Oncorhynchus gorbuscha</t>
  </si>
  <si>
    <t>Pink(=Humpback)salmon</t>
  </si>
  <si>
    <t>0901895</t>
  </si>
  <si>
    <t>USA, Washington/Oregon/Puget Sound</t>
  </si>
  <si>
    <t>Coho salmon, skinless fillet, raw</t>
  </si>
  <si>
    <t>0901896</t>
  </si>
  <si>
    <t>USA, British colombia/Washington/Colorado River/Oregon</t>
  </si>
  <si>
    <t>SOC</t>
  </si>
  <si>
    <t>Sockeye salmon, skinless fillet, raw</t>
  </si>
  <si>
    <t>Oncorhynchus nerka</t>
  </si>
  <si>
    <t>Sockeye(=Red)salmon</t>
  </si>
  <si>
    <t>0901897</t>
  </si>
  <si>
    <t>SAH</t>
  </si>
  <si>
    <t>American shad, skinless fillet, raw</t>
  </si>
  <si>
    <t>Alosa sapidissima</t>
  </si>
  <si>
    <t>American shad</t>
  </si>
  <si>
    <t>0901898</t>
  </si>
  <si>
    <t>PRA</t>
  </si>
  <si>
    <t>Pink shrimp, edible flesh, raw</t>
  </si>
  <si>
    <t>Pandalus borealis</t>
  </si>
  <si>
    <t>Northern prawn</t>
  </si>
  <si>
    <t>0901899</t>
  </si>
  <si>
    <t>Skate, edible flesh, raw</t>
  </si>
  <si>
    <t>Raja sp.</t>
  </si>
  <si>
    <t>0901900</t>
  </si>
  <si>
    <t>MIP</t>
  </si>
  <si>
    <t>Dover sole, skinless fillet, raw</t>
  </si>
  <si>
    <t>Microstomus pacificus</t>
  </si>
  <si>
    <t>Dover sole</t>
  </si>
  <si>
    <t>0901901</t>
  </si>
  <si>
    <t>USA, Bering Sea/British Colombia/Colorado/Washington/Oregon/Puget Sound</t>
  </si>
  <si>
    <t>RFE</t>
  </si>
  <si>
    <t>English sole, skinless fillet, raw</t>
  </si>
  <si>
    <t>Parophrys vetulus</t>
  </si>
  <si>
    <t>English sole</t>
  </si>
  <si>
    <t>Pleuronectes vetulus</t>
  </si>
  <si>
    <t>0901902</t>
  </si>
  <si>
    <t>FTS</t>
  </si>
  <si>
    <t>Flathead sole, skinless fillet, raw</t>
  </si>
  <si>
    <t>Hippoglossoides elassodon</t>
  </si>
  <si>
    <t>Flathead sole</t>
  </si>
  <si>
    <t>0901903</t>
  </si>
  <si>
    <t>USA, Oregoon</t>
  </si>
  <si>
    <t>EJO</t>
  </si>
  <si>
    <t>Petrale sole, skinless fillet, raw</t>
  </si>
  <si>
    <t>Eopsetta jordani</t>
  </si>
  <si>
    <t>Petrale sole</t>
  </si>
  <si>
    <t>0901904</t>
  </si>
  <si>
    <t>GLZ</t>
  </si>
  <si>
    <t>Rex sole, skinless fillet, raw</t>
  </si>
  <si>
    <t>Glyptocephalus zaccirus</t>
  </si>
  <si>
    <t>Rex sole</t>
  </si>
  <si>
    <t>Glyptocephalus zachirus</t>
  </si>
  <si>
    <t>0901905</t>
  </si>
  <si>
    <t>USA, Bering Sea/Puget Sound</t>
  </si>
  <si>
    <t>ROS</t>
  </si>
  <si>
    <t>Rock sole, skinless fillet, raw</t>
  </si>
  <si>
    <t>Lepidopsetta bilineata</t>
  </si>
  <si>
    <t>Rock sole</t>
  </si>
  <si>
    <t>0901906</t>
  </si>
  <si>
    <t>YSE</t>
  </si>
  <si>
    <t>Sand sole, , skinless fillet, raw</t>
  </si>
  <si>
    <t>Psettichthys melanostictus</t>
  </si>
  <si>
    <t>Pacific sand sole</t>
  </si>
  <si>
    <t>0901907</t>
  </si>
  <si>
    <t>USA, Bering Sea</t>
  </si>
  <si>
    <t>YES</t>
  </si>
  <si>
    <t>Yellowfin sole, skinless fillet, raw</t>
  </si>
  <si>
    <t>Limanda aspera</t>
  </si>
  <si>
    <t>Yellowfin sole</t>
  </si>
  <si>
    <t>0901908</t>
  </si>
  <si>
    <t>STF</t>
  </si>
  <si>
    <t>Mottled starfish, edible flesh, raw</t>
  </si>
  <si>
    <t>Evasterias troschelii</t>
  </si>
  <si>
    <t>Starfishes nei</t>
  </si>
  <si>
    <t>Asteroidea</t>
  </si>
  <si>
    <t>0901909</t>
  </si>
  <si>
    <t>Purple starfish, edible flesh, raw</t>
  </si>
  <si>
    <t>Pisaster ochraceus</t>
  </si>
  <si>
    <t>0901910</t>
  </si>
  <si>
    <t>Sunflower starfish, edible flesh, raw</t>
  </si>
  <si>
    <t>Pycnopodia helianthoides</t>
  </si>
  <si>
    <t>0901911</t>
  </si>
  <si>
    <t>USA, Prince of Wales Islands</t>
  </si>
  <si>
    <t>ONC</t>
  </si>
  <si>
    <t>Cutthroat trout, skinless fillet, raw</t>
  </si>
  <si>
    <t>Oncorhynchus clarki</t>
  </si>
  <si>
    <t>Cutthroat trout</t>
  </si>
  <si>
    <t>0901912</t>
  </si>
  <si>
    <t>USA, Bristol Bay, Prince of Wales Islands</t>
  </si>
  <si>
    <t>VAR</t>
  </si>
  <si>
    <t>Dolly varden trout, skinless fillet,r aw</t>
  </si>
  <si>
    <t>Salvelinus malma</t>
  </si>
  <si>
    <t>Dolly varden</t>
  </si>
  <si>
    <t>0901913</t>
  </si>
  <si>
    <t>Steelhead trout, skinless fillet, raw</t>
  </si>
  <si>
    <t>0901914</t>
  </si>
  <si>
    <t>Albacore tuna, light meat, raw</t>
  </si>
  <si>
    <t>0901915</t>
  </si>
  <si>
    <t>Albacore tuna, dark meat, raw</t>
  </si>
  <si>
    <t>0901916</t>
  </si>
  <si>
    <t>Brazil, Ceará, Fortaleza</t>
  </si>
  <si>
    <t>SNC</t>
  </si>
  <si>
    <t>Pargo marinho</t>
  </si>
  <si>
    <t>Red sea bream, skinless fillet, frozen</t>
  </si>
  <si>
    <t>Lutjanus purpureus</t>
  </si>
  <si>
    <t>Southern red snapper</t>
  </si>
  <si>
    <t>Jan-Dec 2002</t>
  </si>
  <si>
    <t>CHOL- (colorimetric method)</t>
  </si>
  <si>
    <t>fi157</t>
  </si>
  <si>
    <t>0901917</t>
  </si>
  <si>
    <t>Tilápia do Nilo</t>
  </si>
  <si>
    <t>Tilapia, skinless fillet, raw</t>
  </si>
  <si>
    <t>0901918</t>
  </si>
  <si>
    <t>PRL</t>
  </si>
  <si>
    <t>Curimatã</t>
  </si>
  <si>
    <t>Curimatã, skinless fillet, raw</t>
  </si>
  <si>
    <t>Prochilodus cearensis</t>
  </si>
  <si>
    <t>Prochilods nei</t>
  </si>
  <si>
    <t>Prochilodus spp</t>
  </si>
  <si>
    <t>0901919</t>
  </si>
  <si>
    <t>TPU</t>
  </si>
  <si>
    <t>Sardinha</t>
  </si>
  <si>
    <t>Sardine, skinless fillet, raw</t>
  </si>
  <si>
    <t>Triportheus angulatus</t>
  </si>
  <si>
    <t>0901920</t>
  </si>
  <si>
    <t>USA/Canada</t>
  </si>
  <si>
    <t>LBA</t>
  </si>
  <si>
    <t>American lobster, muscle tissue (claw, leg, abdomen), raw</t>
  </si>
  <si>
    <t>Homarus americanus</t>
  </si>
  <si>
    <t>American lobster</t>
  </si>
  <si>
    <t>mean weight: 580g; edible tissue defined as muscle+hepatopancreas+gonads+roe</t>
  </si>
  <si>
    <t>fi159</t>
  </si>
  <si>
    <t>0901921</t>
  </si>
  <si>
    <t>American lobster, hepatopancreas, raw</t>
  </si>
  <si>
    <t>0901922</t>
  </si>
  <si>
    <t>American lobster, gonads, raw</t>
  </si>
  <si>
    <t>0901923</t>
  </si>
  <si>
    <t>European lobster, muscle tissue (claw, leg, abdomen), raw</t>
  </si>
  <si>
    <t>mean weight: 587g; edible tissue defined as muscle+hepatopancreas+gonads+roe</t>
  </si>
  <si>
    <t>0901924</t>
  </si>
  <si>
    <t>European lobster, hepatopancreas, raw</t>
  </si>
  <si>
    <t>0901925</t>
  </si>
  <si>
    <t>European lobster, gonads, raw</t>
  </si>
  <si>
    <t>0901926</t>
  </si>
  <si>
    <t>European lobster, roe, raw</t>
  </si>
  <si>
    <t>0901927</t>
  </si>
  <si>
    <t>China, Sozhou City, Yangchenghu Lake</t>
  </si>
  <si>
    <t>ERS</t>
  </si>
  <si>
    <t>Chinese mitten crab, farmed (first grade), male, meat (claws, legs, abdomen), steamed</t>
  </si>
  <si>
    <t>Eriocheir sinensis</t>
  </si>
  <si>
    <t>Chinese mitten crab</t>
  </si>
  <si>
    <t>Oct 2005</t>
  </si>
  <si>
    <t>weight of crabs: 150-160g</t>
  </si>
  <si>
    <t>fi161</t>
  </si>
  <si>
    <t>0901928</t>
  </si>
  <si>
    <t>Chinese mitten crab, farmed (first grade), male, edible viscera (hepatopancreas, gonads), steamed</t>
  </si>
  <si>
    <t>[61.7]</t>
  </si>
  <si>
    <t>[12.5]</t>
  </si>
  <si>
    <t>[20.2]</t>
  </si>
  <si>
    <t>[1.9]</t>
  </si>
  <si>
    <t>0901929</t>
  </si>
  <si>
    <t>Spain, Catalonia (NE Iberian Peninsular), Ebro Delta</t>
  </si>
  <si>
    <t>MSM</t>
  </si>
  <si>
    <t>Mussel, farmed, edible meat, raw</t>
  </si>
  <si>
    <t>Mytilus galloprovincialis</t>
  </si>
  <si>
    <t>Mediterranean mussel</t>
  </si>
  <si>
    <t>Jul 2002</t>
  </si>
  <si>
    <t>fi169</t>
  </si>
  <si>
    <t>[83.81]</t>
  </si>
  <si>
    <t>[6.5]</t>
  </si>
  <si>
    <t>[3.37]</t>
  </si>
  <si>
    <t>0901930</t>
  </si>
  <si>
    <t>Spain, Valencia Harbour (E Iberian Peninsular)</t>
  </si>
  <si>
    <t>[81.5]</t>
  </si>
  <si>
    <t>[10]</t>
  </si>
  <si>
    <t>[2.1]</t>
  </si>
  <si>
    <t>[3.38]</t>
  </si>
  <si>
    <t>0901931</t>
  </si>
  <si>
    <t>Thailand, Songkhla province</t>
  </si>
  <si>
    <t>Black tiger shrimp, farmed, edible flesh, raw</t>
  </si>
  <si>
    <t>PRO-/FAT- (analyzed according to AOAC 1999); FA converted using XFA</t>
  </si>
  <si>
    <t>fi170</t>
  </si>
  <si>
    <t>[17.1]</t>
  </si>
  <si>
    <t>[1512]</t>
  </si>
  <si>
    <t>[4273]</t>
  </si>
  <si>
    <t>[528]</t>
  </si>
  <si>
    <t>[1182]</t>
  </si>
  <si>
    <t>[667]</t>
  </si>
  <si>
    <t>[82.4]</t>
  </si>
  <si>
    <t>[69.8]</t>
  </si>
  <si>
    <t>[2586]</t>
  </si>
  <si>
    <t>[2974]</t>
  </si>
  <si>
    <t>[654]</t>
  </si>
  <si>
    <t>[1396]</t>
  </si>
  <si>
    <t>[2277]</t>
  </si>
  <si>
    <t>[2889]</t>
  </si>
  <si>
    <t>[1069]</t>
  </si>
  <si>
    <t>[1213]</t>
  </si>
  <si>
    <t>[1956]</t>
  </si>
  <si>
    <t>[1159]</t>
  </si>
  <si>
    <t>[1456]</t>
  </si>
  <si>
    <t>[[1854]</t>
  </si>
  <si>
    <t>0901932</t>
  </si>
  <si>
    <t>Thailand, Suratthani province</t>
  </si>
  <si>
    <t>PNV</t>
  </si>
  <si>
    <t>White shrimp, farmed, edible flesh, raw</t>
  </si>
  <si>
    <t>Penaeus vannamei</t>
  </si>
  <si>
    <t>Whiteleg shrimp</t>
  </si>
  <si>
    <t>[18.8]</t>
  </si>
  <si>
    <t>[1601]</t>
  </si>
  <si>
    <t>[3494]</t>
  </si>
  <si>
    <t>[547]</t>
  </si>
  <si>
    <t>[871]</t>
  </si>
  <si>
    <t>[666]</t>
  </si>
  <si>
    <t>[215]</t>
  </si>
  <si>
    <t>[2411]</t>
  </si>
  <si>
    <t>[3153]</t>
  </si>
  <si>
    <t>[630]</t>
  </si>
  <si>
    <t>[1298]</t>
  </si>
  <si>
    <t>[1967]</t>
  </si>
  <si>
    <t>[3862]</t>
  </si>
  <si>
    <t>[1027]</t>
  </si>
  <si>
    <t>[1129]</t>
  </si>
  <si>
    <t>[1078]</t>
  </si>
  <si>
    <t>[1704]</t>
  </si>
  <si>
    <t>[1504]</t>
  </si>
  <si>
    <t>0901933</t>
  </si>
  <si>
    <t>Greece, Aegean Sea (samples from fish markets of Macedonia, Attica or Peloponnese)</t>
  </si>
  <si>
    <t>ATB</t>
  </si>
  <si>
    <t>Atherina</t>
  </si>
  <si>
    <t>Sand smelt, whole, raw</t>
  </si>
  <si>
    <t>Atherina boyeri</t>
  </si>
  <si>
    <t>Big-scale sand smelt</t>
  </si>
  <si>
    <t>mean length and weigt of fish: 4.8cm, 2.3g</t>
  </si>
  <si>
    <t>FA converted using XFA; FA tr= &lt;0.05% of FACID</t>
  </si>
  <si>
    <t>fi173</t>
  </si>
  <si>
    <t>0901934</t>
  </si>
  <si>
    <t>Sand smelt, whole, fried (virgin olive oil)</t>
  </si>
  <si>
    <t>0901935</t>
  </si>
  <si>
    <t>Gavros</t>
  </si>
  <si>
    <t>Anchovy, boneless fillet, raw</t>
  </si>
  <si>
    <t>mean length and weight of fish: 6.8cm, 4.5g</t>
  </si>
  <si>
    <t>0901936</t>
  </si>
  <si>
    <t>Anchovy, boneless fillet, fried (virgin olive oil)</t>
  </si>
  <si>
    <t>0901937</t>
  </si>
  <si>
    <t>BOG</t>
  </si>
  <si>
    <t>Gopa</t>
  </si>
  <si>
    <t>Bogue, boneless fillet, raw</t>
  </si>
  <si>
    <t>Boops boops</t>
  </si>
  <si>
    <t>Bogue</t>
  </si>
  <si>
    <t>mean length and weight of fish: 16.1cm, 69.4g</t>
  </si>
  <si>
    <t>0901938</t>
  </si>
  <si>
    <t>Bogue, boneless fillet, fried (virgin olive oil)</t>
  </si>
  <si>
    <t>0901939</t>
  </si>
  <si>
    <t>MUT</t>
  </si>
  <si>
    <t>Koutsomoura</t>
  </si>
  <si>
    <t>Striped mullet, bonless meat (head incl.), raw</t>
  </si>
  <si>
    <t>Mullus barbatus</t>
  </si>
  <si>
    <t>Red mullet</t>
  </si>
  <si>
    <t>mean length and weight of fish: 13.1cm, 37.4g</t>
  </si>
  <si>
    <t>0901940</t>
  </si>
  <si>
    <t>Striped mullet, bonless meat (head incl.), fried (virgin olive oil)</t>
  </si>
  <si>
    <t>0901941</t>
  </si>
  <si>
    <t>SPC</t>
  </si>
  <si>
    <t>Marida</t>
  </si>
  <si>
    <t>Picarel, gutted, whole, raw</t>
  </si>
  <si>
    <t>Spicara smaris</t>
  </si>
  <si>
    <t>Picarel</t>
  </si>
  <si>
    <t>mean length and weight of fish: 9.8cm, 11.6g</t>
  </si>
  <si>
    <t>0901942</t>
  </si>
  <si>
    <t>Savridi</t>
  </si>
  <si>
    <t>Scad, boneless fillet, raw</t>
  </si>
  <si>
    <t>mean length and weight of fish: 21.3cm, 105.8g</t>
  </si>
  <si>
    <t>0901943</t>
  </si>
  <si>
    <t>Ireland, Cork Habour</t>
  </si>
  <si>
    <t>Pacific oyster, farmed, edible meat, raw</t>
  </si>
  <si>
    <t>proximates expressed per DM - conversion to FW; FA converted using XFA</t>
  </si>
  <si>
    <t>fi174</t>
  </si>
  <si>
    <t>0901944</t>
  </si>
  <si>
    <t>Apr</t>
  </si>
  <si>
    <t>0901945</t>
  </si>
  <si>
    <t>0901946</t>
  </si>
  <si>
    <t>0901947</t>
  </si>
  <si>
    <t>0901948</t>
  </si>
  <si>
    <t>0901949</t>
  </si>
  <si>
    <t>[73.5]</t>
  </si>
  <si>
    <t>[12.508]</t>
  </si>
  <si>
    <t>[2.067]</t>
  </si>
  <si>
    <t>0901950</t>
  </si>
  <si>
    <t>0901951</t>
  </si>
  <si>
    <t>[76.8]</t>
  </si>
  <si>
    <t>[10.788]</t>
  </si>
  <si>
    <t>[1.9488]</t>
  </si>
  <si>
    <t>0901952</t>
  </si>
  <si>
    <t>[76.2]</t>
  </si>
  <si>
    <t>[11.7572]</t>
  </si>
  <si>
    <t>[2.0706]</t>
  </si>
  <si>
    <t>0901953</t>
  </si>
  <si>
    <t>0901954</t>
  </si>
  <si>
    <t>0901955</t>
  </si>
  <si>
    <t>0901956</t>
  </si>
  <si>
    <t>USA, WA, Gig Harbour</t>
  </si>
  <si>
    <t>Pacific oyster, whole body, raw</t>
  </si>
  <si>
    <t>Crasostrea gigas</t>
  </si>
  <si>
    <t>Spring</t>
  </si>
  <si>
    <t>FAT- (analyzed according to AOAC 1975)</t>
  </si>
  <si>
    <t>fi177</t>
  </si>
  <si>
    <t>0901957</t>
  </si>
  <si>
    <t>Summer</t>
  </si>
  <si>
    <t>0901958</t>
  </si>
  <si>
    <t>Fall</t>
  </si>
  <si>
    <t>0901959</t>
  </si>
  <si>
    <t>USA, WA, Coupeville</t>
  </si>
  <si>
    <t>Blue Mussel, whole, cooked (steamed)</t>
  </si>
  <si>
    <t>0901960</t>
  </si>
  <si>
    <t>0901961</t>
  </si>
  <si>
    <t>Winter</t>
  </si>
  <si>
    <t>0901962</t>
  </si>
  <si>
    <t>USA, WA, Shelton</t>
  </si>
  <si>
    <t>VEN</t>
  </si>
  <si>
    <t>Manila clam, whole, cooked (steamed)</t>
  </si>
  <si>
    <t>Venerupis japonica</t>
  </si>
  <si>
    <t>Venerupis spp</t>
  </si>
  <si>
    <t>0901963</t>
  </si>
  <si>
    <t>0901964</t>
  </si>
  <si>
    <t>0901965</t>
  </si>
  <si>
    <t>Manila clam, whole, raw</t>
  </si>
  <si>
    <t>0901966</t>
  </si>
  <si>
    <t>0901967</t>
  </si>
  <si>
    <t>USA, CA coast</t>
  </si>
  <si>
    <t>SQU</t>
  </si>
  <si>
    <t>California squid, edible muscle, frozen</t>
  </si>
  <si>
    <t>Loligo opalescens</t>
  </si>
  <si>
    <t>Opalescent inshore squid</t>
  </si>
  <si>
    <t>0901968</t>
  </si>
  <si>
    <t>0901969</t>
  </si>
  <si>
    <t>USA, MA coast</t>
  </si>
  <si>
    <t>SCX</t>
  </si>
  <si>
    <t>Sea scallop, edible muscle, raw</t>
  </si>
  <si>
    <t>Aquapecten grandis</t>
  </si>
  <si>
    <t>Scallops nei</t>
  </si>
  <si>
    <t>Pectinidae</t>
  </si>
  <si>
    <t>0901970</t>
  </si>
  <si>
    <t>0901971</t>
  </si>
  <si>
    <t>USA, FL, Gulf of Mexico</t>
  </si>
  <si>
    <t>SCB</t>
  </si>
  <si>
    <t>Bay scallop, edible muscle, raw</t>
  </si>
  <si>
    <t>Argopecten irradians</t>
  </si>
  <si>
    <t>Atlantic bay scallop</t>
  </si>
  <si>
    <t>0901972</t>
  </si>
  <si>
    <t>0901973</t>
  </si>
  <si>
    <t>USA, AK coast</t>
  </si>
  <si>
    <t>Dungeness crab, body meat, cooked (steamed)</t>
  </si>
  <si>
    <t xml:space="preserve">FAT- (analyzed according to AOAC 1975) </t>
  </si>
  <si>
    <t>0901974</t>
  </si>
  <si>
    <t>0901975</t>
  </si>
  <si>
    <t>USA, OR coast</t>
  </si>
  <si>
    <t>0901976</t>
  </si>
  <si>
    <t>PRA/PJK</t>
  </si>
  <si>
    <t>Pink shrimp, edible muscle, cooked (steamed)</t>
  </si>
  <si>
    <t>Pandalus borealis/Pandalus jordani</t>
  </si>
  <si>
    <t>Northern prawn/Ocean shrimp</t>
  </si>
  <si>
    <t>0901977</t>
  </si>
  <si>
    <t>0901978</t>
  </si>
  <si>
    <t>Spring, summer, fall</t>
  </si>
  <si>
    <t>[85.6]</t>
  </si>
  <si>
    <t>[7.6]</t>
  </si>
  <si>
    <t>[2.31]</t>
  </si>
  <si>
    <t>[1.13]</t>
  </si>
  <si>
    <t>0901979</t>
  </si>
  <si>
    <t xml:space="preserve">Summer, fall </t>
  </si>
  <si>
    <t>0901980</t>
  </si>
  <si>
    <t>Spring, winter</t>
  </si>
  <si>
    <t>0901981</t>
  </si>
  <si>
    <t>0901982</t>
  </si>
  <si>
    <t>Dungeness crab, leg meat, cooked (steamed)</t>
  </si>
  <si>
    <t>0901983</t>
  </si>
  <si>
    <t>0901984</t>
  </si>
  <si>
    <t>Italy, Ionian Sea, coastal waters of Gulf of Taranto</t>
  </si>
  <si>
    <t>Octopus, wild, juvenile, arms, raw</t>
  </si>
  <si>
    <t>PRO- (analyzed according to Bradford 1976), CHO- (phenol-sulphuric acid method, Dubois et al. 1956); FA converted using XFA</t>
  </si>
  <si>
    <t>fi178</t>
  </si>
  <si>
    <t>0901985</t>
  </si>
  <si>
    <t>Bangladesh</t>
  </si>
  <si>
    <t>MRE</t>
  </si>
  <si>
    <t>Baim/Chikra</t>
  </si>
  <si>
    <t>cleaned parts (according to traditional practices), raw</t>
  </si>
  <si>
    <t>Macrognathus aculeatus</t>
  </si>
  <si>
    <t>CA: values represent Ca content in raw, edible parts, after correcting for plate waste (mainly bones).</t>
  </si>
  <si>
    <t>fi179</t>
  </si>
  <si>
    <t>0901986</t>
  </si>
  <si>
    <t>AIB</t>
  </si>
  <si>
    <t>Chanda</t>
  </si>
  <si>
    <t>Parambassis ranga</t>
  </si>
  <si>
    <t>Glassfishes</t>
  </si>
  <si>
    <t>Ambassidae</t>
  </si>
  <si>
    <t>0901987</t>
  </si>
  <si>
    <t>ESD</t>
  </si>
  <si>
    <t>Darkina</t>
  </si>
  <si>
    <t>Flying barb, cleaned parts (according to traditional practices), raw</t>
  </si>
  <si>
    <t>Esomus danricus</t>
  </si>
  <si>
    <t>Flying barb</t>
  </si>
  <si>
    <t>0901988</t>
  </si>
  <si>
    <t>CLK</t>
  </si>
  <si>
    <t>Kachki</t>
  </si>
  <si>
    <t>Ganges river sprat, cleaned parts (according to traditional practices), raw</t>
  </si>
  <si>
    <t>Corica soborna</t>
  </si>
  <si>
    <t>Ganges river sprat</t>
  </si>
  <si>
    <t>0901989</t>
  </si>
  <si>
    <t>ABO</t>
  </si>
  <si>
    <t>Mola</t>
  </si>
  <si>
    <t>Amblypharyngodon mola</t>
  </si>
  <si>
    <t>0901990</t>
  </si>
  <si>
    <t>PUR</t>
  </si>
  <si>
    <t>Puti</t>
  </si>
  <si>
    <t>Pool barb, cleaned parts (according to traditional practices), raw</t>
  </si>
  <si>
    <t>Puntius sophore</t>
  </si>
  <si>
    <t>Pool barb</t>
  </si>
  <si>
    <t>0901991</t>
  </si>
  <si>
    <t>CNP</t>
  </si>
  <si>
    <t>Taki</t>
  </si>
  <si>
    <t>Spotted snakehead, cleaned parts (according to traditional practices), raw</t>
  </si>
  <si>
    <t>Channa punctatus</t>
  </si>
  <si>
    <t>Spotted snakehead</t>
  </si>
  <si>
    <t>Channa punctata</t>
  </si>
  <si>
    <t>0901992</t>
  </si>
  <si>
    <t>Mrigal, cleaned parts (according to traditional practices), raw</t>
  </si>
  <si>
    <t>Cirrhinus cirrhosus</t>
  </si>
  <si>
    <t>0901993</t>
  </si>
  <si>
    <t>Silver carp, cleaned parts (according to traditional practices), raw</t>
  </si>
  <si>
    <t>Hypophthamichyths molitrix</t>
  </si>
  <si>
    <t>0901994</t>
  </si>
  <si>
    <t>Cambodia</t>
  </si>
  <si>
    <t>RRZ</t>
  </si>
  <si>
    <t>Changwe mool</t>
  </si>
  <si>
    <t>Rasbora torniere</t>
  </si>
  <si>
    <t>Rasbora tawarensis</t>
  </si>
  <si>
    <t>0901995</t>
  </si>
  <si>
    <t>Chunteas phluk</t>
  </si>
  <si>
    <t>Parachela siamensis</t>
  </si>
  <si>
    <t>0901996</t>
  </si>
  <si>
    <t>Kangtrang preng</t>
  </si>
  <si>
    <t>Parambassis wolffi</t>
  </si>
  <si>
    <t>0901997</t>
  </si>
  <si>
    <t>Trey changwa plieng</t>
  </si>
  <si>
    <t>Esomus longimanus</t>
  </si>
  <si>
    <t>0901998</t>
  </si>
  <si>
    <t>FIS</t>
  </si>
  <si>
    <t>Great snakehead, cleaned parts (according to traditional practices), raw</t>
  </si>
  <si>
    <t>Channa micropeltes</t>
  </si>
  <si>
    <t>Indonesian snakehead</t>
  </si>
  <si>
    <t>0901999</t>
  </si>
  <si>
    <t>Giant snakehead, cleaned parts (according to traditional practices), raw</t>
  </si>
  <si>
    <t>0902000</t>
  </si>
  <si>
    <t>Turkey, Anatolia region, Konya</t>
  </si>
  <si>
    <t>Rainbow trout, farmed, deboned, skin-on fillet, raw</t>
  </si>
  <si>
    <t>Sep 1997</t>
  </si>
  <si>
    <t>mean length and weight of fish: 30.1cm, 380g</t>
  </si>
  <si>
    <t>fi180</t>
  </si>
  <si>
    <t>[71.21]</t>
  </si>
  <si>
    <t>[20.28]</t>
  </si>
  <si>
    <t>[1.53]</t>
  </si>
  <si>
    <t>0902001</t>
  </si>
  <si>
    <t>Rainbow trout, farmed, deboned, skin-on fillet, convential oven-cooked</t>
  </si>
  <si>
    <t>mean length and weight of fish: 30.1cm, 380g; 190 °C for 20min</t>
  </si>
  <si>
    <t>[62.22]</t>
  </si>
  <si>
    <t>[25.28]</t>
  </si>
  <si>
    <t>[5.6]</t>
  </si>
  <si>
    <t>[1.92]</t>
  </si>
  <si>
    <t>0902002</t>
  </si>
  <si>
    <t>Rainbow trout, farmed, deboned, skin-on fillet, microwave oven-cooked</t>
  </si>
  <si>
    <t>0902003</t>
  </si>
  <si>
    <t xml:space="preserve">Portugal, Ria Famosa </t>
  </si>
  <si>
    <t>CTG</t>
  </si>
  <si>
    <t>Grooved carpet shell clam, farmed, raw</t>
  </si>
  <si>
    <t>Ruditapes decussatus</t>
  </si>
  <si>
    <t>Grooved carpet shell</t>
  </si>
  <si>
    <t>Jan 2006</t>
  </si>
  <si>
    <t>CHO- (CHO analysed according to Dubois 1956)</t>
  </si>
  <si>
    <t>fi181</t>
  </si>
  <si>
    <t>0902004</t>
  </si>
  <si>
    <t>Feb 2006</t>
  </si>
  <si>
    <t>0902005</t>
  </si>
  <si>
    <t>Mar 2006</t>
  </si>
  <si>
    <t>0902006</t>
  </si>
  <si>
    <t>[83.96]</t>
  </si>
  <si>
    <t>[7.63]</t>
  </si>
  <si>
    <t>[0.07]</t>
  </si>
  <si>
    <t>[0.69]</t>
  </si>
  <si>
    <t>[3.11]</t>
  </si>
  <si>
    <t>0902007</t>
  </si>
  <si>
    <t>May 2006</t>
  </si>
  <si>
    <t>0902008</t>
  </si>
  <si>
    <t>Jun 2006</t>
  </si>
  <si>
    <t>0902009</t>
  </si>
  <si>
    <t>Jul 2006</t>
  </si>
  <si>
    <t>0902010</t>
  </si>
  <si>
    <t>Aug 2006</t>
  </si>
  <si>
    <t>0902011</t>
  </si>
  <si>
    <t>Sep 2006</t>
  </si>
  <si>
    <t>0902012</t>
  </si>
  <si>
    <t>Oct 2006</t>
  </si>
  <si>
    <t>0902013</t>
  </si>
  <si>
    <t>Nov 2006</t>
  </si>
  <si>
    <t>0902014</t>
  </si>
  <si>
    <t>Dec 2006</t>
  </si>
  <si>
    <t>0902015</t>
  </si>
  <si>
    <t>France, Gelucourt</t>
  </si>
  <si>
    <t>FPE</t>
  </si>
  <si>
    <t>Eurasian perch, farmed (pond, extensive system), muscle fillet, raw</t>
  </si>
  <si>
    <t>Perca fluviatilis</t>
  </si>
  <si>
    <t>European perch</t>
  </si>
  <si>
    <t>Perca Fluviatilis</t>
  </si>
  <si>
    <t>Oct 2003</t>
  </si>
  <si>
    <t>mean length and weight: 17.7cm, 171g; fish diet: natural prey</t>
  </si>
  <si>
    <t>fi183</t>
  </si>
  <si>
    <t>0902016</t>
  </si>
  <si>
    <t>France, Lindre</t>
  </si>
  <si>
    <t>Eurasian perch, farmed (tank, semiextensive system),muscle fillet, raw</t>
  </si>
  <si>
    <t>mean length and weight: 16.7cm, 117g; fish diet: natural food and Bio-Optimal ST: 47.1% protein, 10% lipid, 6.1% moisture, 9.7% ash</t>
  </si>
  <si>
    <t>0902017</t>
  </si>
  <si>
    <t>France, Hampont</t>
  </si>
  <si>
    <t>Eurasian perch, farmed (water recirculating system, intensiv system), muscle fillet, raw</t>
  </si>
  <si>
    <t>mean length and weight: 15.7cm, 97g; fish diet: Ecolife 15: 44.6% protein, 17.2% lipid, 5.1% moisture, 7.1% ash</t>
  </si>
  <si>
    <t>0902018</t>
  </si>
  <si>
    <t>Unknown (samples from markets of City of São Paulo, Brazil)</t>
  </si>
  <si>
    <t>SIX</t>
  </si>
  <si>
    <t/>
  </si>
  <si>
    <t>Sardine, head cut, eviscerated, fillet, raw</t>
  </si>
  <si>
    <t>Sardinella spp</t>
  </si>
  <si>
    <t>Sardinellas Nei</t>
  </si>
  <si>
    <t>Jul (Summer) 1999</t>
  </si>
  <si>
    <t>length and weight: 15.5-17.4cm, 48.6-69.1g</t>
  </si>
  <si>
    <t>fi185</t>
  </si>
  <si>
    <t>0902019</t>
  </si>
  <si>
    <t>CKM</t>
  </si>
  <si>
    <t>Croaker, head cut, eviscerated, fillet, raw</t>
  </si>
  <si>
    <t>Micropogonias furnieri</t>
  </si>
  <si>
    <t>Whitemouth croaker</t>
  </si>
  <si>
    <t>length and weight: 34.0-38.0cm, 561.6-701.0g</t>
  </si>
  <si>
    <t>0902020</t>
  </si>
  <si>
    <t>Tilápia, head cut, eviscerated, fillet, raw</t>
  </si>
  <si>
    <t>Oreochromis spp.</t>
  </si>
  <si>
    <t>length and weight: 21.0-26.0cm, 279.5-521.0g</t>
  </si>
  <si>
    <t>0902021</t>
  </si>
  <si>
    <t>Curimbatá, head cut, eviscerated, fillet, raw</t>
  </si>
  <si>
    <t>length and weight: 43.0-49.0cm,1432.6-1813.5g</t>
  </si>
  <si>
    <t>0902022</t>
  </si>
  <si>
    <t>BOB</t>
  </si>
  <si>
    <t>Seabob shrimp head cut, shelled, raw</t>
  </si>
  <si>
    <t>Xiphopenaeus kroyeri</t>
  </si>
  <si>
    <t>Atlantic seabob</t>
  </si>
  <si>
    <t>weight: 331-574.6g</t>
  </si>
  <si>
    <t>0902023</t>
  </si>
  <si>
    <t>Mar (Winter) 1999</t>
  </si>
  <si>
    <t>length and weight: 14.6-19.4cm, 58.8-98.4g</t>
  </si>
  <si>
    <t>0902024</t>
  </si>
  <si>
    <t>length and weight: 30.5-46.6cm, 469.9-1080g</t>
  </si>
  <si>
    <t>0902025</t>
  </si>
  <si>
    <t>length and weight: 26.3-35.0cm, 513.2-772.3g</t>
  </si>
  <si>
    <t>0902026</t>
  </si>
  <si>
    <t>length and weight: 38.0-50cm, 1428.7-1852.3g</t>
  </si>
  <si>
    <t>0902027</t>
  </si>
  <si>
    <t>weight: 299.8-585.4g</t>
  </si>
  <si>
    <t>0902028</t>
  </si>
  <si>
    <t>UK, Scottish coast, English Channel</t>
  </si>
  <si>
    <t>CRA</t>
  </si>
  <si>
    <t>Atlantic spider crab, edible tissue, muscle from claws and walking legs, raw</t>
  </si>
  <si>
    <t>Maja brachydactyla</t>
  </si>
  <si>
    <t>Marine crabs nei</t>
  </si>
  <si>
    <t>Brachyura</t>
  </si>
  <si>
    <t>fi188</t>
  </si>
  <si>
    <t>0902029</t>
  </si>
  <si>
    <t>Atlantic spider crab, edible tissue, gonads, raw</t>
  </si>
  <si>
    <t>[68.1]</t>
  </si>
  <si>
    <t>[24.1]</t>
  </si>
  <si>
    <t>[1.36]</t>
  </si>
  <si>
    <t>[1.62]</t>
  </si>
  <si>
    <t>0902030</t>
  </si>
  <si>
    <t>Atlantic spider crab, edible tissue, gills, raw</t>
  </si>
  <si>
    <t>0902031</t>
  </si>
  <si>
    <t>European Lobster, female, muscle from claws, raw</t>
  </si>
  <si>
    <t>European Lobster</t>
  </si>
  <si>
    <t>Apr 2007</t>
  </si>
  <si>
    <t>total length and weight: 9.03cm, 580.1g, EDIBLE total meat: 0.318</t>
  </si>
  <si>
    <t>fi190</t>
  </si>
  <si>
    <t>0902032</t>
  </si>
  <si>
    <t>European Lobster, male, muscle from claws, raw</t>
  </si>
  <si>
    <t>total length and weight: 9.5cm, 607.8g; EDIBLE total meat: 0.324</t>
  </si>
  <si>
    <t>0902033</t>
  </si>
  <si>
    <t>American Lobster, female, muscle from claws, raw</t>
  </si>
  <si>
    <t>American Lobster</t>
  </si>
  <si>
    <t>total length and weight: 8.95cm, 610.6g; EDIBLE total meat: 0.302</t>
  </si>
  <si>
    <t>0902034</t>
  </si>
  <si>
    <t>American Lobster, male, muscle from claws, raw</t>
  </si>
  <si>
    <t>total length and weight: 8.71cm,546.8g; EDIBLE total meat: 0.285</t>
  </si>
  <si>
    <t>0902035</t>
  </si>
  <si>
    <t>European Lobster, female, hepatopancreas, raw</t>
  </si>
  <si>
    <t>total length and weight: 9.03cm, 580.1g; EDIBLE total meat: 0.318</t>
  </si>
  <si>
    <t>0902036</t>
  </si>
  <si>
    <t>European Lobster, male, hepatopancreas, raw</t>
  </si>
  <si>
    <t>0902037</t>
  </si>
  <si>
    <t>American Lobster, female, hepatopancreas, raw</t>
  </si>
  <si>
    <t>0902038</t>
  </si>
  <si>
    <t>American Lobster, male, hepatopancreas, raw</t>
  </si>
  <si>
    <t>0902039</t>
  </si>
  <si>
    <t>American lobster, female, gonads, raw</t>
  </si>
  <si>
    <t>[68.5]</t>
  </si>
  <si>
    <t>[22.1]</t>
  </si>
  <si>
    <t>[4.4]</t>
  </si>
  <si>
    <t>[1.5]</t>
  </si>
  <si>
    <t>0902040</t>
  </si>
  <si>
    <t>UK</t>
  </si>
  <si>
    <t>Lobster, farmed, claw meat, boiled</t>
  </si>
  <si>
    <t>yield (claw meat) expressed of the whole cooked animal: 0.1422</t>
  </si>
  <si>
    <t>EDIBLE: sum of all edible parts</t>
  </si>
  <si>
    <t>fi191</t>
  </si>
  <si>
    <t>0902041</t>
  </si>
  <si>
    <t>Lobster, farmed, tail meat, boiled</t>
  </si>
  <si>
    <t>yield (tail meat) expressed of the whole cooked animal: 0.2134</t>
  </si>
  <si>
    <t>0902042</t>
  </si>
  <si>
    <t>Lobster, farmed, body meat, boiled</t>
  </si>
  <si>
    <t>yield (body meat) expressed of the whole cooked animal: 0.0224</t>
  </si>
  <si>
    <t>0902043</t>
  </si>
  <si>
    <t>Turkey, Kumbag, Marmara Sea</t>
  </si>
  <si>
    <t>SVE</t>
  </si>
  <si>
    <t>Venerid clam, flesh meat, raw</t>
  </si>
  <si>
    <t>Chamelea gallina</t>
  </si>
  <si>
    <t>Striped venus</t>
  </si>
  <si>
    <t>Winter (Dec, Jan, Feb) 2005, 2006</t>
  </si>
  <si>
    <t>PRO- (according to AOAC 1998); CHO- (according to Merrill and Watt 1973)</t>
  </si>
  <si>
    <t>fi192</t>
  </si>
  <si>
    <t>0902044</t>
  </si>
  <si>
    <t>Spring (Mar, Apr, May) 2006</t>
  </si>
  <si>
    <t>0902045</t>
  </si>
  <si>
    <t>Summer (Jun, Jul, Aug) 2006</t>
  </si>
  <si>
    <t>0902046</t>
  </si>
  <si>
    <t>Autumn (Sep, Oct, Nov) 2006</t>
  </si>
  <si>
    <t>0902047</t>
  </si>
  <si>
    <t>DXL</t>
  </si>
  <si>
    <t>Wedge clam, flesh meat, raw</t>
  </si>
  <si>
    <t>Donax trunculus</t>
  </si>
  <si>
    <t>Truncate donax</t>
  </si>
  <si>
    <t>0902048</t>
  </si>
  <si>
    <t>0902049</t>
  </si>
  <si>
    <t>0902050</t>
  </si>
  <si>
    <t>0902051</t>
  </si>
  <si>
    <t>OFJ</t>
  </si>
  <si>
    <t>Neon flying squid, mantle meat, raw</t>
  </si>
  <si>
    <t>Ommastrephes bartrami</t>
  </si>
  <si>
    <t>Neon flying squid</t>
  </si>
  <si>
    <t>mantle meat (viscera, head and fins removed)</t>
  </si>
  <si>
    <t>Proximates expressed per DM - conversion to FW</t>
  </si>
  <si>
    <t>fi194</t>
  </si>
  <si>
    <t>0902052</t>
  </si>
  <si>
    <t>Neon flying squid, mantle meat, skinned, boiled</t>
  </si>
  <si>
    <t>mantle meat (viscera, head and fins removed); boiled (90-95 °C for 8-10 min)</t>
  </si>
  <si>
    <t>0902053</t>
  </si>
  <si>
    <t>GIS</t>
  </si>
  <si>
    <t>Jumbo squid, mantle meat, raw</t>
  </si>
  <si>
    <t>Dosidicus gigas</t>
  </si>
  <si>
    <t>Jumbo flying squid</t>
  </si>
  <si>
    <t>0902054</t>
  </si>
  <si>
    <t>Jumbo squid, mantle meat, skinned, boiled</t>
  </si>
  <si>
    <t>0902055</t>
  </si>
  <si>
    <t>Turkey, Eceabat, Çanakkale Strait, Marmara Sea</t>
  </si>
  <si>
    <t>Black mussel, farmed, meat, steamed</t>
  </si>
  <si>
    <t>Mytilus galloprovincialis, L.</t>
  </si>
  <si>
    <t>length and weight of mussel: 6-8cm, 25-30g</t>
  </si>
  <si>
    <t>PRO- (analyzed according to AOAC 1980)</t>
  </si>
  <si>
    <t>fi201</t>
  </si>
  <si>
    <t>[73]</t>
  </si>
  <si>
    <t>[17.3]</t>
  </si>
  <si>
    <t>[4]</t>
  </si>
  <si>
    <t>[1.8]</t>
  </si>
  <si>
    <t>0902056</t>
  </si>
  <si>
    <t>Black mussel, farmed, meat, traditionally smoked</t>
  </si>
  <si>
    <t>0902057</t>
  </si>
  <si>
    <t>Black mussel, farmed, meat, liquid smoked, canned with tomato puree sauce</t>
  </si>
  <si>
    <t>[73.4]</t>
  </si>
  <si>
    <t>[12.4]</t>
  </si>
  <si>
    <t>[6.7]</t>
  </si>
  <si>
    <t>[2.8]</t>
  </si>
  <si>
    <t>[13949]</t>
  </si>
  <si>
    <t>[937]</t>
  </si>
  <si>
    <t>[1241]</t>
  </si>
  <si>
    <t>[258]</t>
  </si>
  <si>
    <t>[1847]</t>
  </si>
  <si>
    <t>[682]</t>
  </si>
  <si>
    <t>[395]</t>
  </si>
  <si>
    <t>[543]</t>
  </si>
  <si>
    <t>[861]</t>
  </si>
  <si>
    <t>[1068]</t>
  </si>
  <si>
    <t>[237]</t>
  </si>
  <si>
    <t>[775]</t>
  </si>
  <si>
    <t>[1673]</t>
  </si>
  <si>
    <t>[793]</t>
  </si>
  <si>
    <t>[694]</t>
  </si>
  <si>
    <t>[669]</t>
  </si>
  <si>
    <t>[610]</t>
  </si>
  <si>
    <t>0902058</t>
  </si>
  <si>
    <t>Black mussel, farmed, meat, traditional smoked with curry sauce</t>
  </si>
  <si>
    <t>[71.1]</t>
  </si>
  <si>
    <t>[12.2]</t>
  </si>
  <si>
    <t>[10.6]</t>
  </si>
  <si>
    <t>0902059</t>
  </si>
  <si>
    <t>Black mussel, farmed, meat, liquid smoked with curry sauce</t>
  </si>
  <si>
    <t>[73.8]</t>
  </si>
  <si>
    <t>[11.7]</t>
  </si>
  <si>
    <t>[8.7]</t>
  </si>
  <si>
    <t>[2.6]</t>
  </si>
  <si>
    <t>0902060</t>
  </si>
  <si>
    <t>Brazil, Ceará, Camocim</t>
  </si>
  <si>
    <t>UCC</t>
  </si>
  <si>
    <t>Crab, claw meat, raw</t>
  </si>
  <si>
    <t>Ucides cordatus</t>
  </si>
  <si>
    <t>Ghost crab</t>
  </si>
  <si>
    <t>minerals expressed per DM - conversion to FW</t>
  </si>
  <si>
    <t>fi203</t>
  </si>
  <si>
    <t>[30.751071]</t>
  </si>
  <si>
    <t>[1.154634]</t>
  </si>
  <si>
    <t>[0.905996]</t>
  </si>
  <si>
    <t>[120.373149]</t>
  </si>
  <si>
    <t>[21.009911]</t>
  </si>
  <si>
    <t>[0.064714]</t>
  </si>
  <si>
    <t>[240.186011]</t>
  </si>
  <si>
    <t>[869.335519]</t>
  </si>
  <si>
    <t>[5.904301]</t>
  </si>
  <si>
    <t>0902061</t>
  </si>
  <si>
    <t>Australia, Victoria, Port Phillip Bay; obtained from Ocean Wave Seafoods Company</t>
  </si>
  <si>
    <t>Greenlip abalone, farmed, muscle, raw</t>
  </si>
  <si>
    <t>Haliotis laevigata</t>
  </si>
  <si>
    <t>Nov (spring)  2000</t>
  </si>
  <si>
    <t>fi204</t>
  </si>
  <si>
    <t>0902062</t>
  </si>
  <si>
    <t>Jan (summer) 2000</t>
  </si>
  <si>
    <t>0902063</t>
  </si>
  <si>
    <t>May (autum) 2001</t>
  </si>
  <si>
    <t>0902064</t>
  </si>
  <si>
    <t>Jul (winter) 2001</t>
  </si>
  <si>
    <t>0902065</t>
  </si>
  <si>
    <t>ABR</t>
  </si>
  <si>
    <t>Blacklip abalone, farmed, muscle, raw</t>
  </si>
  <si>
    <t>Haliotis rubra</t>
  </si>
  <si>
    <t>Blacklip abalone</t>
  </si>
  <si>
    <t>0902066</t>
  </si>
  <si>
    <t>0902067</t>
  </si>
  <si>
    <t>0902068</t>
  </si>
  <si>
    <t>0902069</t>
  </si>
  <si>
    <t>Brazil, Santa Catarina</t>
  </si>
  <si>
    <t>PRF</t>
  </si>
  <si>
    <t>Gigante da Malásia</t>
  </si>
  <si>
    <t>Giant river prawn, farmed, flesh, small size, raw</t>
  </si>
  <si>
    <t>Macrobrachium rosenbergii</t>
  </si>
  <si>
    <t>Giant river prawn</t>
  </si>
  <si>
    <t>mean length and weight of shrimp: 12.4cm, 13g</t>
  </si>
  <si>
    <t>FASAT, FAMS, FAPU, FAPUN3, FAPUN6 calculated by summation of individual FA</t>
  </si>
  <si>
    <t>fi205</t>
  </si>
  <si>
    <t>0902070</t>
  </si>
  <si>
    <t>Malaysia (west coast), Perak, Kuala Dining</t>
  </si>
  <si>
    <t>MSV</t>
  </si>
  <si>
    <t>Green-lipped mussel, farmed, soft tissue, raw</t>
  </si>
  <si>
    <t>Perna viridis</t>
  </si>
  <si>
    <t>Green mussel</t>
  </si>
  <si>
    <t>mean shell length: 8.71cm</t>
  </si>
  <si>
    <t>fi209</t>
  </si>
  <si>
    <t>0902071</t>
  </si>
  <si>
    <t>Malaysia (west coast), Selangor, Bagan Lalang</t>
  </si>
  <si>
    <t>Apr 2000</t>
  </si>
  <si>
    <t>mean shell length: 8.89cm</t>
  </si>
  <si>
    <t>0902072</t>
  </si>
  <si>
    <t>Malaysia (west coast), Negeri Sembilan, Pasir Panjang</t>
  </si>
  <si>
    <t>mean shell length: 8.78cm</t>
  </si>
  <si>
    <t>0902073</t>
  </si>
  <si>
    <t>Malaysia (west coast), Negeri Sembilan, Kuala Linggi</t>
  </si>
  <si>
    <t>mean shell length: 8.00cm</t>
  </si>
  <si>
    <t>0902074</t>
  </si>
  <si>
    <t>Malaysia (west coast), Sebatu, Malacca</t>
  </si>
  <si>
    <t>mean shell length: 8.54cm</t>
  </si>
  <si>
    <t>0902075</t>
  </si>
  <si>
    <t>Sweden, Gotland, Baltic Sea</t>
  </si>
  <si>
    <t>AAS</t>
  </si>
  <si>
    <t>Noble crayfish, farmed, male, tail muscle, raw</t>
  </si>
  <si>
    <t>Astacus astacus</t>
  </si>
  <si>
    <t>Noble crayfish</t>
  </si>
  <si>
    <t>mean length and weight: 10.1 cm, 42.8g; diet: marine fish (sprat, herring)</t>
  </si>
  <si>
    <t>fi213</t>
  </si>
  <si>
    <t>0902076</t>
  </si>
  <si>
    <t>Sweden, freshwater tanks</t>
  </si>
  <si>
    <t>PCL</t>
  </si>
  <si>
    <t>Signal crayfish, farmed, male, tail muscle, raw</t>
  </si>
  <si>
    <t>Pacifastacus leniusculus</t>
  </si>
  <si>
    <t>Signal crayfish</t>
  </si>
  <si>
    <t>mean length and weight: 11.1cm, 69.5g; diet: frozen green peas, maize, alder leaves; EWOS fish feed (occasionally): 50% protein, 13% lipids, 17% carbohydrate, 11% ash, 1% fibre, 8% water)</t>
  </si>
  <si>
    <t>0902077</t>
  </si>
  <si>
    <t>Taiwan, local manufaturer in Kaoshsiung</t>
  </si>
  <si>
    <t>Neon flying squid, mantle meat (viscera, head, and fins remove, skinned), boiled</t>
  </si>
  <si>
    <t>boiled (75-85°C for 3-5 minutes)</t>
  </si>
  <si>
    <t>PRO-, FAT- (analyzed according to AOAC 1980)</t>
  </si>
  <si>
    <t>fi217</t>
  </si>
  <si>
    <t>0902078</t>
  </si>
  <si>
    <t>China,Shanghai Yingsheng mitten crab farm</t>
  </si>
  <si>
    <t>Chinese mitten crab, farmed, female, pond-reared, gonads, raw</t>
  </si>
  <si>
    <t>crab diet (Yisheng Company): 38.4% protein, 9.1% water, 4.5% lipid, 15.6% ash); mean carpace length and body weight: 5.53cm, 103.10g</t>
  </si>
  <si>
    <t>fi218</t>
  </si>
  <si>
    <t>0902079</t>
  </si>
  <si>
    <t>Chinese mitten crab, farmed, female, pond-reared, muscle, raw</t>
  </si>
  <si>
    <t>0902080</t>
  </si>
  <si>
    <t>Chinese mitten crab, farmed, male, pond-reared, muscle, raw</t>
  </si>
  <si>
    <t>crab diet (Yisheng Company): 38.4% protein, 9.1% water, 4.5% lipid, 15.6% ash); mean carpace length and body weight: 5.84cm, 140.92g</t>
  </si>
  <si>
    <t>0902081</t>
  </si>
  <si>
    <t>Brazil, São Paulo state, Ubatuba</t>
  </si>
  <si>
    <t>MSL</t>
  </si>
  <si>
    <t>Mussel, farmed, edible part, raw</t>
  </si>
  <si>
    <t>Perna perna</t>
  </si>
  <si>
    <t>South American rock mussel</t>
  </si>
  <si>
    <t>WATER: calc. by difference; CHO- (Somogy-Nelson method)</t>
  </si>
  <si>
    <t>fi223</t>
  </si>
  <si>
    <t>[70.61]</t>
  </si>
  <si>
    <t>0902082</t>
  </si>
  <si>
    <t>[72.58]</t>
  </si>
  <si>
    <t>0902083</t>
  </si>
  <si>
    <t>[71.38]</t>
  </si>
  <si>
    <t>0902084</t>
  </si>
  <si>
    <t>0902085</t>
  </si>
  <si>
    <t>[73.23]</t>
  </si>
  <si>
    <t>0902086</t>
  </si>
  <si>
    <t>[71.83]</t>
  </si>
  <si>
    <t>0902087</t>
  </si>
  <si>
    <t>[73.48]</t>
  </si>
  <si>
    <t>0902088</t>
  </si>
  <si>
    <t>[73.12]</t>
  </si>
  <si>
    <t>0902089</t>
  </si>
  <si>
    <t>[72.37]</t>
  </si>
  <si>
    <t>0902090</t>
  </si>
  <si>
    <t>[70.77]</t>
  </si>
  <si>
    <t>0902091</t>
  </si>
  <si>
    <t>[72.24]</t>
  </si>
  <si>
    <t>0902092</t>
  </si>
  <si>
    <t>[69.64]</t>
  </si>
  <si>
    <t>0902093</t>
  </si>
  <si>
    <t>Unknown (samples from market in Calabar, Nigeria)</t>
  </si>
  <si>
    <t>Clam, wild, edible flesh, raw</t>
  </si>
  <si>
    <t>Egeria radiata</t>
  </si>
  <si>
    <t>Bivalvia</t>
  </si>
  <si>
    <t>proximates and minerals expressed per DM - conversion to FW; FAT- (extraction according to AOAC 1975)</t>
  </si>
  <si>
    <t>fi224</t>
  </si>
  <si>
    <t>0902094</t>
  </si>
  <si>
    <t>Italy, Adriatic Sea, Lagoon of Venice</t>
  </si>
  <si>
    <t>Oyster, farmed, edible flesh, raw</t>
  </si>
  <si>
    <t>fi226</t>
  </si>
  <si>
    <t>0902095</t>
  </si>
  <si>
    <t>Sep 2001</t>
  </si>
  <si>
    <t>[220]</t>
  </si>
  <si>
    <t>0902096</t>
  </si>
  <si>
    <t>Feb 2002</t>
  </si>
  <si>
    <t>[710]</t>
  </si>
  <si>
    <t>0902097</t>
  </si>
  <si>
    <t>[900]</t>
  </si>
  <si>
    <t>0902098</t>
  </si>
  <si>
    <t>0902099</t>
  </si>
  <si>
    <t>Mexico, Sonora, Bahia Kino</t>
  </si>
  <si>
    <t>Pacific lions-paw scallop, farmed, meat, raw</t>
  </si>
  <si>
    <t>Nodipecten subnodosus</t>
  </si>
  <si>
    <t>Winter (Jan) 2003</t>
  </si>
  <si>
    <t>FAT-/PRO- (analyzed according to AOAC 1995)</t>
  </si>
  <si>
    <t>fi227</t>
  </si>
  <si>
    <t>0902100</t>
  </si>
  <si>
    <t>Spring (Apr) 2003</t>
  </si>
  <si>
    <t>0902101</t>
  </si>
  <si>
    <t>Summer (Sep) 2003</t>
  </si>
  <si>
    <t>0902102</t>
  </si>
  <si>
    <t>Autumn (Nov) 2003</t>
  </si>
  <si>
    <t>0902103</t>
  </si>
  <si>
    <t>Vietnma, Mekong Delta, Chau Doc town</t>
  </si>
  <si>
    <t>Tra catfish, farmed in cage, fillet, raw</t>
  </si>
  <si>
    <t>weight: 900-1000g, 7 months old</t>
  </si>
  <si>
    <t>FAT-/PRO- (analyzed according to AOAC 2000)</t>
  </si>
  <si>
    <t>fi229</t>
  </si>
  <si>
    <t>0902104</t>
  </si>
  <si>
    <t>Vietnam, Mekong Delta, Chau Than district</t>
  </si>
  <si>
    <t>Tra catfish, farmed in pond, fillet, raw</t>
  </si>
  <si>
    <t>7 months old</t>
  </si>
  <si>
    <t>0902105</t>
  </si>
  <si>
    <t>PGZ</t>
  </si>
  <si>
    <t>Basa Catfish, farmed in cage, fillet, raw</t>
  </si>
  <si>
    <t>Pangasius bocourti</t>
  </si>
  <si>
    <t>Pangas catfishes nei</t>
  </si>
  <si>
    <t>Pangasius spp</t>
  </si>
  <si>
    <t>0902106</t>
  </si>
  <si>
    <t>Unknown (samples from markets of Kochi-city/Kanazawa-city, Japan)</t>
  </si>
  <si>
    <t>Surf clam, raw</t>
  </si>
  <si>
    <t>Sipsula (Pseudocardium) sachalinensis</t>
  </si>
  <si>
    <t>VITB12: Lactobacillus leichmannii</t>
  </si>
  <si>
    <t>fi230</t>
  </si>
  <si>
    <t>0902107</t>
  </si>
  <si>
    <t>Ear shell, raw</t>
  </si>
  <si>
    <t>Sulculus diversicolor aquatieis</t>
  </si>
  <si>
    <t>0902108</t>
  </si>
  <si>
    <t>Shirogai shell, raw</t>
  </si>
  <si>
    <t>Peronidia venulosa</t>
  </si>
  <si>
    <t>0902109</t>
  </si>
  <si>
    <t>ACB</t>
  </si>
  <si>
    <t>Ark shell, raw</t>
  </si>
  <si>
    <t>Anadara (Scapharca) broughtonii</t>
  </si>
  <si>
    <t>Inflated ark</t>
  </si>
  <si>
    <t>Scapharca broughtonii</t>
  </si>
  <si>
    <t>0902110</t>
  </si>
  <si>
    <t>Oyster, raw</t>
  </si>
  <si>
    <t>0902111</t>
  </si>
  <si>
    <t>CMJ</t>
  </si>
  <si>
    <t>Corb shell, raw</t>
  </si>
  <si>
    <t>Corbicula japonica Prime</t>
  </si>
  <si>
    <t>Japanese corbicula</t>
  </si>
  <si>
    <t>Corbicula japonica</t>
  </si>
  <si>
    <t>0902112</t>
  </si>
  <si>
    <t>CLJ</t>
  </si>
  <si>
    <t>Short-necked clam, raw</t>
  </si>
  <si>
    <t>Tapes (Amygdala) philippinarum</t>
  </si>
  <si>
    <t>Japanese carpet shell</t>
  </si>
  <si>
    <t>Ruditapes philippinarum</t>
  </si>
  <si>
    <t>0902113</t>
  </si>
  <si>
    <t>MUK</t>
  </si>
  <si>
    <t>Mussel, raw</t>
  </si>
  <si>
    <t>Mytilus coruscus Gould</t>
  </si>
  <si>
    <t>Korean mussel</t>
  </si>
  <si>
    <t>Mytilus coruscus</t>
  </si>
  <si>
    <t>0902114</t>
  </si>
  <si>
    <t>HCJ</t>
  </si>
  <si>
    <t>Hard clam, raw</t>
  </si>
  <si>
    <t>Meretrix lusoria</t>
  </si>
  <si>
    <t>Japanese hard clam</t>
  </si>
  <si>
    <t>0902115</t>
  </si>
  <si>
    <t>GAS</t>
  </si>
  <si>
    <t>Abalone, raw</t>
  </si>
  <si>
    <t>Nordotis discus</t>
  </si>
  <si>
    <t>Gastropods nei</t>
  </si>
  <si>
    <t>Gastropoda</t>
  </si>
  <si>
    <t>0902116</t>
  </si>
  <si>
    <t>JSC</t>
  </si>
  <si>
    <t>Scallop, raw</t>
  </si>
  <si>
    <t>Patinopectan (Mizuhopecten) yessoensis</t>
  </si>
  <si>
    <t>Yesso scallop</t>
  </si>
  <si>
    <t>Patinopecten yessoensis</t>
  </si>
  <si>
    <t>0902117</t>
  </si>
  <si>
    <t>TOS</t>
  </si>
  <si>
    <t>Top shell, raw</t>
  </si>
  <si>
    <t>Batillus cornutus</t>
  </si>
  <si>
    <t>Horned turban</t>
  </si>
  <si>
    <t>Turbo cornutus</t>
  </si>
  <si>
    <t>0902118</t>
  </si>
  <si>
    <t>PNB/PPS</t>
  </si>
  <si>
    <t>Pink shrimp, flesh (without exosceletron, cephalotorax and intestine), raw</t>
  </si>
  <si>
    <t>Penaeus brasiliensis/Penaeus paulensis</t>
  </si>
  <si>
    <t>Redspotted shrimp/Sao Paolo shrimp</t>
  </si>
  <si>
    <t>fi233</t>
  </si>
  <si>
    <t>0902119</t>
  </si>
  <si>
    <t>Korea, South coast</t>
  </si>
  <si>
    <t>RPW</t>
  </si>
  <si>
    <t>Pibbulgodoong</t>
  </si>
  <si>
    <t>Murex shell, edible portion, raw</t>
  </si>
  <si>
    <t>Rapana venosa</t>
  </si>
  <si>
    <t>Thomas' rapa whelk</t>
  </si>
  <si>
    <t>Mar, May, Jun, Jul, Aug, Oct 2003, 2004</t>
  </si>
  <si>
    <t>fi234</t>
  </si>
  <si>
    <t>0902120</t>
  </si>
  <si>
    <t>Korea, West coast</t>
  </si>
  <si>
    <t>0902121</t>
  </si>
  <si>
    <t>Pijogae</t>
  </si>
  <si>
    <t>Ark shell, edible portion, raw</t>
  </si>
  <si>
    <t>Mar, May, Jun, Jul, Aug, Oct, Dec 2003, 2004</t>
  </si>
  <si>
    <t>0902122</t>
  </si>
  <si>
    <t>0902123</t>
  </si>
  <si>
    <t>South coast, Korea</t>
  </si>
  <si>
    <t>SVT</t>
  </si>
  <si>
    <t>Garimatjogae</t>
  </si>
  <si>
    <t>Jack - knife clam, edible portion, raw</t>
  </si>
  <si>
    <t>Sinonovacula constricta</t>
  </si>
  <si>
    <t>Constricted tagelus</t>
  </si>
  <si>
    <t>0902124</t>
  </si>
  <si>
    <t>West coast. Korea</t>
  </si>
  <si>
    <t>0902125</t>
  </si>
  <si>
    <t>Baekhap</t>
  </si>
  <si>
    <t>Orient hard clam, edible portion, raw</t>
  </si>
  <si>
    <t>0902126</t>
  </si>
  <si>
    <t>0902127</t>
  </si>
  <si>
    <t>Bagirak</t>
  </si>
  <si>
    <t>0902128</t>
  </si>
  <si>
    <t>0902129</t>
  </si>
  <si>
    <t>Costa Rica, Lagarto Pacific</t>
  </si>
  <si>
    <t>TBG</t>
  </si>
  <si>
    <t>Cambute, meat, raw</t>
  </si>
  <si>
    <t>Strombus galeatus</t>
  </si>
  <si>
    <t>Giant Eastern Pacific conch</t>
  </si>
  <si>
    <t>mean weight: 157.0g</t>
  </si>
  <si>
    <t>FAT-/PRO-/CHO- (analyzed according to AOAC 1985)</t>
  </si>
  <si>
    <t>fi235</t>
  </si>
  <si>
    <t>0902130</t>
  </si>
  <si>
    <t>Costa Rica, Bahia Ballena, Pacific</t>
  </si>
  <si>
    <t>mean weight: 241.3g</t>
  </si>
  <si>
    <t>0902131</t>
  </si>
  <si>
    <t>Costa Rica, Golfito, Pacific</t>
  </si>
  <si>
    <t>mean weight: 141.9g</t>
  </si>
  <si>
    <t>0902132</t>
  </si>
  <si>
    <t>Itlay, Venice</t>
  </si>
  <si>
    <t>Manila clam, meat, raw</t>
  </si>
  <si>
    <t>mean length and weight: 2.794cm, 13.66g</t>
  </si>
  <si>
    <t>fi236</t>
  </si>
  <si>
    <t>0902133</t>
  </si>
  <si>
    <t>Turkey, Izmir</t>
  </si>
  <si>
    <t>Turkish clam, meat, raw</t>
  </si>
  <si>
    <t>mean length and weight: 3.210cm, 11.46g</t>
  </si>
  <si>
    <t>0902134</t>
  </si>
  <si>
    <t>Unknown, North-eastern Atlantic</t>
  </si>
  <si>
    <t>Octoupus, edible flesh (mantle, arms), raw</t>
  </si>
  <si>
    <t>May-Sep</t>
  </si>
  <si>
    <t>fi241</t>
  </si>
  <si>
    <t>0902135</t>
  </si>
  <si>
    <t>Squid, edible flesh (mantle, arms), raw</t>
  </si>
  <si>
    <t>0902136</t>
  </si>
  <si>
    <t>Cuttlefish, edible flesh (mantle, arms), raw</t>
  </si>
  <si>
    <t>0902137</t>
  </si>
  <si>
    <t>ACH</t>
  </si>
  <si>
    <t>Arctic char, flesh, raw</t>
  </si>
  <si>
    <t>Salvelinus alpinus</t>
  </si>
  <si>
    <t>Arctic char</t>
  </si>
  <si>
    <t>FA tr= &lt;0.05g/100g food</t>
  </si>
  <si>
    <t>fi197</t>
  </si>
  <si>
    <t>0902138</t>
  </si>
  <si>
    <t>0902139</t>
  </si>
  <si>
    <t>Cod, flesh, raw</t>
  </si>
  <si>
    <t>Boreogadus spp./Eleginus spp./Gadus spp./Microgadus spp.</t>
  </si>
  <si>
    <t>Gadiformes nei</t>
  </si>
  <si>
    <t>Gadiformes/Gadidae</t>
  </si>
  <si>
    <t>0902140</t>
  </si>
  <si>
    <t>Cod, flesh, salted and rehydrated</t>
  </si>
  <si>
    <t>0902141</t>
  </si>
  <si>
    <t>TLA</t>
  </si>
  <si>
    <t>Grayling, flesh, cooked</t>
  </si>
  <si>
    <t>Thymallus arcticus</t>
  </si>
  <si>
    <t>Arctic grayling</t>
  </si>
  <si>
    <t>0902142</t>
  </si>
  <si>
    <t>Grayling, flesh, raw</t>
  </si>
  <si>
    <t>0902143</t>
  </si>
  <si>
    <t>SLZ</t>
  </si>
  <si>
    <t>Salmon, eggs, raw</t>
  </si>
  <si>
    <t>Oncorhynchus spp./Salmo spp.</t>
  </si>
  <si>
    <t>Salmonids nei</t>
  </si>
  <si>
    <t>Salmonidae</t>
  </si>
  <si>
    <t>[893]</t>
  </si>
  <si>
    <t>[58]</t>
  </si>
  <si>
    <t>[27]</t>
  </si>
  <si>
    <t>0902144</t>
  </si>
  <si>
    <t>Salmon, flesh, cooked</t>
  </si>
  <si>
    <t>0902145</t>
  </si>
  <si>
    <t>Salmon, flesh, raw</t>
  </si>
  <si>
    <t>0902146</t>
  </si>
  <si>
    <t>Salmon, flesh, smoked</t>
  </si>
  <si>
    <t>0902147</t>
  </si>
  <si>
    <t>Trout, flesh, cooked</t>
  </si>
  <si>
    <t>Salmo spp./Salvelinus spp.</t>
  </si>
  <si>
    <t>0902148</t>
  </si>
  <si>
    <t>0902149</t>
  </si>
  <si>
    <t>Trout, flesh, raw</t>
  </si>
  <si>
    <t>0902150</t>
  </si>
  <si>
    <t>0902151</t>
  </si>
  <si>
    <t>Trout, flesh, smoked</t>
  </si>
  <si>
    <t>0902152</t>
  </si>
  <si>
    <t>WHF</t>
  </si>
  <si>
    <t>Whitefish, flesh, baked</t>
  </si>
  <si>
    <t>Coregonus clupeaformis/Coregonus nasus</t>
  </si>
  <si>
    <t>Whitefishes nei</t>
  </si>
  <si>
    <t>Coregonus spp</t>
  </si>
  <si>
    <t>[0.6]</t>
  </si>
  <si>
    <t>[0.5]</t>
  </si>
  <si>
    <t>[0.3]</t>
  </si>
  <si>
    <t>[375]</t>
  </si>
  <si>
    <t>[35]</t>
  </si>
  <si>
    <t>[0.01]</t>
  </si>
  <si>
    <t>[40]</t>
  </si>
  <si>
    <t>[223]</t>
  </si>
  <si>
    <t>0902153</t>
  </si>
  <si>
    <t>0902154</t>
  </si>
  <si>
    <t>Whitefish, flesh, raw</t>
  </si>
  <si>
    <t>0902155</t>
  </si>
  <si>
    <t>0902156</t>
  </si>
  <si>
    <t>China, Shengsi Islands</t>
  </si>
  <si>
    <t>Thick shell mussel, farmed, flesh, raw</t>
  </si>
  <si>
    <t>Spring (Apr)</t>
  </si>
  <si>
    <t>all values expressed per DM - conversion to FW; FA converted using XFA</t>
  </si>
  <si>
    <t>fi198</t>
  </si>
  <si>
    <t>0902157</t>
  </si>
  <si>
    <t>Summer (Jul)</t>
  </si>
  <si>
    <t>0902158</t>
  </si>
  <si>
    <t>Autumn (Oct)</t>
  </si>
  <si>
    <t>0902159</t>
  </si>
  <si>
    <t>Winter (Jan)</t>
  </si>
  <si>
    <t>0902160</t>
  </si>
  <si>
    <t>Iceland</t>
  </si>
  <si>
    <t>Bleikja, eldisbleikja, flök</t>
  </si>
  <si>
    <t>Arctic charr, farmed, fillet, raw</t>
  </si>
  <si>
    <t>data entered without mean/max/SD</t>
  </si>
  <si>
    <t>im11</t>
  </si>
  <si>
    <t>0902161</t>
  </si>
  <si>
    <t>Lax, eldislax, flök</t>
  </si>
  <si>
    <t>Atlantic salmon, farmed, fillet, raw</t>
  </si>
  <si>
    <t xml:space="preserve">Salmo salar </t>
  </si>
  <si>
    <t>0902162</t>
  </si>
  <si>
    <t>Iceland, North Atlantic</t>
  </si>
  <si>
    <t>ZLS</t>
  </si>
  <si>
    <t>Grásleppuhrognakavíar</t>
  </si>
  <si>
    <t>Caviar, lumpsucker, wild, raw</t>
  </si>
  <si>
    <t>(Lumpfishes nei)</t>
  </si>
  <si>
    <t>(Cyclopteridae)</t>
  </si>
  <si>
    <t>0902163</t>
  </si>
  <si>
    <t>Lax, flök, reykt</t>
  </si>
  <si>
    <t>Salmon, farmed, fillet, smoked</t>
  </si>
  <si>
    <t>(Salmonids nei)</t>
  </si>
  <si>
    <t>(Salmonidae)</t>
  </si>
  <si>
    <t>0902164</t>
  </si>
  <si>
    <t>Saltfiskur, flattur, hrár</t>
  </si>
  <si>
    <t>Cod, wild, salted</t>
  </si>
  <si>
    <t>(Gadiformes nei)</t>
  </si>
  <si>
    <t>(Gadiformes)</t>
  </si>
  <si>
    <t>0902165</t>
  </si>
  <si>
    <t>Saltfiskur, flattur, útvatnaður, hrár</t>
  </si>
  <si>
    <t>Salted cod, wild, desalted, boiled</t>
  </si>
  <si>
    <t>0902166</t>
  </si>
  <si>
    <t>Saltfiskur, flattur, útvatnaður, soðinn</t>
  </si>
  <si>
    <t>0902167</t>
  </si>
  <si>
    <t>CLP</t>
  </si>
  <si>
    <t>Síld, flök, reykt</t>
  </si>
  <si>
    <t>Herring, wild, fillet, smoked</t>
  </si>
  <si>
    <t>(Herrings, sardines nei)</t>
  </si>
  <si>
    <t>(Clupeidae)</t>
  </si>
  <si>
    <t>0902168</t>
  </si>
  <si>
    <t>Þorskur, siginn, hrár</t>
  </si>
  <si>
    <t>Cod, wild, dried</t>
  </si>
  <si>
    <t>0902169</t>
  </si>
  <si>
    <t>Þorskur, siginn, soðinn</t>
  </si>
  <si>
    <t>Cod, wild, dried, boiled</t>
  </si>
  <si>
    <t>0902170</t>
  </si>
  <si>
    <t xml:space="preserve">Salvelinus alpinus </t>
  </si>
  <si>
    <t>0902171</t>
  </si>
  <si>
    <t>0902172</t>
  </si>
  <si>
    <t>0902173</t>
  </si>
  <si>
    <t>0902174</t>
  </si>
  <si>
    <t>0902175</t>
  </si>
  <si>
    <t>0902176</t>
  </si>
  <si>
    <t>0902177</t>
  </si>
  <si>
    <t>0902178</t>
  </si>
  <si>
    <t>0902179</t>
  </si>
  <si>
    <t>0902180</t>
  </si>
  <si>
    <t>0902181</t>
  </si>
  <si>
    <t>Bangladesh, Kishoreeganj/Mymensingh district</t>
  </si>
  <si>
    <t>Mrigal</t>
  </si>
  <si>
    <t>Mrigal carp, edible parts (eyes included), raw</t>
  </si>
  <si>
    <t>Sep, Oct</t>
  </si>
  <si>
    <t>fish cleaned according to local practices</t>
  </si>
  <si>
    <t>additional data received from author; RETOLDH: sum of 13-cis and all-trans dehydroretinol</t>
  </si>
  <si>
    <t>fi199</t>
  </si>
  <si>
    <t>0902182</t>
  </si>
  <si>
    <t>Rui</t>
  </si>
  <si>
    <t>Roho labeo, body tissue, raw</t>
  </si>
  <si>
    <t>XFA (internal use)</t>
  </si>
  <si>
    <t>FACID(g)</t>
  </si>
  <si>
    <t>FAPUN3(g)</t>
  </si>
  <si>
    <t>FAPUN6(g)</t>
  </si>
  <si>
    <t>FAPUN9(g)</t>
  </si>
  <si>
    <t>FAN3(g)</t>
  </si>
  <si>
    <t>FAN6(g)</t>
  </si>
  <si>
    <t>F4D0(g)</t>
  </si>
  <si>
    <t>F6D0(g)</t>
  </si>
  <si>
    <t>F8D0(g)</t>
  </si>
  <si>
    <t>F9D0(g)</t>
  </si>
  <si>
    <t>F10D0(g)</t>
  </si>
  <si>
    <t>F11D0(g)</t>
  </si>
  <si>
    <t>F14D0I(g)</t>
  </si>
  <si>
    <t>F15D0I(g)</t>
  </si>
  <si>
    <t>F16D0I(g)</t>
  </si>
  <si>
    <t>F16D0AI(g)</t>
  </si>
  <si>
    <t>F17D0I(g)</t>
  </si>
  <si>
    <t>F17D0AI(g)</t>
  </si>
  <si>
    <t>F19D0(g)</t>
  </si>
  <si>
    <t>F23D0(g)</t>
  </si>
  <si>
    <t>F12D1(g)</t>
  </si>
  <si>
    <t>F14D1N9(g)</t>
  </si>
  <si>
    <t>F14D1N7(g)</t>
  </si>
  <si>
    <t>F14D1N5(g)</t>
  </si>
  <si>
    <t>F14D1N3(g)</t>
  </si>
  <si>
    <t>F14D1(g)</t>
  </si>
  <si>
    <t>F15D1N9(g)</t>
  </si>
  <si>
    <t>F15D1N7(g)</t>
  </si>
  <si>
    <t>F15D1(g)</t>
  </si>
  <si>
    <t>F16D1N11(g)</t>
  </si>
  <si>
    <t>F16D1N9(g)</t>
  </si>
  <si>
    <t>F16D1TN7(g)</t>
  </si>
  <si>
    <t>F16D1N7(g)</t>
  </si>
  <si>
    <t>F17D1N9(g)</t>
  </si>
  <si>
    <t>F17D1N8(g)</t>
  </si>
  <si>
    <t>F17D1N7(g)</t>
  </si>
  <si>
    <t>F17D1N5(g)</t>
  </si>
  <si>
    <t>F17D1(g)</t>
  </si>
  <si>
    <t>F18D1CN11(g)</t>
  </si>
  <si>
    <t>F18D1N11(g)</t>
  </si>
  <si>
    <t>F18D1CN9(g)</t>
  </si>
  <si>
    <t>F18D1TN9(g)</t>
  </si>
  <si>
    <t>F18D1N9(g)</t>
  </si>
  <si>
    <t>F18D1CN7(g)</t>
  </si>
  <si>
    <t>F18D1N7(g)</t>
  </si>
  <si>
    <t>F18D1N5(g)</t>
  </si>
  <si>
    <t>F18D1T(g)</t>
  </si>
  <si>
    <t>F19D1N11(g)</t>
  </si>
  <si>
    <t>F19D1N9(g)</t>
  </si>
  <si>
    <t>F20D1CN11(g)</t>
  </si>
  <si>
    <t>F20D1N11(g)</t>
  </si>
  <si>
    <t>F20D1N9(g)</t>
  </si>
  <si>
    <t>F20D1N8(g)</t>
  </si>
  <si>
    <t>F20D1N7(g)</t>
  </si>
  <si>
    <t>F20D1T(g)</t>
  </si>
  <si>
    <t>F22D1N11(g)</t>
  </si>
  <si>
    <t>F22D1N9(g)</t>
  </si>
  <si>
    <t>F22D1T(g)</t>
  </si>
  <si>
    <t>F24D1N9(g)</t>
  </si>
  <si>
    <t>F16D2N7(g)</t>
  </si>
  <si>
    <t>F16D2N6(g)</t>
  </si>
  <si>
    <t>F16D2N4(g)</t>
  </si>
  <si>
    <t>F18D2CN6(g)</t>
  </si>
  <si>
    <t>F18D2TTN6(g)</t>
  </si>
  <si>
    <t>F18D2TN6(g)</t>
  </si>
  <si>
    <t>F18D2N6(g)</t>
  </si>
  <si>
    <t>F18D2N5(g)</t>
  </si>
  <si>
    <t>F18D2N4(g)</t>
  </si>
  <si>
    <t>F18D2T(g)</t>
  </si>
  <si>
    <t>F20D2N9(g)</t>
  </si>
  <si>
    <t>F20D2N6(g)</t>
  </si>
  <si>
    <t>F20D2C(g)</t>
  </si>
  <si>
    <t>F22D2N6(g)</t>
  </si>
  <si>
    <t>F22D2C(g)</t>
  </si>
  <si>
    <t>F16D3N4(g)</t>
  </si>
  <si>
    <t>F16D3N3(g)</t>
  </si>
  <si>
    <t>F16D3(g)</t>
  </si>
  <si>
    <t>F18D3CN6(g)</t>
  </si>
  <si>
    <t>F18D3N6(g)</t>
  </si>
  <si>
    <t>F18D3N4(g)</t>
  </si>
  <si>
    <t>F18D3CN3(g)</t>
  </si>
  <si>
    <t>F18D3TN3(g)</t>
  </si>
  <si>
    <t>F18D3N3(g)</t>
  </si>
  <si>
    <t>F20D3N9(g)</t>
  </si>
  <si>
    <t>F20D3N6(g)</t>
  </si>
  <si>
    <t>F20D3N3(g)</t>
  </si>
  <si>
    <t>F20D3(g)</t>
  </si>
  <si>
    <t>F22D3N6(g)</t>
  </si>
  <si>
    <t>F22D3N3(g)</t>
  </si>
  <si>
    <t>F16D4N4(g)</t>
  </si>
  <si>
    <t>F16D4N3(g)</t>
  </si>
  <si>
    <t>F16D4N1(g)</t>
  </si>
  <si>
    <t>F16D4(g)</t>
  </si>
  <si>
    <t>F18D4N3(g)</t>
  </si>
  <si>
    <t>F18D4N1(g)</t>
  </si>
  <si>
    <t>F18D4(g)</t>
  </si>
  <si>
    <t>F20D4CN6(g)</t>
  </si>
  <si>
    <t>F20D4N6(g)</t>
  </si>
  <si>
    <t>F20D4N3(g)</t>
  </si>
  <si>
    <t>F20D4(g)</t>
  </si>
  <si>
    <t>F22D4N6(g)</t>
  </si>
  <si>
    <t>F22D4N3(g)</t>
  </si>
  <si>
    <t>F22D4(g)</t>
  </si>
  <si>
    <t>F20D5CN3(g)</t>
  </si>
  <si>
    <t>F20D5N3(g)</t>
  </si>
  <si>
    <t>F20D5(g)</t>
  </si>
  <si>
    <t>F21D5N3(g)</t>
  </si>
  <si>
    <t>F21D5(g)</t>
  </si>
  <si>
    <t>F22D5N6(g)</t>
  </si>
  <si>
    <t>F22D5N3(g)</t>
  </si>
  <si>
    <t>F22D5(g)</t>
  </si>
  <si>
    <t>F22D6CN3(g)</t>
  </si>
  <si>
    <t>F22D6N3(g)</t>
  </si>
  <si>
    <t>F22D6(g)</t>
  </si>
  <si>
    <t>F18D1N11_A_F20D1N9(g)</t>
  </si>
  <si>
    <t>F20D1N9_A_F20D1N11(g)</t>
  </si>
  <si>
    <t>F20D4N6_A_F22D1(g)</t>
  </si>
  <si>
    <t>F22D1N9_A_F22D1N11(g)</t>
  </si>
  <si>
    <t>Fatty acid conversion factor for internal use</t>
  </si>
  <si>
    <t>Fatty acids, total</t>
  </si>
  <si>
    <t>Fatty acids, total n-3 polyunsaturated</t>
  </si>
  <si>
    <t>Fatty acids, total n-6 polyunsaturated</t>
  </si>
  <si>
    <t>Fatty acids, total n-9 polyunsaturated</t>
  </si>
  <si>
    <t>Fatty acid, total n-3</t>
  </si>
  <si>
    <t>Fatty acid, total n-6</t>
  </si>
  <si>
    <t>Fatty acid 4:0</t>
  </si>
  <si>
    <t>Fatty acid 6:0</t>
  </si>
  <si>
    <t>Fatty acid 8:0</t>
  </si>
  <si>
    <t>Fatty acid 9:0</t>
  </si>
  <si>
    <t>Fatty acid 10:0</t>
  </si>
  <si>
    <t>Fatty acid 11:0</t>
  </si>
  <si>
    <t>Fatty acid 14:0 iso</t>
  </si>
  <si>
    <t>Fatty acid 15:0 iso</t>
  </si>
  <si>
    <t>Fatty acid 16:0 iso</t>
  </si>
  <si>
    <t>Fatty acid 16:0 anteiso</t>
  </si>
  <si>
    <t>Fatty acid 17:0 iso</t>
  </si>
  <si>
    <t>Fatty acid 17:0 anteiso</t>
  </si>
  <si>
    <t>Fatty acid 19:0</t>
  </si>
  <si>
    <t>Fatty acid 23:0</t>
  </si>
  <si>
    <t>Fatty acid 12:1</t>
  </si>
  <si>
    <t>Fatty acid 14:1 n-9</t>
  </si>
  <si>
    <t>Fatty acid 14:1 n-7</t>
  </si>
  <si>
    <t>Fatty acid 14:1 n-5</t>
  </si>
  <si>
    <t>Fatty acid 14:1 n-3</t>
  </si>
  <si>
    <t>Fatty acid 14:1</t>
  </si>
  <si>
    <t>Fatty acid 15:1 n-9</t>
  </si>
  <si>
    <t>Fatty acid 15:1 n-7</t>
  </si>
  <si>
    <t>Fatty acid 15:1</t>
  </si>
  <si>
    <t>Fatty acid 16:1 n-11</t>
  </si>
  <si>
    <t>Fatty acid 16:1 n-9</t>
  </si>
  <si>
    <t>Fatty acid 16:1 trans n-7</t>
  </si>
  <si>
    <t>Fatty acid 16:1 n-7</t>
  </si>
  <si>
    <t>Fatty acid 17:1 n-9</t>
  </si>
  <si>
    <t>Fatty acid 17:1 n-8</t>
  </si>
  <si>
    <t>Fatty acid 17:1 n-7</t>
  </si>
  <si>
    <t>Fatty acid 17:1 n-5</t>
  </si>
  <si>
    <t>Fatty acid 17:1</t>
  </si>
  <si>
    <t>Fatty acid 18:1 cis n-11</t>
  </si>
  <si>
    <t>Fatty acid 18:1 n-11</t>
  </si>
  <si>
    <t>Fatty acid 18:1 cis n-9</t>
  </si>
  <si>
    <t>Fatty acid 18:1 trans n-9</t>
  </si>
  <si>
    <t>Fatty acid 18:1 n-9</t>
  </si>
  <si>
    <t>Fatty acid 18:1 cis n-7</t>
  </si>
  <si>
    <t>Fatty acid 18:1 n-7</t>
  </si>
  <si>
    <t>Fatty acid 18:1 n-5</t>
  </si>
  <si>
    <t>Fatty acid 18:1 trans</t>
  </si>
  <si>
    <t>Fatty acid 19:1 n-11</t>
  </si>
  <si>
    <t>Fatty acid 19:1 n-9</t>
  </si>
  <si>
    <t>Fatty acid 20:1 cis n-11</t>
  </si>
  <si>
    <t>Fatty acid 20:1 n-11</t>
  </si>
  <si>
    <t>Fatty acid 20:1 n-9</t>
  </si>
  <si>
    <t>Fatty acid 20:1 n-8</t>
  </si>
  <si>
    <t>Fatty acid 20:1 n-7</t>
  </si>
  <si>
    <t>Fatty acid 20:1 trans</t>
  </si>
  <si>
    <t>Fatty acid 22:1 n-11</t>
  </si>
  <si>
    <t>Fatty acid 22:1 n-9</t>
  </si>
  <si>
    <t>Fatty acid 22:1 trans</t>
  </si>
  <si>
    <t>Fatty acid 24:1 n-9</t>
  </si>
  <si>
    <t>Fatty acid 16:2 n-7</t>
  </si>
  <si>
    <t>Fatty acid 16:2 n-6</t>
  </si>
  <si>
    <t>Fatty acid 16:2 n-4</t>
  </si>
  <si>
    <t>Fatty acid 18:2 cis n-6</t>
  </si>
  <si>
    <t>Fatty acid 18:2 trans9, trans12 n6</t>
  </si>
  <si>
    <t>Fatty acid 18:2 trans n-6</t>
  </si>
  <si>
    <t>Fatty acid 18:2 n-6</t>
  </si>
  <si>
    <t>Fatty acid 18:2 n-5</t>
  </si>
  <si>
    <t>Fatty acid 18:2 n-4</t>
  </si>
  <si>
    <t>Fatty acid 18:2 trans</t>
  </si>
  <si>
    <t>Fatty acid 20:2 n-9</t>
  </si>
  <si>
    <t>Fatty acid 20:2 n-6</t>
  </si>
  <si>
    <t>Fatty acid 20:2 cis</t>
  </si>
  <si>
    <t>Fatty acid 22:2 n-6</t>
  </si>
  <si>
    <t>Fatty acid 22:2 cis</t>
  </si>
  <si>
    <t>Fatty acid 16:3 n-4</t>
  </si>
  <si>
    <t>Fatty acid 16:3 n-3</t>
  </si>
  <si>
    <t>Fatty acid 16:3</t>
  </si>
  <si>
    <t>Fatty acid 18:3 cis n-6</t>
  </si>
  <si>
    <t>Fatty acid 18:3 n-6</t>
  </si>
  <si>
    <t>Fatty acid 18:3 n-4</t>
  </si>
  <si>
    <t>Fatty acid 18:3 cis n-3</t>
  </si>
  <si>
    <t>Fatty acid 18:3 trans n-3</t>
  </si>
  <si>
    <t>Fatty acid 18:3 n-3</t>
  </si>
  <si>
    <t>Fatty acid 20:3 n-9</t>
  </si>
  <si>
    <t>Fatty acid 20:3 n-6</t>
  </si>
  <si>
    <t>Fatty acid 20:3 n-3</t>
  </si>
  <si>
    <t>Fatty acid 20:3</t>
  </si>
  <si>
    <t>Fatty acid 22:3 n-6</t>
  </si>
  <si>
    <t>Fatty acid 22:3 n-3</t>
  </si>
  <si>
    <t>Fatty acid 16:4 n-4</t>
  </si>
  <si>
    <t>Fatty acid 16:4 n-3</t>
  </si>
  <si>
    <t>Fatty acid 16:4 n-1</t>
  </si>
  <si>
    <t>Fatty acid 16:4</t>
  </si>
  <si>
    <t>Fatty acid 18:4 n-3</t>
  </si>
  <si>
    <t>Fatty acid 18:4 n-1</t>
  </si>
  <si>
    <t>Fatty acid 18:4</t>
  </si>
  <si>
    <t>Fatty acid 20:4 cis n-6</t>
  </si>
  <si>
    <t>Fatty acid 20:4 n-6</t>
  </si>
  <si>
    <t>Fatty acid 20:4 n-3</t>
  </si>
  <si>
    <t>Fatty acid 20:4</t>
  </si>
  <si>
    <t>Fatty acid 22:4 n-6</t>
  </si>
  <si>
    <t>Fatty acid 22:4 n-3</t>
  </si>
  <si>
    <t>Fatty acid 22:4</t>
  </si>
  <si>
    <t>Fatty acid 20:5 cis n-3</t>
  </si>
  <si>
    <t>Fatty acid 20:5 n-3</t>
  </si>
  <si>
    <t>Fatty acid 20:5</t>
  </si>
  <si>
    <t>Fatty acid 21:5 n-3</t>
  </si>
  <si>
    <t>Fatty acid 21:5</t>
  </si>
  <si>
    <t>Fatty acid 22:5 n-6</t>
  </si>
  <si>
    <t>Fatty acid 22:5 n-3</t>
  </si>
  <si>
    <t>Fatty acid 22:5</t>
  </si>
  <si>
    <t>Fatty acid 22:6 cis n-3</t>
  </si>
  <si>
    <t>Fatty acid 22:6 n-3</t>
  </si>
  <si>
    <t>Fatty acid 22:6</t>
  </si>
  <si>
    <t>Fatty acid 18:1 n-7 + fatty acid 18:1 n-9</t>
  </si>
  <si>
    <t>Fatty acid 18:1 n-11 + fatty acid 20:1 n-9</t>
  </si>
  <si>
    <t>Fatty acid 20:1 n-9 + fatty acid 20:1 n-11</t>
  </si>
  <si>
    <t xml:space="preserve">Fatty acid 20:4 n-6 + fatty acid 22:1 </t>
  </si>
  <si>
    <t>Fatty acid 22:1 n-9 + fatty acid 22:1 n-11</t>
  </si>
  <si>
    <t>[0.43534331]</t>
  </si>
  <si>
    <t>[0.17591878]</t>
  </si>
  <si>
    <t>[0.05455709]</t>
  </si>
  <si>
    <t>[0.01002069]</t>
  </si>
  <si>
    <t>[0.4787663]</t>
  </si>
  <si>
    <t>[0.01447433]</t>
  </si>
  <si>
    <t>[0.08127893]</t>
  </si>
  <si>
    <t>[0.00445364]</t>
  </si>
  <si>
    <t>[0.00222682]</t>
  </si>
  <si>
    <t>[0.11022759]</t>
  </si>
  <si>
    <t>[0.00334023]</t>
  </si>
  <si>
    <t>[0.67583987]</t>
  </si>
  <si>
    <t>[0.02894866]</t>
  </si>
  <si>
    <t>[0.00779387]</t>
  </si>
  <si>
    <t>[0.0222682]</t>
  </si>
  <si>
    <t>[0.10243372]</t>
  </si>
  <si>
    <t>[0.09686667]</t>
  </si>
  <si>
    <t>[0.06346437]</t>
  </si>
  <si>
    <t>[0.15365058]</t>
  </si>
  <si>
    <t>[0.01781456]</t>
  </si>
  <si>
    <t>[0.1670115]</t>
  </si>
  <si>
    <t>[0.39414714]</t>
  </si>
  <si>
    <t>[0.18037242]</t>
  </si>
  <si>
    <t>[0.07682529]</t>
  </si>
  <si>
    <t>[0.0111341]</t>
  </si>
  <si>
    <t>[0.52218929]</t>
  </si>
  <si>
    <t>[0.00668046]</t>
  </si>
  <si>
    <t>[0.07237165]</t>
  </si>
  <si>
    <t>[0.13917625]</t>
  </si>
  <si>
    <t>[0.67695328]</t>
  </si>
  <si>
    <t>[0.03562912]</t>
  </si>
  <si>
    <t>[0.00890728]</t>
  </si>
  <si>
    <t>[0.01892797]</t>
  </si>
  <si>
    <t>[0.11245441]</t>
  </si>
  <si>
    <t>[0.12358851]</t>
  </si>
  <si>
    <t>[0.06012414]</t>
  </si>
  <si>
    <t>[0.10132031]</t>
  </si>
  <si>
    <t>[0.15031035]</t>
  </si>
  <si>
    <t>[0.41864216]</t>
  </si>
  <si>
    <t>[0.19039311]</t>
  </si>
  <si>
    <t>[0.06903142]</t>
  </si>
  <si>
    <t>[0.01336092]</t>
  </si>
  <si>
    <t>[0.4119617]</t>
  </si>
  <si>
    <t>[0.0668046]</t>
  </si>
  <si>
    <t>[0.00556705]</t>
  </si>
  <si>
    <t>[0.12692874]</t>
  </si>
  <si>
    <t>[0.65134485]</t>
  </si>
  <si>
    <t>[0.04564981]</t>
  </si>
  <si>
    <t>[0.01670115]</t>
  </si>
  <si>
    <t>[0.11690805]</t>
  </si>
  <si>
    <t>[0.10577395]</t>
  </si>
  <si>
    <t>[0.0556705]</t>
  </si>
  <si>
    <t>[0.17369196]</t>
  </si>
  <si>
    <t>[0.46985902]</t>
  </si>
  <si>
    <t>[0.1781456]</t>
  </si>
  <si>
    <t>[0.04899004]</t>
  </si>
  <si>
    <t>[0.01224751]</t>
  </si>
  <si>
    <t>[0.39637396]</t>
  </si>
  <si>
    <t>[0.69365443]</t>
  </si>
  <si>
    <t>[0.02449502]</t>
  </si>
  <si>
    <t>[0.10688736]</t>
  </si>
  <si>
    <t>[0.14251648]</t>
  </si>
  <si>
    <t>[0.11579464]</t>
  </si>
  <si>
    <t>[0.03117548]</t>
  </si>
  <si>
    <t>[0.65671766]</t>
  </si>
  <si>
    <t>[0.25730168]</t>
  </si>
  <si>
    <t>[0.07778888]</t>
  </si>
  <si>
    <t>[0.01047158]</t>
  </si>
  <si>
    <t>[0.5684572]</t>
  </si>
  <si>
    <t>[0.01645534]</t>
  </si>
  <si>
    <t>[0.08526858]</t>
  </si>
  <si>
    <t>[0.02094316]</t>
  </si>
  <si>
    <t>[0.00598376]</t>
  </si>
  <si>
    <t>[0.00299188]</t>
  </si>
  <si>
    <t>[0.9424422]</t>
  </si>
  <si>
    <t>[0.0448782]</t>
  </si>
  <si>
    <t>[0.01795128]</t>
  </si>
  <si>
    <t>[0.01346346]</t>
  </si>
  <si>
    <t>[0.1196752]</t>
  </si>
  <si>
    <t>[0.23486258]</t>
  </si>
  <si>
    <t>[0.04787008]</t>
  </si>
  <si>
    <t>[0.26478138]</t>
  </si>
  <si>
    <t>[0.63128668]</t>
  </si>
  <si>
    <t>[0.24832604]</t>
  </si>
  <si>
    <t>[0.0822767]</t>
  </si>
  <si>
    <t>[0.0149594]</t>
  </si>
  <si>
    <t>[0.6208151]</t>
  </si>
  <si>
    <t>[0.01196752]</t>
  </si>
  <si>
    <t>[0.07330106]</t>
  </si>
  <si>
    <t>[0.0074797]</t>
  </si>
  <si>
    <t>[0.21242348]</t>
  </si>
  <si>
    <t>[0.00897564]</t>
  </si>
  <si>
    <t>[0.80182384]</t>
  </si>
  <si>
    <t>[0.0373985]</t>
  </si>
  <si>
    <t>[0.0224391]</t>
  </si>
  <si>
    <t>[0.04338226]</t>
  </si>
  <si>
    <t>[0.12565896]</t>
  </si>
  <si>
    <t>[0.16006558]</t>
  </si>
  <si>
    <t>[0.1047158]</t>
  </si>
  <si>
    <t>[0.17801686]</t>
  </si>
  <si>
    <t>[0.24982198]</t>
  </si>
  <si>
    <t>[0.60735164]</t>
  </si>
  <si>
    <t>[0.23037476]</t>
  </si>
  <si>
    <t>[0.5834166]</t>
  </si>
  <si>
    <t>[0.06432542]</t>
  </si>
  <si>
    <t>[0.00448782]</t>
  </si>
  <si>
    <t>[0.17652092]</t>
  </si>
  <si>
    <t>[0.95440972]</t>
  </si>
  <si>
    <t>[0.05086196]</t>
  </si>
  <si>
    <t>[0.14361024]</t>
  </si>
  <si>
    <t>[0.02543098]</t>
  </si>
  <si>
    <t>[0.06133354]</t>
  </si>
  <si>
    <t>[0.149594]</t>
  </si>
  <si>
    <t>[0.06282948]</t>
  </si>
  <si>
    <t>[0.27525296]</t>
  </si>
  <si>
    <t>[0.70009992]</t>
  </si>
  <si>
    <t>[0.27226108]</t>
  </si>
  <si>
    <t>[0.08078076]</t>
  </si>
  <si>
    <t>[0.56396938]</t>
  </si>
  <si>
    <t>[0.07180512]</t>
  </si>
  <si>
    <t>[0.81678324]</t>
  </si>
  <si>
    <t>[0.02393504]</t>
  </si>
  <si>
    <t>[0.03291068]</t>
  </si>
  <si>
    <t>[0.13762648]</t>
  </si>
  <si>
    <t>[0.04039038]</t>
  </si>
  <si>
    <t>[0.17352904]</t>
  </si>
  <si>
    <t>[0.10022798]</t>
  </si>
  <si>
    <t>[0.18400062]</t>
  </si>
  <si>
    <t>[0.0598376]</t>
  </si>
  <si>
    <t>[0.28273266]</t>
  </si>
  <si>
    <t>0.41.3</t>
  </si>
  <si>
    <t>1.43.1</t>
  </si>
  <si>
    <t>0.30.7</t>
  </si>
  <si>
    <t>1.62.9</t>
  </si>
  <si>
    <t>0.72.2</t>
  </si>
  <si>
    <t>0.160.33</t>
  </si>
  <si>
    <t>0.010.02</t>
  </si>
  <si>
    <t>0.721.25</t>
  </si>
  <si>
    <t>0.10.3</t>
  </si>
  <si>
    <t>0.91.8</t>
  </si>
  <si>
    <t>0.20.5</t>
  </si>
  <si>
    <t>0.61.3</t>
  </si>
  <si>
    <t>0.050.13</t>
  </si>
  <si>
    <t>0.240.48</t>
  </si>
  <si>
    <t>0.10.2</t>
  </si>
  <si>
    <t>0.20.3</t>
  </si>
  <si>
    <t>0.40.7</t>
  </si>
  <si>
    <t>0.020.05</t>
  </si>
  <si>
    <t>0.050.12</t>
  </si>
  <si>
    <t>0.51.8</t>
  </si>
  <si>
    <t>0.20.6</t>
  </si>
  <si>
    <t>0.51.9</t>
  </si>
  <si>
    <t>0.20.8</t>
  </si>
  <si>
    <t>0.010.04</t>
  </si>
  <si>
    <t>0.010.05</t>
  </si>
  <si>
    <t>Component ID</t>
  </si>
  <si>
    <t>Component name</t>
  </si>
  <si>
    <t>Unit</t>
  </si>
  <si>
    <t>Comment</t>
  </si>
  <si>
    <t>General description of food</t>
  </si>
  <si>
    <t>The ‘edible portion’ is defined as (100 – refuse), where refuse is the inedible weight as a percent taken away from the “as purchased” or “as acquired” food before analysing the 100g edible part</t>
  </si>
  <si>
    <t>Macronutrients including energy</t>
  </si>
  <si>
    <t>Energy</t>
  </si>
  <si>
    <t>kJ</t>
  </si>
  <si>
    <t>as in source</t>
  </si>
  <si>
    <t>kcal</t>
  </si>
  <si>
    <t>Protein</t>
  </si>
  <si>
    <t>Individual amino acids and aggregations</t>
  </si>
  <si>
    <t>AAE-</t>
  </si>
  <si>
    <t>mg</t>
  </si>
  <si>
    <t>AANE</t>
  </si>
  <si>
    <t>Sum of 11 non-essential amino acids: alanine, asparagine, aspartic acid, cysteine, glutamic acid, glycine, hydroxyproline and hydroxylysine, proline, serine, tyrosine</t>
  </si>
  <si>
    <t>AAT-</t>
  </si>
  <si>
    <t>AAT18</t>
  </si>
  <si>
    <t>Sum of 18 amino acids (excluding glutamine and asparagine):alanine, arginine, aspartic acid, cysteine, glutamic acid, glycine, histidine, isoleucine, leucine, lysine, methionine, phenylalanine, proline, serine, threonine, tyrosine and valine.  Asparagine and glutamine are normally included in the values of aspartic acid and glutamic acid, respectively.</t>
  </si>
  <si>
    <t>ALA</t>
  </si>
  <si>
    <t>Includes only L-alanine</t>
  </si>
  <si>
    <t>ARG</t>
  </si>
  <si>
    <t>Includes only L-arginine</t>
  </si>
  <si>
    <t>ASP</t>
  </si>
  <si>
    <t>Includes only L-aspartic acid</t>
  </si>
  <si>
    <t>CYS</t>
  </si>
  <si>
    <t>Cysteine is often the natural form, which is converted to cystine during chromatography; includes only the L-amino acid</t>
  </si>
  <si>
    <t>GLN</t>
  </si>
  <si>
    <t>Includes only L-glutamine</t>
  </si>
  <si>
    <t>GLU</t>
  </si>
  <si>
    <t>Includes only L-glutamic acid</t>
  </si>
  <si>
    <t>GLY</t>
  </si>
  <si>
    <t>Includes only L-glycine</t>
  </si>
  <si>
    <t>HIS</t>
  </si>
  <si>
    <t>Includes only L-histidine</t>
  </si>
  <si>
    <t>HYL</t>
  </si>
  <si>
    <t>5-hydroxylysine, non-essential amino acid. Hydroxylysine is found only in animal proteins and mostly in collagens;</t>
  </si>
  <si>
    <t>HYP</t>
  </si>
  <si>
    <t>Includes only L-hydroxyproline</t>
  </si>
  <si>
    <t>ILE</t>
  </si>
  <si>
    <t>Includes only L-isoleucine</t>
  </si>
  <si>
    <t>LEU</t>
  </si>
  <si>
    <t>Includes only L-leucine</t>
  </si>
  <si>
    <t>LYS</t>
  </si>
  <si>
    <t>Includes only L-lysine</t>
  </si>
  <si>
    <t>MET</t>
  </si>
  <si>
    <t>Includes only L-methionine</t>
  </si>
  <si>
    <t>PHE</t>
  </si>
  <si>
    <t>Includes only L-phenylalanine</t>
  </si>
  <si>
    <t>PRO</t>
  </si>
  <si>
    <t>Includes only L-proline</t>
  </si>
  <si>
    <t>SER</t>
  </si>
  <si>
    <t>Includes only L-serine</t>
  </si>
  <si>
    <t>TAU</t>
  </si>
  <si>
    <t>Non-protein amino acid with sulfonic acid group</t>
  </si>
  <si>
    <t>THR</t>
  </si>
  <si>
    <t>Includes only L-threonine</t>
  </si>
  <si>
    <t>TRP</t>
  </si>
  <si>
    <t>Includes only L-tryptophan</t>
  </si>
  <si>
    <t>TYR</t>
  </si>
  <si>
    <t>Includes only L-tyrosine</t>
  </si>
  <si>
    <t>VAL</t>
  </si>
  <si>
    <t>Includes only L-valine</t>
  </si>
  <si>
    <t>Sum of cystine + methionine</t>
  </si>
  <si>
    <t>ASN_A_ASP</t>
  </si>
  <si>
    <t>GLN_A_GLU</t>
  </si>
  <si>
    <t>Glutamine + gluamic acid</t>
  </si>
  <si>
    <t>Nitrogen and protein expressions, conversion factors</t>
  </si>
  <si>
    <t>NNP</t>
  </si>
  <si>
    <t>NT</t>
  </si>
  <si>
    <t>g</t>
  </si>
  <si>
    <t>Determined by Kjeldahl and similar methods</t>
  </si>
  <si>
    <t>Calculated by multiplying the protein nitrogen value (NPRO) by the nitrogen conversion factor (XN)</t>
  </si>
  <si>
    <t>Generic factor equals 6.25</t>
  </si>
  <si>
    <t xml:space="preserve">Fat, fatty acids, fatty acid conversion factor </t>
  </si>
  <si>
    <t>FAT</t>
  </si>
  <si>
    <t>Sum of triglycerides, phospholipids, sterols and related compounds; the analytical method is a mixed solvent extraction</t>
  </si>
  <si>
    <t>FATCE</t>
  </si>
  <si>
    <t>The Soxhlet method has often been used to analyze for total fat using continuous extraction. This method tends to underestimate the total fat value of a food</t>
  </si>
  <si>
    <t>FAT-</t>
  </si>
  <si>
    <t>TGLY</t>
  </si>
  <si>
    <t>Fatty acids</t>
  </si>
  <si>
    <t>F4D0</t>
  </si>
  <si>
    <t xml:space="preserve">Tetranoic acid. Saturated fatty acid with 4 carbons. </t>
  </si>
  <si>
    <t>F6D0</t>
  </si>
  <si>
    <t xml:space="preserve">Hexanoic acid. Saturated fatty acid with 6 carbons. </t>
  </si>
  <si>
    <t>F8D0</t>
  </si>
  <si>
    <t xml:space="preserve">Octanoic acid. Saturated fatty acid with 8 carbons. </t>
  </si>
  <si>
    <t>F9D0</t>
  </si>
  <si>
    <t>F10D0</t>
  </si>
  <si>
    <t>Decanoic acid. Saturated fatty acid with 10 carbons</t>
  </si>
  <si>
    <t>F11D0</t>
  </si>
  <si>
    <t>Saturated fatty acid with 11 carbons</t>
  </si>
  <si>
    <t>F12D0</t>
  </si>
  <si>
    <t>Dodecanoic acid. Saturated fatty acid with 12 carbons. Lauric Acid</t>
  </si>
  <si>
    <t>F13D0</t>
  </si>
  <si>
    <t>Tridecanoic Acid. Saturated fatty acid with 13 carbons</t>
  </si>
  <si>
    <t>F14D0</t>
  </si>
  <si>
    <t>Tetradecanoic acid. A saturated fatty acids with 14 carbons</t>
  </si>
  <si>
    <t>F14D0I</t>
  </si>
  <si>
    <t>F15D0</t>
  </si>
  <si>
    <t>Pentadecanoic Acid. Saturated fatty acid with 15 carbons</t>
  </si>
  <si>
    <t>F15D0I</t>
  </si>
  <si>
    <t>F16D0</t>
  </si>
  <si>
    <t>Hexadecanoic acid. Saturated fatty acid with 16 carbons</t>
  </si>
  <si>
    <t>F16D0I</t>
  </si>
  <si>
    <t>F16D0AI</t>
  </si>
  <si>
    <t>F17D0</t>
  </si>
  <si>
    <t>Heptadecanoic Acid. Saturated fatty acid with 17 carbons</t>
  </si>
  <si>
    <t>F17D0I</t>
  </si>
  <si>
    <t>F17D0AI</t>
  </si>
  <si>
    <t>F18D0</t>
  </si>
  <si>
    <t>Octadecanoic Acid. Saturated fatty acid with 18 carbons</t>
  </si>
  <si>
    <t>F19D0</t>
  </si>
  <si>
    <t>Nonadecanoic Acid. Saturated fatty acid with 19 carbons</t>
  </si>
  <si>
    <t>F20D0</t>
  </si>
  <si>
    <t>Icosanoic acid. Saturated fatty acid with 20 carbons</t>
  </si>
  <si>
    <t>F21D0</t>
  </si>
  <si>
    <t>F22D0</t>
  </si>
  <si>
    <t>Docosanoic acid</t>
  </si>
  <si>
    <t>F23D0</t>
  </si>
  <si>
    <t>Tricosanoic acid</t>
  </si>
  <si>
    <t>F24D0</t>
  </si>
  <si>
    <t>Tetracosanoic acid. Saturated fatty acid with 24 carbons</t>
  </si>
  <si>
    <t>F12D1</t>
  </si>
  <si>
    <t>Dodecenoic Acid. A monounsaturated fatty acids with 12 carbons</t>
  </si>
  <si>
    <t>F14D1N9</t>
  </si>
  <si>
    <t>5-Tetradecenoic Acid. Monounsaturated fatty acid with 14 carbons and 1 double bond at the 9th carbon from the methyl end</t>
  </si>
  <si>
    <t>F14D1N7</t>
  </si>
  <si>
    <t>7-Tetradecenoic Acid. Monounsaturated fatty acid with 14 carbons and 1 double bond at the 7th carbon from the methyl end</t>
  </si>
  <si>
    <t>F14D1N5</t>
  </si>
  <si>
    <t>9-Tetradecenoic Acid. Monounsaturated fatty acid with 14 carbons and 1 double bond at the 5th carbon from the methyl end</t>
  </si>
  <si>
    <t>F14D1N3</t>
  </si>
  <si>
    <t>F14D1</t>
  </si>
  <si>
    <t>Tetradecenoic Acid.  A monounsaturated fatty acids with 14 carbons</t>
  </si>
  <si>
    <t>F15D1N9</t>
  </si>
  <si>
    <t>Pentadecenoic Acid n-9. Monounsaturated fatty acid with 15 carbons and the double bond at the 9th carbon from the methyl end</t>
  </si>
  <si>
    <t>F15D1N7</t>
  </si>
  <si>
    <t>F15D1</t>
  </si>
  <si>
    <t>Pentadecenoic Acid. A monounsaturated fatty acids with 15 carbons</t>
  </si>
  <si>
    <t>F16D1N11</t>
  </si>
  <si>
    <t>F16D1N9</t>
  </si>
  <si>
    <t>7-cis-Hexadecenoic Acid. Monounsaturated fatty acid with 16 carbons and the double bond at the 9th carbon from the methyl end</t>
  </si>
  <si>
    <t>F16D1TN7</t>
  </si>
  <si>
    <t>trans-9-hexadecenoic acid. Monounsaturated fatty acid with 16 carbons and a trans double bond at the 7th carbon from the methyl end</t>
  </si>
  <si>
    <t>F16D1N7</t>
  </si>
  <si>
    <t>9-Hexadecenoic Acid. Monounsaturated fatty acid with 16 carbons and the double bond at the 7th carbon from the methyl end</t>
  </si>
  <si>
    <t>F16D1</t>
  </si>
  <si>
    <t>Fatty acid 16: 1</t>
  </si>
  <si>
    <t>Hexadecenoic Acid. A monounsaturated fatty acids with 16 carbons with unknown isomer</t>
  </si>
  <si>
    <t>F17D1N9</t>
  </si>
  <si>
    <t>F17D1N8</t>
  </si>
  <si>
    <t>F17D1N7</t>
  </si>
  <si>
    <t>F17D1N5</t>
  </si>
  <si>
    <t>F17D1</t>
  </si>
  <si>
    <t>Heptadecenoic Acid. A class of monounsaturated fatty acids with 17 carbons</t>
  </si>
  <si>
    <t>F18D1CN11</t>
  </si>
  <si>
    <t>F18D1N11</t>
  </si>
  <si>
    <t>F18D1CN9</t>
  </si>
  <si>
    <t>cis-9-Octadecenoic acid. Monounsaturated fatty acid with 18 carbons and cis double bond at the 9th carbon from the methyl end</t>
  </si>
  <si>
    <t>F18D1TN9</t>
  </si>
  <si>
    <t>trans-9-Octadecenoic acid. Monounsaturated fatty acid with 18 carbons and the double bond in the trans formation at the 9th carbon from the methyl end</t>
  </si>
  <si>
    <t>F18D1N9</t>
  </si>
  <si>
    <t>Monounsaturated fatty acid with 18 carbons and double bond at the 9th carbon from the methyl end</t>
  </si>
  <si>
    <t>F18D1CN7</t>
  </si>
  <si>
    <t>F18D1N7</t>
  </si>
  <si>
    <t>F18D1N5</t>
  </si>
  <si>
    <t>F18D1T</t>
  </si>
  <si>
    <t>trans-Octadecenoic acid. Monounsaturated fatty acid with 18 carbons and the double bond in the trans formation</t>
  </si>
  <si>
    <t>F18D1</t>
  </si>
  <si>
    <t>Octadecenoic Acid. A class of monounsaturated fatty acids with 18 carbons</t>
  </si>
  <si>
    <t>F19D1N11</t>
  </si>
  <si>
    <t>F19D1N9</t>
  </si>
  <si>
    <t>F20D1N11</t>
  </si>
  <si>
    <t>(9Z)-icos-9-enoic acid or icosenoic Acid n-11. Monounsaturated fatty acid with 20 carbons and the double bond at the 11th carbon from the methyl end</t>
  </si>
  <si>
    <t>F20D1N9</t>
  </si>
  <si>
    <t>Icosenoic Acid n-9. Monounsaturated fatty acid with 20 carbons and the double bond at the 9th carbon from the methyl end</t>
  </si>
  <si>
    <t>F20D1N8</t>
  </si>
  <si>
    <t>F20D1N7</t>
  </si>
  <si>
    <t>Icosenoic Acid n-7. Monounsaturated fatty acid with 20 carbons and the double bond at the 7th carbon from the methyl end</t>
  </si>
  <si>
    <t>F20D1T</t>
  </si>
  <si>
    <t>F20D1</t>
  </si>
  <si>
    <t>Icosenoic Acid. A class of monounsaturated fatty acids with 20 carbons</t>
  </si>
  <si>
    <t>F22D1N11</t>
  </si>
  <si>
    <t>F22D1N9</t>
  </si>
  <si>
    <t>Docosenoic Acid n-9. A class of monounsaturated fatty acids with 22 carbons and the double bond at the 9th carbon from the methyl end</t>
  </si>
  <si>
    <t>F22D1T</t>
  </si>
  <si>
    <t>F22D1</t>
  </si>
  <si>
    <t>Docosenoic Acid. A class of monounsaturated fatty acids with 22 carbons</t>
  </si>
  <si>
    <t>F24D1N9</t>
  </si>
  <si>
    <t>F24D1</t>
  </si>
  <si>
    <t>Tetracosenoic acid. A class of monounsaturated fatty acids with 24 carbons</t>
  </si>
  <si>
    <t>F16D2N7</t>
  </si>
  <si>
    <t>Hexadecadienoic Acid n-7. Polyunsaturated fatty acid with 16 carbons and 2 double bonds at the 7th and 10th carbons from the methyl end</t>
  </si>
  <si>
    <t>F16D2N6</t>
  </si>
  <si>
    <t>F16D2N4</t>
  </si>
  <si>
    <t>Hexadecadienoic Acid n-4. Polyunsaturated fatty acid with 16 carbons and 2 double bonds at the 4th and 7th carbons from the methyl end</t>
  </si>
  <si>
    <t>F16D2</t>
  </si>
  <si>
    <t>Hexadecadienoic Acid. A polyunsaturated fatty acids with 16 carbons and 2 double bonds</t>
  </si>
  <si>
    <t>F18D2TTN6</t>
  </si>
  <si>
    <t>Fatty acid 18:2 trans, trans n-6</t>
  </si>
  <si>
    <t>F18D2CN6</t>
  </si>
  <si>
    <t>cis,cis-9,12-Octadecadienoic Acid. Polyunsaturated fatty acid with 18 carbons and 2 double bonds at the 6th and 9th carbons from the methyl end</t>
  </si>
  <si>
    <t>F18D2TN6</t>
  </si>
  <si>
    <t>Octadecadienoic Acid n-6 trans. Polyunsaturated fatty acid with 18 carbons and 2 double bonds at the 6th and 9th carbons from the methyl end, with one in trans</t>
  </si>
  <si>
    <t>F18D2N6</t>
  </si>
  <si>
    <t>F18D2N5</t>
  </si>
  <si>
    <t>F18D2N4</t>
  </si>
  <si>
    <t>Octadecadienoic Acid n-4. Polyunsaturated fatty acid with 18 carbons and 2 double bonds at the 4th and 7th carbons from the methyl end</t>
  </si>
  <si>
    <t>F18D2T</t>
  </si>
  <si>
    <t>F18D2</t>
  </si>
  <si>
    <t xml:space="preserve">Octadecadienoic Acid. A class of polyunsaturated fatty acids with 18 carbons and 2 double bonds. </t>
  </si>
  <si>
    <t>F20D2N9</t>
  </si>
  <si>
    <t>F20D2N6</t>
  </si>
  <si>
    <t>Icosadienoic Acid n-6. Polyunsaturated fatty acid with 20 carbons and 2 double bonds at the 6th and 9th carbons from the methyl end</t>
  </si>
  <si>
    <t>F20D2C</t>
  </si>
  <si>
    <t>F20D2</t>
  </si>
  <si>
    <t>Icosadienoic Acid. A class of polyunsaturated fatty acids with 20 carbons and 2 double bonds</t>
  </si>
  <si>
    <t>F22D2N6</t>
  </si>
  <si>
    <t>F22D2C</t>
  </si>
  <si>
    <t>F22D2</t>
  </si>
  <si>
    <t>Docosadienoic Acid. A class of polyunsaturated fatty acids with 22 carbons and 2 double bonds</t>
  </si>
  <si>
    <t>F16D3N4</t>
  </si>
  <si>
    <t>Hexadecatrienoic Acid n-4. Polyunsaturated fatty acid with 16 carbons and 3 double bonds at the 4th, 7th, and 10th carbons from the methyl end</t>
  </si>
  <si>
    <t>F16D3N3</t>
  </si>
  <si>
    <t>Hexadecatrienoic Acid n-3. Polyunsaturated fatty acid with 16 carbons and 3 double bonds at the 3rd, 6th, and 9th carbons from the methyl end</t>
  </si>
  <si>
    <t>F16D3</t>
  </si>
  <si>
    <t xml:space="preserve">Hexadecatrienoic Acid. A polyunsaturated fatty acids with 16 carbons and 3 double bonds. </t>
  </si>
  <si>
    <t>F18D3CN6</t>
  </si>
  <si>
    <t>cis,cis,cis-6,9,12-Octadecatrienoic Acid. Polyunsaturated fatty acid with 18 carbons and 3 cis double bonds at the 6th, 9th and 12th carbons from the methyl end</t>
  </si>
  <si>
    <t>F18D3N6</t>
  </si>
  <si>
    <t>F18D3N4</t>
  </si>
  <si>
    <t>F18D3CN3</t>
  </si>
  <si>
    <t>cis,cis,cis-9,12,15-Octadecatrienoic Acid. Polyunsaturated fatty acid with 18 carbons and 3 cis double bonds at the 3rd, 6th, and 9th carbons from the methyl end</t>
  </si>
  <si>
    <t>F18D3TN3</t>
  </si>
  <si>
    <t>F18D3N3</t>
  </si>
  <si>
    <t>9,12,15-Octadecatrienoic Acid. Polyunsaturated fatty acid with 18 carbons and 3 double bonds at the 3rd, 6th, and 9th carbons from the methyl end</t>
  </si>
  <si>
    <t>F18D3</t>
  </si>
  <si>
    <t>Octadecatrienoic Acid. A class of polyunsaturated fatty acids with 18 carbons and 3 double bonds</t>
  </si>
  <si>
    <t>F20D3N9</t>
  </si>
  <si>
    <t>5,8,11-icosatrienoic Acid or icosatrienoic Acid n-9. Polyunsaturated fatty acid with 20 carbons and 3 double bonds at the 9th, 12th, and 15th carbon from the methyl end</t>
  </si>
  <si>
    <t>F20D3N6</t>
  </si>
  <si>
    <t>Eicosatrienoic Acid n-6 or homogammalinolenic acid</t>
  </si>
  <si>
    <t>F20D3N3</t>
  </si>
  <si>
    <t>Icosatrienoic Acid n-3. Polyunsaturated fatty acid with 20 carbons and 3 double bonds at the 3rd, 6th, and 9th carbons from the methyl end</t>
  </si>
  <si>
    <t>F20D3</t>
  </si>
  <si>
    <t>Icosatrienoic Acid. A class of polyunsaturated fatty acids with 20 carbons and 3 double bonds</t>
  </si>
  <si>
    <t>F22D3N6</t>
  </si>
  <si>
    <t>F22D3N3</t>
  </si>
  <si>
    <t>F16D4N4</t>
  </si>
  <si>
    <t>Hexadecatetraenoic Acid n-4. Polyunsaturated fatty acid with 16 carbons and 4 double bonds at the 4th, 7th, 10th, and 13th carbons from the methyl end.</t>
  </si>
  <si>
    <t>F16D4N3</t>
  </si>
  <si>
    <t>F16D4N1</t>
  </si>
  <si>
    <t>Hexadecatetraenoic Acid n-1. Polyunsaturated fatty acid with 16 carbons and 4 double bonds at the 1st, 4th, 7th and 10th carbons from the methyl end</t>
  </si>
  <si>
    <t>F16D4</t>
  </si>
  <si>
    <t>Hexadecatetraenoic Acid. A class of polyunsaturated fatty acids with 16 carbons and 4 double bonds</t>
  </si>
  <si>
    <t>F18D4N3</t>
  </si>
  <si>
    <t>Parinaric Acid n-3. Polyunsaturated fatty acid with 18 carbons and 4 double bonds at the 3rd, 6th, 9th, and 12th carbons from the methyl end</t>
  </si>
  <si>
    <t>F18D4N1</t>
  </si>
  <si>
    <t>F18D4</t>
  </si>
  <si>
    <t>Octadecatetraenoic Acid. A class of fatty acids with 18 carbons and 4 double bonds</t>
  </si>
  <si>
    <t>F20D4CN6</t>
  </si>
  <si>
    <t>F20D4N6</t>
  </si>
  <si>
    <t>5,8,11,14-Icosatetraenoic Acid or icosatetraenoic Acid n-6. Polyunsaturated fatty acid with 20 carbons and 4 double bonds at the 5th, 8th, 11th and 14th carbons from the methyl end</t>
  </si>
  <si>
    <t>F20D4N3</t>
  </si>
  <si>
    <t>Icosatetraenoic Acid n-3. Polyunsaturated fatty acid with 20 carbons and 4 double bonds at the 3rd, 6th, 9th, and 12th carbons from the methyl end</t>
  </si>
  <si>
    <t>F20D4</t>
  </si>
  <si>
    <t>Icosatetraenoic Acid. A class of polyunsaturated fatty acids with 20 carbons and 4 double bonds</t>
  </si>
  <si>
    <t>F22D4N6</t>
  </si>
  <si>
    <t>F22D4N3</t>
  </si>
  <si>
    <t>Docosatetraenoic Acid n-3. Polyunsaturated fatty acid with 22 carbons and 4 double bonds at the 3rd, 6th, 9th and 12th carbons from the methyl end</t>
  </si>
  <si>
    <t>F22D4</t>
  </si>
  <si>
    <t>Docosatetraenoic Acid. A class of polyunsaturated fatty acids with 22 carbons and 4 double bonds</t>
  </si>
  <si>
    <t>F20D5CN3</t>
  </si>
  <si>
    <t>F20D5N3</t>
  </si>
  <si>
    <t>Icosapentaenoic Acid n-3; EPA. Polyunsaturated fatty acid with 20 carbons and 5 double bonds at the 3rd, 6th, 9th, 12th and 15th carbons from the methyl end</t>
  </si>
  <si>
    <t>F20D5</t>
  </si>
  <si>
    <t>F21D5N3</t>
  </si>
  <si>
    <t>Polyunsaturated fatty acid with 21 carbons and 5 double bonds at the 3rd, 6th, 9th, 12th and 15th carbons from the methyl end</t>
  </si>
  <si>
    <t>F21D5</t>
  </si>
  <si>
    <t xml:space="preserve">A class of polyunsaturated fatty acids with 21 carbons and 5 double bonds. </t>
  </si>
  <si>
    <t>F22D5N6</t>
  </si>
  <si>
    <t>Docosapentaenoic Acid n-6. Polyunsaturated fatty acid with 22 carbons and 5 double bonds at the 6th, 9th, 12th, 15th and 18th carbons from the methyl end</t>
  </si>
  <si>
    <t>F22D5N3</t>
  </si>
  <si>
    <t>Docosapentaenoic Acid n-3. Polyunsaturated fatty acid with 22 carbons and 5 double bonds at the 3rd, 6th, 9th, 12th, and 15th carbon from the methyl end</t>
  </si>
  <si>
    <t>F22D5</t>
  </si>
  <si>
    <t>Docosapentaenoic Acid. A class of polyunsaturated fatty acids with 22 carbons and 5 double bonds</t>
  </si>
  <si>
    <t>F22D6CN3</t>
  </si>
  <si>
    <t>F22D6N3</t>
  </si>
  <si>
    <t>Docosahexaenoic Acid n-3; DHA. Polyunsaturated fatty acid with 22 carbons and 6 double bonds at the 3rd, 6th, 9th, 12th, 15th and 18th carbons from the methyl end</t>
  </si>
  <si>
    <t>F22D6</t>
  </si>
  <si>
    <t>Docosahexaenoic Acid. A class of polyunsaturated fatty acids with 22 carbons and 6 double bonds</t>
  </si>
  <si>
    <t>F18D1N7_A_F18D1N9</t>
  </si>
  <si>
    <t>F18D1N11_A_F20D1N9</t>
  </si>
  <si>
    <t>F20D1N9_A_F20D1N11</t>
  </si>
  <si>
    <t>F20D4N6_A_F22D1</t>
  </si>
  <si>
    <t>F22D1N9_A_F22D1N11</t>
  </si>
  <si>
    <t>FACID</t>
  </si>
  <si>
    <t>FASAT</t>
  </si>
  <si>
    <t>FAMS</t>
  </si>
  <si>
    <t>FAPU</t>
  </si>
  <si>
    <t>FATRN</t>
  </si>
  <si>
    <t>FAUN</t>
  </si>
  <si>
    <t>FAPUN9</t>
  </si>
  <si>
    <t>A class of polyunsaturated fatty acids with the first double bond at the 9th carbon from the methyl end</t>
  </si>
  <si>
    <t>FAPUN6</t>
  </si>
  <si>
    <t>A class of polyunsaturated fatty acids with the first double bond at the 6th carbon from the methyl end</t>
  </si>
  <si>
    <t>FAPUN3</t>
  </si>
  <si>
    <t>A class of polyunsaturated fatty acids with the first double bond at the 3rd carbon from the methyl end</t>
  </si>
  <si>
    <t>FAN6</t>
  </si>
  <si>
    <t>A class of fatty acids with the first double bond (mono and polyunsaturated FA) at the 6th carbon from the methyl end</t>
  </si>
  <si>
    <t>FAN3</t>
  </si>
  <si>
    <t>A class of fatty acids with the first double bond (mono and polyunsaturated FA) at the 3rd carbon from the methyl end</t>
  </si>
  <si>
    <t>FAFRE</t>
  </si>
  <si>
    <t>Fat components</t>
  </si>
  <si>
    <t>DGLY</t>
  </si>
  <si>
    <t>Phospholipids</t>
  </si>
  <si>
    <t>PHOLIP</t>
  </si>
  <si>
    <t>Carbohydrates, carbohydrate fractions</t>
  </si>
  <si>
    <t>CHOAVLDF</t>
  </si>
  <si>
    <t>This value is calculated: 100 g minus total grams of water, protein, fat, alcohol, ash and dietary fibre; or CHOCDF – dietary fibre</t>
  </si>
  <si>
    <t>This value is calculated: 100 g minus total grams of water, protein, fat, alcohol and ash</t>
  </si>
  <si>
    <t>CHO-</t>
  </si>
  <si>
    <t>Sugars</t>
  </si>
  <si>
    <t>SUGAR</t>
  </si>
  <si>
    <t>Sugars, total</t>
  </si>
  <si>
    <t>Sum of free monosaccharides and disaccharides</t>
  </si>
  <si>
    <t>Monosaccharides</t>
  </si>
  <si>
    <t>GLUS</t>
  </si>
  <si>
    <t>D-glucose only; includes only the free monosaccharide</t>
  </si>
  <si>
    <t>Disaccharides</t>
  </si>
  <si>
    <t>SUCS</t>
  </si>
  <si>
    <t>Saccharose</t>
  </si>
  <si>
    <t>Polysaccharides</t>
  </si>
  <si>
    <t>AMYS</t>
  </si>
  <si>
    <t>GLYC</t>
  </si>
  <si>
    <t>Dietary fibre, fibre, dietary fibre fractions</t>
  </si>
  <si>
    <t>FIBTG</t>
  </si>
  <si>
    <t>Sum of non-starch polysaccharides, lignin, part of resistant starch and resistant oligosaccharides. This is equivalent to the sum of &lt;FIBSOL&gt; and &lt;FIBINS&gt;</t>
  </si>
  <si>
    <t>FIBC</t>
  </si>
  <si>
    <t>The crude fibre method of fibre analysis is obsolete</t>
  </si>
  <si>
    <t>FIB-</t>
  </si>
  <si>
    <t>WATER</t>
  </si>
  <si>
    <t>Includes all methods except freeze drying</t>
  </si>
  <si>
    <t>DM</t>
  </si>
  <si>
    <t>Ash and other solids</t>
  </si>
  <si>
    <t>ASH</t>
  </si>
  <si>
    <t>Organic acids</t>
  </si>
  <si>
    <t>OXALAC</t>
  </si>
  <si>
    <t>Minerals and trace elements</t>
  </si>
  <si>
    <t>AG</t>
  </si>
  <si>
    <t>mcg</t>
  </si>
  <si>
    <t>Includes both elemental and ionic forms</t>
  </si>
  <si>
    <t>AL</t>
  </si>
  <si>
    <t>BA</t>
  </si>
  <si>
    <t>BRD</t>
  </si>
  <si>
    <t>CA</t>
  </si>
  <si>
    <t>CLD</t>
  </si>
  <si>
    <t>CO</t>
  </si>
  <si>
    <t>CR</t>
  </si>
  <si>
    <t>CU</t>
  </si>
  <si>
    <t>FE</t>
  </si>
  <si>
    <t>Includes elemental and both ionic forms; includes haem and non-haem iron</t>
  </si>
  <si>
    <t>ID</t>
  </si>
  <si>
    <t>K</t>
  </si>
  <si>
    <t>MG</t>
  </si>
  <si>
    <t>MN</t>
  </si>
  <si>
    <t>MO</t>
  </si>
  <si>
    <t>NA</t>
  </si>
  <si>
    <t>NACL</t>
  </si>
  <si>
    <t>NI</t>
  </si>
  <si>
    <t>P</t>
  </si>
  <si>
    <t>RB</t>
  </si>
  <si>
    <t>S</t>
  </si>
  <si>
    <t>TI</t>
  </si>
  <si>
    <t>V</t>
  </si>
  <si>
    <t>ZN</t>
  </si>
  <si>
    <t>Heavy metals and contaminants</t>
  </si>
  <si>
    <t>AS</t>
  </si>
  <si>
    <t>CD</t>
  </si>
  <si>
    <t>HG</t>
  </si>
  <si>
    <t>PB</t>
  </si>
  <si>
    <t>SN</t>
  </si>
  <si>
    <t>SR</t>
  </si>
  <si>
    <t>Vitamins</t>
  </si>
  <si>
    <t>Fat-soluble vitamins</t>
  </si>
  <si>
    <t>Vitamin A, retinol</t>
  </si>
  <si>
    <t>VITA_RAE</t>
  </si>
  <si>
    <t>Vitamin A retinol activity equivalent (RAE); calculated by summation of the vitamin A activities of retinol and the active carotenoids</t>
  </si>
  <si>
    <t>Total vitamin A in retinol activity equivalent (RAE) = mcg retinol + 1/12 mcg beta-carotene + 1/24 mcg  a-carotene + 1/24 b-cryptoxanthin</t>
  </si>
  <si>
    <t>VITA</t>
  </si>
  <si>
    <t>Total vitamin A = mcg retinol + 1/6 mcg beta-carotene + 1/12 mcg  a-carotene + 1/12 b-cryptoxanthin</t>
  </si>
  <si>
    <t>RETOL</t>
  </si>
  <si>
    <t>All-trans retinol only</t>
  </si>
  <si>
    <t>RETOLDH</t>
  </si>
  <si>
    <t>RETOL13</t>
  </si>
  <si>
    <t>VITA-</t>
  </si>
  <si>
    <t>Vitamin A; method of determination unknown</t>
  </si>
  <si>
    <t>Carotenoids</t>
  </si>
  <si>
    <t>CARTA</t>
  </si>
  <si>
    <t>All-trans alpha-carotene only</t>
  </si>
  <si>
    <t>CARTB</t>
  </si>
  <si>
    <t>All-trans beta-carotene only</t>
  </si>
  <si>
    <t>CARTBCIS</t>
  </si>
  <si>
    <t>beta-Carotene cis</t>
  </si>
  <si>
    <t>CARTBEQ</t>
  </si>
  <si>
    <t>beta-Carotene equivalents</t>
  </si>
  <si>
    <t>This value is the sum of the beta-carotene plus ½ the quantity of the other carotenoids with vitamin A activity</t>
  </si>
  <si>
    <t>LUTN</t>
  </si>
  <si>
    <t>NEOX</t>
  </si>
  <si>
    <t>VIOLX</t>
  </si>
  <si>
    <t>Violaxanthin</t>
  </si>
  <si>
    <t>Vitamin D</t>
  </si>
  <si>
    <t>CHOCAL</t>
  </si>
  <si>
    <t>Naturally occurring form</t>
  </si>
  <si>
    <t>ERGSTR</t>
  </si>
  <si>
    <t>Vitamin E</t>
  </si>
  <si>
    <t>TOCPHA</t>
  </si>
  <si>
    <t>VITE-</t>
  </si>
  <si>
    <t>Vitamin E; method or determination unknown or variable</t>
  </si>
  <si>
    <t>Water-soluble vitamins</t>
  </si>
  <si>
    <t>Thiamin (vitamin B1)</t>
  </si>
  <si>
    <t>THIA</t>
  </si>
  <si>
    <t>Riboflavin (vitamin B2)</t>
  </si>
  <si>
    <t>RIBF</t>
  </si>
  <si>
    <t>Folate</t>
  </si>
  <si>
    <t>FOL</t>
  </si>
  <si>
    <t>Microbiological method; includes both conjugated and free folate</t>
  </si>
  <si>
    <t>FOL-</t>
  </si>
  <si>
    <t>Folate; method unknown or variable</t>
  </si>
  <si>
    <t>Niacin</t>
  </si>
  <si>
    <t>NIA</t>
  </si>
  <si>
    <t>Nicotinic acid + nicotinamide</t>
  </si>
  <si>
    <t>NIA-</t>
  </si>
  <si>
    <t>PANTAC</t>
  </si>
  <si>
    <t>Vitamin B6</t>
  </si>
  <si>
    <t>VITB6A</t>
  </si>
  <si>
    <t>VITB6-</t>
  </si>
  <si>
    <t>Vitamin B-6, method unknown or variable</t>
  </si>
  <si>
    <t>PYRXN</t>
  </si>
  <si>
    <t>Vitamin B6 alcohol form</t>
  </si>
  <si>
    <t>Pyridoxine HCl</t>
  </si>
  <si>
    <t>Vitamin B12</t>
  </si>
  <si>
    <t>VITB12</t>
  </si>
  <si>
    <t>Includes all the active forms of vitamin B-12 in food</t>
  </si>
  <si>
    <t>Vitamin C</t>
  </si>
  <si>
    <t>VITC</t>
  </si>
  <si>
    <t>L-ascorbic acid + L-dehydroascorbic acid</t>
  </si>
  <si>
    <t>ASCL</t>
  </si>
  <si>
    <t>ASCDL</t>
  </si>
  <si>
    <t>VITC-</t>
  </si>
  <si>
    <t>Vitamin C; method unknown or variable</t>
  </si>
  <si>
    <t>Sterols</t>
  </si>
  <si>
    <t>STERT</t>
  </si>
  <si>
    <t xml:space="preserve">Non-specific colorimetric method or sum of cholesterol and phytosterols </t>
  </si>
  <si>
    <t>Plant sterols</t>
  </si>
  <si>
    <t>BRASTR</t>
  </si>
  <si>
    <t>CAMT</t>
  </si>
  <si>
    <t>SAPON</t>
  </si>
  <si>
    <t>Saponins</t>
  </si>
  <si>
    <t>SITSTR</t>
  </si>
  <si>
    <t>Beta-sitosterol only</t>
  </si>
  <si>
    <t>SQUAL</t>
  </si>
  <si>
    <t>STGSTR</t>
  </si>
  <si>
    <t>Cholesterol</t>
  </si>
  <si>
    <t>CHOLE</t>
  </si>
  <si>
    <t>CHOL-</t>
  </si>
  <si>
    <t>Bioactive constituents</t>
  </si>
  <si>
    <t>Flavonoids</t>
  </si>
  <si>
    <t>Flavonols</t>
  </si>
  <si>
    <t>ISOHA</t>
  </si>
  <si>
    <t>KAEMF</t>
  </si>
  <si>
    <t>QUERCE</t>
  </si>
  <si>
    <t>Tannins</t>
  </si>
  <si>
    <t>TAN</t>
  </si>
  <si>
    <t>Tannins, total</t>
  </si>
  <si>
    <t>Bibliography</t>
  </si>
  <si>
    <t>Booth, S., Bressani, R., Johns, T. Nutrient content of selected indigenous leafy vegetables consumed by the Kekchi people of Alta Verapaz, Guatemala (1992) Journal of Food composition and analysis, 5, pp 25-34</t>
  </si>
  <si>
    <t>Sreeramulu, G., Ndossi, D, G., Mtotomwema. Effect of cooking on the nutritive value of common food plants of Tanzania: Part 1 - Vitamin C in some of the Wild Green leafy vegetables (1983) Food chemistry 10, pp 205-210</t>
  </si>
  <si>
    <t>Oboh G. Effect of blanching on the antioxidant properties of some tropical green leafy vegetables (2005) Swiss society of food science and technology 38, pp 513-517</t>
  </si>
  <si>
    <t>Nagra, A, S., Khan, S. Vitamin A (Beta-carotene) Losses in Pakistani Cooking (1988) Journal of science food Agriculture, 45, pp 249-251</t>
  </si>
  <si>
    <t>Rahman, M, M., Wahed, A, M., Ali, A, M. Beta-carotene losses during different methods of cooking green leafy vegetables in Bangladesh (1990) Journal of food composition and analysis, 3, pp 47-53</t>
  </si>
  <si>
    <t>ve15</t>
  </si>
  <si>
    <t>Khader, V., Rama, S. Selected mineral content of common leafy vegetables consumed in India at different stages of maturity (1998) Plant foods for human nutrition, 53, pp 71-81</t>
  </si>
  <si>
    <t>Arora, A. Total and ironisable iron content in some vegetables as influenced by cooking in iron utensil (2000) Journal of food science and technology, 37 (1) pp 64-66</t>
  </si>
  <si>
    <t>Kawashima, M, L., Lucia, M., Soares, V. Mineral profile of raw and cooked leafy vegetables consumed in Southern Brazil (2003) Journal of food composition and analysis, 16, pp 605-611</t>
  </si>
  <si>
    <t>Negi, S, P., Roy, K, S. Effect of blanching and drying methods on Beta carotene, ascorbic acid and chlorophyll retention of leafy vegetables (2000) Lebensm.-Wiss u-Technol, 33, pp 295-298</t>
  </si>
  <si>
    <t>Kumari, M., Gupta, S., Lakshmi, J, A., Prakash, J. Iron bioavailability in green leafy vegetables cooked in different utensils (2004) Food chemistry, 86, pp 217-222</t>
  </si>
  <si>
    <t>Agte, V, V., Tarwadi, V, K., Mengale, S, Chiplonkar, A, S. Potential of traditionally cooked green leafy vegetables as natural sources for supplementation of eight micronutrients in vegetarian diets (200) Journal of food composition and analysis, 13, pp885-891</t>
  </si>
  <si>
    <t>Ejoh, A, R., Nkonga, V, D., Inocent, G., Moses, C, M. Nutritional components of some non-conventional leafy vegetables consumed in cameroon (2007) Pakistan journal of nutrition, 6 (6) pp 712-717</t>
  </si>
  <si>
    <t>Schonfeldt, C, H., Pretorius, B. The nutrient content of five traditional South African dark green leafy vegetables - A preliminary study (2011) Journal of food composition and analysis, pp 1-6</t>
  </si>
  <si>
    <t>Mepba, D, H., Eboh, L., Banigo, B, E, D. Effects of processing treatments on the nutritive composition and consumer acceptance of some Nigerian edible leafy vegetables (2007) African Journal of food agriculture nutrition and development, 7 (1) (1) pp 1 -18</t>
  </si>
  <si>
    <t xml:space="preserve">Randrianatoandro, A, V., Avallone, S., Picq, C., Ralison, C., Treche, S. Recipes nd nutritional value of dishes prepared from green-leafy vegetables in an urban district of Antananarivo (Madagascar) (2010) International journal of food science and nutrition, 61 (4) pp 404-416 </t>
  </si>
  <si>
    <t>Onyeike, N, E., Ihugba, C, A., George, C. Influence of heat processing on the nutrient composition of vegetables consumed in Nigeria (2003) Plant food for human nutrition, 58, pp 1-11</t>
  </si>
  <si>
    <t>Miller-Cebert, L, R., Sistani, A, N., Cebert, E. Comparative mineral compostion among canola cultivars and other cruciferous leafy greens (2009) Journal of food composition and analysis, 22, pp 112-116</t>
  </si>
  <si>
    <t>Aletor, O., Oshodi, A, A., Ipinmoroti, K. Chemical composition of common leafy vegetables and functional properties of their leaf protein concentrates (2002) Food chemistry, 78, pp63-68</t>
  </si>
  <si>
    <t>Huang, Z., Wang, B., Eaves, H, D., Shikany, M, J., Pace, D, R. Phenolic compound profile of selected vegetables frequently consumed by african americans in the southeast united states (2007) Food chemistry, pp 1395-1402</t>
  </si>
  <si>
    <t xml:space="preserve">Odhav, B., Beekrum, S., Akula, U., Baijnath, H, Preliminary assessment of nutritional value fo traditional leafy vegetables in kwazulu-natal, south africa (2007) journal of food composition and annalysis, 20, pp430-435 </t>
  </si>
  <si>
    <t>Sanchez-Castillo, P, C., Dewey, S, J, P., Aguirre, A., Lara, J, J., Vaca, R., Barram L, P., Ortiz, M., Escamilla, I., James, T, P. The mineral content of mexican fruits and vegetables (1998) Journal of food composition and analysis, 11, pp 340-356</t>
  </si>
  <si>
    <t>Wallace, A, P., Marfo, K, E., Plahar, A, W. Nutritional quality and antinutritional composition of four non-conventional leafy vegetables (1997) Food chemistry, 3, pp287-291</t>
  </si>
  <si>
    <t>Singh, G., Kawatra, A., Sehgal, S. Nutritional composition of selected green leafy vegetables, herbs and carrots (1999) Plant foods for human nutrition, 56, pp359-364</t>
  </si>
  <si>
    <t>Caunii, A., Cuciureanu, R., Zakar, M, A., Tonea, E., Giuchici, C. Chemical composition of common leafy vegetables (2010) Studia universitatis 'vaslie goldis', 20 (2) pp45-48</t>
  </si>
  <si>
    <t>Kala, A., Prakash, J. Nutrient composition and sensory profile of differently cooked green leafy vegetables (2011) international journal of food properties, 7 (3) pp659-669</t>
  </si>
  <si>
    <t>Ajayi, O, S., Oderinde, F, S., Osibanio, O. Vitamin C losses in cooked fresh leafy vegetables (1980) Food chemistry 5, pp243-247</t>
  </si>
  <si>
    <t>Reddy, S, N., Bhatt, G. Contents of minerals in green leafy vegetables cultivated in soil fortified with different chemical fertilizers (2001) Plant foods for human nutrition, 56, pp1-6</t>
  </si>
  <si>
    <t>Khachik, F., Goli, B, M., Beecher, R, G., Holden, J., Lusby, R, W., Tenorio, D, M., Barrera, R, M. Effect og food preparation on qualitative and quantitative distribution of major carotenoid constituents of tomatoes and several green vegetables (1992) Journal of argiculture and food chemistry, 40, pp390-398</t>
  </si>
  <si>
    <t>Oteng-Gyang, K., Mbachu, I, J. Changes in the ascorbic acid content of some tropical leafy vegetables during traditional cooking and local processing (1986) Food chemistry, 23 pp 9-17</t>
  </si>
  <si>
    <t>Rosa R., Bandarra N.M., Nunes M.L. (2007). Nutritional quality of African catfish Clarias gariepinus (Burchell 1822): a positive criterion for the future development of the European production of Siluroidei. Int J Food Sci Tech 42: 342-351</t>
  </si>
  <si>
    <t>Erkan N., Selçuk A., Özden Ö. (2010) Amino acid and vitamin composition of raw and cooked horse mackerel. Food Anal Methods 3: 269-275</t>
  </si>
  <si>
    <t>Ho B.T., Paul D.R. (2009). Fatty acid profile of tra catfish (Pangasius hypophthalmus) compared to Atlantic salmon (Salmo salar) and Asian seabass (Lates calcarifer). Int Food Res J 16: 501-506</t>
  </si>
  <si>
    <t>Jankowska B., Zakęś Z., Żmijewski T., Szczepkowski M. (2003) A comparison of selected quality features of the tissue and slaughter yield of wild and cultivated pikeperch (Sander lucioperca). Eur Food Res Technol 217: 401-405</t>
  </si>
  <si>
    <t>Özden Ö., Erkan N. (2008) Comparison of biochemical composition of three aqua cultured fishes (Dicentrarchus labrax, Sparus aurata, Dentex dentex). Int J Food Sci Nutr 59(7-8): 545-557</t>
  </si>
  <si>
    <t>Naseri M., Rezaei M., Moieni S., Hosseni H., Eskandari S. (2010) Effect of different precooking methods on chemical composition and lipid damage of silver carp (Hypophthalmichthys molitrix). Int J Food Sci Technol 45: 1973-1979</t>
  </si>
  <si>
    <t>Orban E., Nevigato T., Di Lena G., Masci M., Casini I., Gambelli L., Caproni R. (2008) New trends in the seafood market. Sutchi catfish (Pangasius hypophthalmus) fillets from Vietnam: Nutritional quality and safety aspects. Food Chem 110: 383-389</t>
  </si>
  <si>
    <t>Karl H., Lehmann I., Rehbein H., Schubring R. (2010.) Composition and quality attributes of conventionally and organically farmed Pangasius fillets (Pangasius hypophthalmus) on the German market. Int J Food Sci Technol 45: 56-66</t>
  </si>
  <si>
    <t>Wu W.-H., Lillard D.A. (1998). Cholesterol and proximate composition of channel catfish (Ictalurus punctatus) fillets-changes following cooking by microwave heating, deep-fat frying, and oven baking. J Food Qual 21: 41-51</t>
  </si>
  <si>
    <t>Garduno-Lugo M., Herrera-Solís J.R., Angulo-Guerrero J.O., Munoz-Córdova G., De la Cruz-Medina J. (2007). Nutrient composition and sensory evaluation of fillets from wild-type Nile tilapia (Oreochromis niloticus, Linnaeus) and red hybrid (Florida red tilapia x red O. niloticus). Aquaculture Res 38: 1074-1081.</t>
  </si>
  <si>
    <t>Andrade A.D., Rubira A.F., Matsushita M., Souza N.E. (1995). ω3 fatty acids in freshwater fish from South Brazil. JAOCS 72(10): 1207-1210</t>
  </si>
  <si>
    <t>Gokoglu N., Yerlikaya P., Cengiz E. (2004). Effects of cooking methods on the proximate composition and mineral contents of rainbow trout (Oncorhynchus mykiss). Food Chemistry 84: 19-22</t>
  </si>
  <si>
    <t>Chapman F.A., Colle D.E., Miles R.D. (2005). Processing yields for meat of Russian and Siberian sturgeons cultured in Florida, USA. J. Aqua. Food Prod. Technol. 14(1): 29-37</t>
  </si>
  <si>
    <t>Otwell W.S., Rickards W.L. (1981/1982). Cultured and wild American eels, Anguilla rostrata: fat content and fatty acid composition. Aquaculture 26: 67-76</t>
  </si>
  <si>
    <t>Sant'Ana L.S., Ducatti C., Gonçalves Ramires D. (2010). Seasonal variations in chemical composition and stable isotopes of farmed and wild Brazilian freswater fish. Food Chemistry 122: 74-77</t>
  </si>
  <si>
    <t>Wimalasena S., Jayasuriya M.N.S. (1996). Nutrient analysis of some fresh water fish. J. Natn. Sci. Coun. Sri Lanka 24(1): 21-26</t>
  </si>
  <si>
    <t>Özogul Y., Özogul F., Alagoz S. (2007). Fatty acid profiles and fat contents of commercially important seawater and freshwater fish species of Turkey: A comparative study. Food Chemistry 103: 217-223</t>
  </si>
  <si>
    <t>Paleari M.A., Beretta G., Grimaldi P, Vaini F. (1997). Composition of muscle tissue of farmed white sturgeon (Acipenser transmontanus) with particular reference to lipidic content. J. Appl. Ichthyl. 13: 63-66</t>
  </si>
  <si>
    <t>Badiani A., Stipa S., Nanni N., Gatta P.P., Manfredini M. (1997). Physical indices, processing yields, compositional parameters and fatty acid profile of three species of cultured sturgeon (Genus Acipenser). J Sci Food Agric 74: 257-264</t>
  </si>
  <si>
    <t>Hadjinikolova L. (2008). Investigations on the chemical composition of carp (Cyprinus carpio L.), bighead carp (Aristichthys nobilis Rich.) and pike (Esox Lusius L.) during different stagees of individual growth. Bulgarian Journal of Agricultural Science 14(2): 121-126</t>
  </si>
  <si>
    <t>Vlieg P. (1985). Proximate analysis of commercial New Zealand fish species - 4. New Zealand Journal of Technology 1: 245-249</t>
  </si>
  <si>
    <t>Papan F., Moghaddam A.Z. (2008). Nutritional evaluation of some species of fishes in Khuzestan and determination of the amount of soy bean meal used in the fish food formula on the basis of its isoflavone content. Journal of Biological Sciences 8(3): 667-670</t>
  </si>
  <si>
    <t>Sirot V., Oseredczuk M., Bemrah-Aouachria N., Volatier J.-L., Leblanc J.-C.(2008). Lipid and fatty acid composition of fish and seafood consumed in France: CALIPSO study. J Food Comp Anal 21: 8-16</t>
  </si>
  <si>
    <t>Tang H.-G., Wu T.-X., Zhao ZH.-Y., Pan X.-D. (2008). Biochemical composition of large yellow croaker (Pseudosciaena cocea) cultured in China. Journal of Food Quality 31: 382-393</t>
  </si>
  <si>
    <t>Osman H., Suriah A.R., Law E.C. (2001). Fatty acid composition and cholesterol content of selected marine fish in Malaysian waters. Food Chemistry 73: 55-60</t>
  </si>
  <si>
    <t>Tanakol R., Yazıcı Z., Sener E., Sencer E. (1999). Fatty acid composition of 19 species of fish from the Black Sea and the Marmara Sea. Lipids, 34(3): 291-297</t>
  </si>
  <si>
    <t>Nakamura Y.-N., Ando M., Seoka M., Kawasaki K.-i., Tsukamasa Y. (2007). Changes of proximate anf fatty acid compositions of the dorsal and ventral ordinary muscles of the full-cycle cultured Pacific bluefin tuna Thunnus orientalis with growth. Food Chemistry 103: 234-241</t>
  </si>
  <si>
    <t>Dincer T., Cakli S., Cadun A. (2010). Comparison of proximate and fatty acid composition of the flesh of wild and cultured fish species. Arch Lebensmittelhyg 61: 12-17</t>
  </si>
  <si>
    <t>Chaijan M., Jongjareonrak A., Phatcharat S., Benjakul S., Rawdkuen S. (2010). Chemical compositions and characteristics of farm raised giant catfish (Pangasianodon gigas) muscle. Food Science and Technology 43: 452-457</t>
  </si>
  <si>
    <t>Rueda F.M., Hernández M.D., Egea M.A., Aguado F., García B., Martínez F.J. (2001). Differences in tissue fatty acid composition between reared and wild sharpsnout sea bream, Diplodus puntazzo (Cetti, 1777). British Journal of Nutrition 86: 617-622</t>
  </si>
  <si>
    <t>Tawfik M.S. (2009). Proximate composition and fatty acid profiles in most common available fish species in saudi market. Asian Journal of Clinical Nutrition 1(1): 50-57</t>
  </si>
  <si>
    <t>Memon N.N., Talpur F.N., Bhanger M.I., Balouch A. (2011). Changes in fatty acid composition in muscle of three farmed carpf fish species (Labeo rohita, Cirrhinus mrigala, Catla catla) raised under the saime conditions. Food Chemistry 126: 405-410</t>
  </si>
  <si>
    <t>Alasalvar C., Taylor K.D.A., Yubcov E., Shahidi F., Alexis M. (2002). Differentiation of cultured and wild sea bass (Dicentrarchus labrax): total lipid content, fatty acid and trace mineral composition. Food Chemistry 79: 145-150</t>
  </si>
  <si>
    <t>Usydus Z., Szlinder-Richert J., Adamczyk M., Szatkowska U. (2011). Marine and farmed fish in the Polish market: Comparison of the nutritional value. Food Chemistry 126: 78-84</t>
  </si>
  <si>
    <t>Swapna H.C., Amit K.R., Bhaskar N., Sachindra N.M. (2010). Lipid classes and fatty acid profile of selected Indian fresh water fishes. J Food Sci Technol 47(4): 394-400</t>
  </si>
  <si>
    <t>Álvarez V., Medina I., Prego R., Aubourg S.P. (2009). Lipid and mineral distribution in different zones of farmed and wild blackspot seabream (Pagellus bogaraveo). Eur. J. Lipid Sci. Technol. 111: 957-966</t>
  </si>
  <si>
    <t>Olsson G.B., Olsen R.L., Carlehög M., Ofstad R. (2003). Seasonal variations in chemical and sensory characteristics of farmed and wild Atlantic halibut (Hippoglossus hippoglossus). Aquaculture 217: 191-205</t>
  </si>
  <si>
    <t>Larsen D. Quek S.Y., Eyres L. (2010). Effect of cooking method on the fatty acid profile on New Zealand King Salmon (Oncorhynchus tshawytscha). Food Chemistry 119: 785-790.</t>
  </si>
  <si>
    <t xml:space="preserve">Martínez B., Miranda J.M., Nebot C., Rodriguez J.L., Cepeda A., Franco C.M. (2010). Differentiation of farmed and wild turbot (Psetta maxima): Proximate chemical composition, fatty acid profile, trace minerals and antimicrobial resistance of contaminant bacteria. Food Sci Tech Int 16(5): 435-437 </t>
  </si>
  <si>
    <t>Limin L., Feng X., Jing H. (2006). Amino acids composition difference and nutritive evaluation of the muscle of five species of marine fish, Pseudosciaena crocea (large yellow croaker), Lateolabrax japonicus (common sea perch), Pagrosomus major (red seabream), Seriola dumerili (Dumeril's amberjack) and Hapalogenys nitens (black grunt) from Yiamen Bay of China. Aquaculture Nutrition 12:53-59.</t>
  </si>
  <si>
    <t>Yerlıkaya P., Gokoglu N., Topuz O.K., Gokoglu M. (2009). Changes in the proximate composition of bluefin tuna (Thunnus thynnus) reared in the cages located on the Gulf of Antalya (Turkey's Western Mediterranean coast) during the fattening period. Aquaculture Research 40: 1731-1734</t>
  </si>
  <si>
    <t>Özden Ö., Erkan N., Ulusoy Ş. (2010). Determination of mineral composition in three commercial fish species (Solea solea, Mullus surmuletus, and Merlangius merlangus). Environ Monit Assess 170: 353-363</t>
  </si>
  <si>
    <t>Kenari A.A., Regenstein J.M., Hosseini S.V., Rezaei M., Tahergorabi R., Nazari R.M., Mogaddasi M., Kaboli S.A. (2009). Amino acid and fatty acid composition of cultured beluga (Huso huso) of different ages. Journal of Aquatic Food Product Technology 18: 245-265</t>
  </si>
  <si>
    <t>Ersoy B., Özeren A. (2009). The effect of cooking methods on mineral and vitamin contents of African catfish. Food Chemistry 115: 419-422</t>
  </si>
  <si>
    <t>Chandrashekar K. Deosthale Y.G. (1993). Proximate composition, amino acid, mineral, and trace element content of the edible muscle of 20 Indian fish species. Journal of Food Composition and Analysis 6: 195-200</t>
  </si>
  <si>
    <t>Córser P.I., Ferrari G.T., De Martinez Y.B. (2000). Análisis proximal, perfil de ácidos grasos, aminoácidos esenciales y contendido de minerales en doce especies de pescado de importancia comercial en Venezuela. Archivos Latinoamericanos de Nutritcion 50(2): 187-194</t>
  </si>
  <si>
    <t>Weber J., Bochi V.C., Ribeiro C.P., Victório A. de M., Emanuelli T. (2008). Effect of different cooking methods on the oxidation, proximate and fatty acid composition of silver catfish (Rhamdia quelen) fillets. Food Chemistry 106:140-146</t>
  </si>
  <si>
    <t>Ostermeyer U., Schmidt T. (2006). Vitamin D and provitamin D in fish. Eur Food Res Technol 222:403-413</t>
  </si>
  <si>
    <t>De Souza Franco M.L.R., Viegas E.M.M., Kronka S.N., Vidotti R.M., Assano M., Gasparino E. (2010). Effects of hot and cold smoking process on organoleptic properties, yield and composition of matrinxa fillet. Revista Brasilerira de Zootecnia 39(4):695-700</t>
  </si>
  <si>
    <t>Chomnawang C., Nantachai K., Yongsawatdigul J., Thawornchinsombut S., Tungkawachara S. (2007). Chemical and biochemical changes of hybrid catfish fillet stored at 4 ˚C and its gel properties. Food Chemistry 103:420-427</t>
  </si>
  <si>
    <t>Moreira A.B., Visentainer J.V., de Souza N.E., Matsushita M. (2001). Fatty acid profile and cholesterol contents of three Brazilian Brycon freshwater fishes. Journal of Food Composition and Analysis 14:565-574</t>
  </si>
  <si>
    <t>Tanamati A., Stevanato F.B., Visentainer J.E.L., Matsushita M., de Souza N.E., Visentainer J.V. (2009). Fatty acid composition in wild and cultivated pacu and pintado fish. Eur. J. Lipid Sci. Technol. 111:183-187</t>
  </si>
  <si>
    <t>Jankowska B., Zakęś Z., Żmijewski T., Szczepkowski M. (2008). Fatty acid composition of wild and cultured northern pike (Esox lucius). J. Appl. Ichthyol. 24:196-201</t>
  </si>
  <si>
    <t>Palmeri G., Turchini G.M., Caprino F., Keast R., Moretti V.M., De Silva S.S. (2008). Biometric, nutritional and sensory changes in intensively farmed Murray cod (Maccullochella peelii peelii, Mitchell) following different purging times. Food Chemistry 107: 1605-1615</t>
  </si>
  <si>
    <t>Decker E.A., Crum A.D., Mims S.D., Tidwell J.H. (1991). Processing yields and composition of paddlefish (Polyodon spathula), a potential aquaculture species. J. Agric. Food Chem 39: 686-688</t>
  </si>
  <si>
    <t>Oku T. Sugawara A., Choudhury M., Komatsu M., Yamada S., Ando S. (2009). Lipid and fatty acid compositions differntiate between wild and cultured Japanese eel (Anguilla japonica). Food Chemistry 115: 436-440</t>
  </si>
  <si>
    <t>Fuentes A., Fernández-Segovia I., Barat J.M., Serra J.A. (2010). Physicochemical characterization of some smoked and marinated fish products. Journal of Food Processing and Preservation 34: 83-103</t>
  </si>
  <si>
    <t>Eckhoff K.M., Maage A. (1997). Iodine content in fish and other food products from East Africa analyzed by ICP-MS. Journal of Food Composition and Analysis 10: 270-282</t>
  </si>
  <si>
    <t>Mattila P., Ronkainen R., Lehikoinen K., Piironen V. (1999). Effect of household cooking on the Vitamin D content in fish, eggs, and wild mushrooms. Journal of Food Composition and Analysis 12: 153-160</t>
  </si>
  <si>
    <t>Nettleton J.A., Exler J. (1992). Nutrients in wild and farmed fish and shellfish. Journal of Food Science 57(2): 257-260</t>
  </si>
  <si>
    <t>Mattila P., Piironen V. Uusi-Rauva E., Koivistoinen P. (1995). Cholecalciferol and 25-hydroxycholecalciferol contents in fish and fish products. Journal of Food Composition and Analysis 8: 232-243</t>
  </si>
  <si>
    <t>Loukas V., Dimizas C., Sinanoglou V., Miniadis-Meimaroglou S. (2010). EPA, DHA, cholesterol and phospholipid content in Pagrus pagrus (cultured and wild), Trachinus draco und Trigla lyra from Mediterranean Sea. Chemistry and Physics of Lipids 163: 292-299</t>
  </si>
  <si>
    <t>Wu T., Mao L. (2008). Influences of hot air drying and microwave drying on nutritional and odorous properties of grass carp (Ctenophayngodon idellus) fillets. Food Chemistry 110: 647-653</t>
  </si>
  <si>
    <t>González S., Flick G.J., O'Keefe S.F., Duncan S.E., McLean E. Craig S.R. (2006). Composition of farmed and wild yellow perch (Perca flavescens). Journal of Food Composition and Analysis 19: 720-726</t>
  </si>
  <si>
    <t>Karahadian C., Fowler K.P., Dyveke H.C. (1995). Comparison of chemical composition of striped bass (Morone saxatilis) from three Chesapeake Bay tributaries with those of two aquaculture hybrid striped bass types. Food Chemistry 54(4): 409-418</t>
  </si>
  <si>
    <t>Luzzana U., Scolari M., Campo Dall'Orto B., Vaini F.A., Nargaye N., Valfré F. (2002). Fillet yield and chemical composition of farm-raised sunshine bass (Morono chrysops x Morone saxatilis) fed high-energy diets. J. Appl. Ichthyol. 18: 65-69</t>
  </si>
  <si>
    <t>Yanar Y., Küçükgülmez A., Ersoy B., Celik M. (2006). Cooking effects on fatty acid composition of cultured sea bass (Dicentrarchus labrax) fillets. Journal of Muscle Foods 18: 88-94</t>
  </si>
  <si>
    <t>Badiani A., Anfossi P., Fiorentini L., Gatta P.P., Manfredini M., Nanni N., Stipa S. Tolomelli B. (1996). Nutritional composition of cultured sturegeon (Acipenser spp.). Journal of Food Composition and Analysis 9: 171-190</t>
  </si>
  <si>
    <t>Grigorakis K., Alexis M.N., Taylor K.D.A., Hole M. (2002). Comparison of wild and cultured gildhead sea bream (Sparus aurata); composition, appearance and seasonal variations. International Journal of Food Science and Technology 37:477-484</t>
  </si>
  <si>
    <t>Gladyshev M.I., Sushchik N.N., Gubanenko G.A., Demirchieva S.M., Kalachova G.S. (2007). Effect of boiling and frying on the content of essential polyunsaturated fatty acids in muscle tissue of four fish species. Food Chemistry 101:1694-1700</t>
  </si>
  <si>
    <t>Thakur D.P., Morioka K., Itoh N., Wada M., Itoh Y. (2009). Muscle biochemical constituents of cultured amberjack Seriola dumerili and their influence ond raw meat texture. Fish Sci 75:1489-1498</t>
  </si>
  <si>
    <t>Stephen N.M., Shakila J.R., Jeyasekaran G., Sukumar D. (2010). Effect of different types of heat processing on chemical changes in tuna. J Food Sci Technol 47(2): 174-181</t>
  </si>
  <si>
    <t>Perea A. Gómez E. Mayorga Y., Triana C.Y. (2008). Caracterización nutricional de pescados de produccion y consumo regional en Bucaramanga, Colombia. Archivos Latinoamericanos de Nutricion 58(1): 91-97</t>
  </si>
  <si>
    <t>Castro-González M.I., Ojeda A., Silncio J.L., Cassis L., Ledesma H., Pérez-Gil F. (2004). Perfil lipídico de 25 pescados marinos mexicanos con especial énfasis en sus ácidos grasos n-3 como components nutracéuticos. Archivos Latinoamericanos de Nutricíon 54(3): 328-336</t>
  </si>
  <si>
    <t>Manthey-Karl M, Karl H., Lehmann I., Meyer C. Ostermeyer U., Schubring R. (2010). Quality of organically and conventionally farmed rainbow trout (Oncorhynchus mykiss) and smoked products thereof from the German market. Arch Lebensmittelhyg 61: 40-49</t>
  </si>
  <si>
    <t>Mathew S., Ammu K. Viswanathan N.P.G., Devadasan K. (1999). Cholesterol content of Indian fish and shellfish. Food Chemistry 66: 455-461</t>
  </si>
  <si>
    <t>Caula F.C.B., de Oliveira M.P., Maiaa E.L. (2008). Teor de colesterol e composição centesimal de algumas especies de peixes do estado do Ceará. Ciência e Tecnologia de Alimentos 28(4): 959-963</t>
  </si>
  <si>
    <t>Barrento S., Marques A., Teixeira B., Vaz-Pires P., Carvalho M.L., Nunes M.L. (2008). Essential elements and contaminants in edible tissues of European and American lobsters. Food Chemistry 111: 862-867</t>
  </si>
  <si>
    <t>Chen D.-W., Zhang M., Shrestha S. (2007). Compositional characteristics and nutritional quality of Chinese mitten crab (Eriocheir sinensis). Food Chemistry 103: 1343-1349</t>
  </si>
  <si>
    <t>Fuentes A., Fernández-Segovia I., Escriche I., Serra J.A. (2009). Comparison of physico-chemical parameters and composition of mussels (Mytilus galloprovincialis Lmk.) from different Spanish origins. Food Chemistry 112: 295-302</t>
  </si>
  <si>
    <t>Sriket P., Benjakul S., Visessanguan W., Kijroongrojana K. (2007). Comparative studies of chemical composition and thermal properties of black tiger shrimp (Penaeus monodon) and white shrimp (Penaeus vannamei) meats. Food Chemistry 103: 119-1207</t>
  </si>
  <si>
    <t>Kalogeropoulos N., Andrikopoulos N.K., Hassapidou M. (2004). Dietary evalutation of Mediterranean fish and molluscs pan-fried in virgin olive oil. Journal of the Science of Food and Agriculture 84:1750-1758</t>
  </si>
  <si>
    <t>Linehan L.G., O'Connor T.P., Burnell G. (1999). Seasonal variation in the chemical composition and fatty acid profile of Pacific oysters (Crassostrea gigas). Food Chemistry 64:211-214</t>
  </si>
  <si>
    <t>King I., Childs M.T., Dorsett C., Ostrander J.G., Monsen E.R. (1990). Shellfish: Proximate composition, minerals, fatty acids, and sterols. Journal of the American Dietetic Association 90(5): 677-685</t>
  </si>
  <si>
    <t>Biandolino F., Portacci G., Prato E. (2010). Influence of natural diet on growth and biochemical composition of Octopus vulgaris Cuvier, 1797. Aqucult Int 18: 1163-1175</t>
  </si>
  <si>
    <t>Roos N., Wahab Md. A., Chamnan C., Thilsted S.H. (2007). The role of fish in food-based-strategies to combat Vitamin A and mineral deficiencies in developing countries. Journal of Nutrition 137(4): 1106-1109</t>
  </si>
  <si>
    <t>Unusan N. (2007). Change in proximate, amino acid and fatty acid contents in muscle tissue of rainbow trout (Oncorhynchus mykiss) after cooking, 2007. International Journal of Food Science and Technology 42: 1087 - 1093</t>
  </si>
  <si>
    <t>Anibal J., Esteves E., Rocha C. (2011). Seasonal variations in gross biochemical composition, percent edibility, and condition index of the clam ruditapes decussatus cultivated in the ria formosa (South Portugal). Journal of Shellfish Research 30(1): 17 -</t>
  </si>
  <si>
    <t>Mairesse G., Thomas M., Gardeur J.N., Brun - Bellut J. (2006). Effects of Geographic Source, Rearing System, and Season on the Nutritional Quality of Wild and Farmed Perca fluviatilis. Lipids 61 (3): 221 - 229</t>
  </si>
  <si>
    <t>Luzia L.A., Sampaio G.R., Castellucci C.M.N., Torres E.A.F.S. (2003). The influence of season on the lipid profiles of five commercially important species of Brazilian fish. Food Chemistry 83: 93 - 97</t>
  </si>
  <si>
    <t xml:space="preserve">Marques A., Teixeira B., Barrento S., Anacleto P., Carvalho M.L., Nunes M.L. (2010). Chemical composition of Atlantic spider crab Maja brachydactyla: Human health implications. Journal of Food Compositon and Analysis 23: 230 - 237. </t>
  </si>
  <si>
    <t>Barrento S., Marques A., Teixeira B., Vaz-Pires P., Nunes M.L. (2009). Nutritional Quality of the edible tissues of Euripean Lobster Homarus gammarus and American Lobster Homarus Americanus. Journal of Agricultural and Food Chemistry 57: 3645 - 3652</t>
  </si>
  <si>
    <t xml:space="preserve">Stroud G.D., Dalgarno E.J. (1982). Wild and Farmed Lobsters (Homarus Gammarus). A comparison of Yield, Proximate chemical composition and sensory properties. Aqualculture 29: 147 - 154 </t>
  </si>
  <si>
    <t>Özden Ö., Erkan N., Ulusoy S.(2009). Seasonal variations in the macronutrient mineral and proximate composition of two clams (Chamelea gallina and Donax trunculus). International Journal of Food Sciences and Nutrition 60: 402 - 412</t>
  </si>
  <si>
    <t>Fu X.Y., Xue C.H., Miao B.C., Li Z.J., Zhang Y.Q., Wang Q. (2007). Effect of processing steps on physico - chemicalproperties of dried - seasoned squid. Food Chemistry 103: 287 - 294</t>
  </si>
  <si>
    <t>Stansby M.E. (1976). Chemical characteristics of fish caught in the Northeast Pacific Ocean. Marine Fisheries Review 38(9): 1-11</t>
  </si>
  <si>
    <t>Kuhnlein H.V., Chan H.M., Leggee C., Barthet V. (2002). Macronutrient, mineral and fatty acid composition of Canadian arctic traditional foo. Journal of Food Composition and Analysis 15: 545-566</t>
  </si>
  <si>
    <t>Li G., Li J., Li D. (2010). Seasonal variation in nutrient composition of Mytilus coruscus from China. J. Agric. Food Chem. 58: 7831-7837</t>
  </si>
  <si>
    <t>Roos N., Leth T., Jakobsen J., Thilsted S.H. (2002). High vitamin A content in some small indigenous fish species in Bangladesh: perspectives for food-based strategies to reduce vitamin A deficiency. International Journal of Food Science and Nutrition 53:425-437</t>
  </si>
  <si>
    <t>Şengör G.F., Gün H. Kalafatoğlu H. (2008). Determination of the amino acid and chemical composition of canned smoked mussels (Mytilus galloprovincialis, L.). Turk. J. Vet. Amin. Sci. 32(1): 1-5</t>
  </si>
  <si>
    <t>Carvalho A.F.U., Farias D.F., Barroso C.X., Sombra C.M.L., Silvino A.S., Menezes M.O.T., Soares M.O., Fernandes D.A.O., Gouveia S.T. (2007). Nutritive value of three organisms from mangrove ecosystem: Ucides cordatus (Linnaeus, 1763), Mytella sp. (Soot-Ryen, 1955) and Crassostrea rhizophorae (Guilding, 1828). Braz. J. Biol. 67(4): 787-788</t>
  </si>
  <si>
    <t>Su X.-Q., Antonas K., Li D., Nichols P. (2006). Seasonal variations of total lipid and fatty acid contents in the muscle of two Australian farmed abalone species. Journal of Food Lipids 13: 411-423</t>
  </si>
  <si>
    <t>Bragagnolo N., Rodriguez-Amaya D.B. (2001). Total lipid, cholesterol, and fatty acids of farmed freshwater prawn (Macrobrachium rosenbergii) and wild marine shrimp (Penaeus brasiliensis, Penaeus schimitti, Xiphopenaeus kroyeri). Journal of Food Composition and Analysis 14: 359-369</t>
  </si>
  <si>
    <t>Yap C.K., Ismail A., Tan S.G. (2004). Heavy metal (Cd, Cu, Pb and Zn) concentrations in the green-lipped mussel Perna viridis (Linnaeus) collected from some wild and aquacultural sites in the west coast of Peninsular Malaysia. Food Chemistry 84: 569-575</t>
  </si>
  <si>
    <t>Ackefors H. Castell J., Örde-Öström I.-L. (1997). Preliminary results on the fatty acid composition of freshwater crayfish, Astacus astacus and Pacifastacus leiusculus, held in captivity. Journal of the World Aquaculture Society 28(1): 97-105</t>
  </si>
  <si>
    <t>Chiou T.-K., Chang H.-K., Lo L., Lan H.-L., Shiau C.-Y. (2000). Changes ins chemical constituents and physical indices during processing of dried-seasoned squid. Fisheries Science 66:708-715</t>
  </si>
  <si>
    <t>Wu X., Cheng Y., Sui L., Yang X., Nan T., Wang J. (2007). Biochemical composition of pond-reared and lake-stocked Chinese mitten crab Eriocheir sinensis (H. Milne-Edwards) broodstock. Aquaculture Research 38: 1459-1567</t>
  </si>
  <si>
    <t>Tavares M., do Amaral Mello M. R. P., Campos N.C., de Morais C., Ostini S. (1998). Proximate composition and caloric value of the mussel Perna perna, cultivated in Ubatuba, São Paulo State, Brazil. Food Chemistry 62(4): 473-475</t>
  </si>
  <si>
    <t>Ifon E.T., Umoh I.B. (1987). Biochemical and nutritional evaluation of Egreria radiata (Clam), a delicacy of some riverine peasant populations in Nigeria. Food Chemistry 24: 21-27</t>
  </si>
  <si>
    <t>Orban E., Di Lana G., Masci M., Nevigato T., Casini I., Caproni R., Gambelli L., Pellizzato M. (2004). Growth, nutritional quality and safety of oysters (Crassostrea gigas) cultured in the lagoon of Venice (Italy). Journal of the Science of Food and Agriculture 84: 1929-1938</t>
  </si>
  <si>
    <t>Beltrán-Lugo A.I., Maeda-Martínez A.N., Pacheco-Aguilar R., Nolasco-Soria H.G. (2006). Seasonal variations in chemical, physical, textural, and microstructural properties of adductor muscles of Pacific lions-paw scallop (Nodipecten subnodosus). Aquaculture 258: 619-632</t>
  </si>
  <si>
    <t>Men L.T., Thanh V.C., Hirata Y., Yamasaki S. (2004). Evaluation of the Genetic Diversities and nutritional Values of the Tra (Pangasius hypophthalmus) and the Basa (Pangasius bocourti) Catfish cultivated in the Mekong River Delta of Vietnam. Asian - Aust. J. Anim. Sci. 5: 671 - 676</t>
  </si>
  <si>
    <t>Watanabe F., Katsura H., Takenaka S., Enomoto T., Miyamoto E., Nakatsuka T., Nakano Y. (2001) Characterization of Viatmin B12 compounds from edibe shellfish, clam, oyster and mussel. International Journal of Food Sciences and Nutrition 52: 263 - 268</t>
  </si>
  <si>
    <t>Procopia de Moura A.F., Torres R.P., Mancini - Filho J., Filho A.T. (2002). Caracterizacao da fracao lipidica de amostras comercias de camarao - rosa. Archivos Latinamericanos de Nutricion 52: 207 - 211</t>
  </si>
  <si>
    <t>Surtt J., Lee H.J., Kwon H. (2009). Regional Difference in Fatty Acid Content of Korean Shellfish. Food Sci. Biotechnol 18: 367 - 373</t>
  </si>
  <si>
    <t>Blanco Metzler A., Montero Campos M. (1992). Composicion quimico - nutricional de la carne de cambute, Strombus galeatus (Mesogastropodia: Strombidae). Rev. Biol. Trop. 40: 89 - 93</t>
  </si>
  <si>
    <t>Dincer T. (2006). Differences of Turkish clam (Ruditapes decussates) and Manila clam (Ruditapes philippinarum) according to their proximate composition and heavy metal contents. Journal of Shellfish Research 25: 455 - 459.</t>
  </si>
  <si>
    <t>Lourenco H.M., Anacleto P., Afonso C., Ferraria V., Martins M.F., Carvalho M.L., Lino A.R., Nunes M.L. (2009). Elemental composition of cephalopods from Portuguese continental waters. Food Chemistry 113: 1146-1153</t>
  </si>
  <si>
    <t xml:space="preserve">Reykdal Ó., Jörundsdóttir H.Ó., Desnica N., Hauksdóttir S., Ragnarsdóttir Þ., Vrac A., Gunnlaugsdóttir H., Pálmadóttir H. (2011). Nutrient value of seafoods – Proximates, minerals, trace elements and fatty acids in products. Matis Report 33-11. ISSN 1670-7192. (In Icelandic with English summary). </t>
  </si>
  <si>
    <t>to be completed</t>
  </si>
  <si>
    <t>Malawi, Zomba district</t>
  </si>
  <si>
    <t>Maize green, boiled</t>
  </si>
  <si>
    <t>Zea mays</t>
  </si>
  <si>
    <t>February/March, 1987</t>
  </si>
  <si>
    <t xml:space="preserve">data are expresesd in edile portion </t>
  </si>
  <si>
    <t>tu3</t>
  </si>
  <si>
    <t>MS</t>
  </si>
  <si>
    <t>Tr</t>
  </si>
  <si>
    <t>Maize, flour, 65% extraction, boiled</t>
  </si>
  <si>
    <t>Maize, flour, 95% extraction, boiled</t>
  </si>
  <si>
    <t>Maize, bran</t>
  </si>
  <si>
    <t>Sorghum flour, boiled</t>
  </si>
  <si>
    <t>Sorghum bicolor</t>
  </si>
  <si>
    <t>Rice, raw</t>
  </si>
  <si>
    <t>Oryza sativa</t>
  </si>
  <si>
    <t>Species/Subspecies</t>
  </si>
  <si>
    <t xml:space="preserve">Biblioid </t>
  </si>
  <si>
    <t>PROTCNT(g)</t>
  </si>
  <si>
    <t>CHOAVL(g)</t>
  </si>
  <si>
    <t>CHOCDF(g)</t>
  </si>
  <si>
    <t>STARCH(g)</t>
  </si>
  <si>
    <t>STARCH-(g)</t>
  </si>
  <si>
    <t>SUGRD(g)</t>
  </si>
  <si>
    <t>SUGNRD(g)</t>
  </si>
  <si>
    <t>FIBTG(g)</t>
  </si>
  <si>
    <t>FIBAD(g)</t>
  </si>
  <si>
    <t>FIBND(g)</t>
  </si>
  <si>
    <t>FIBINS(g)</t>
  </si>
  <si>
    <t>FIBSOL(g)</t>
  </si>
  <si>
    <t>CELLU(g)</t>
  </si>
  <si>
    <t>MUCIL(g)</t>
  </si>
  <si>
    <t>NITRA(mg)</t>
  </si>
  <si>
    <t>NITRI(mg)</t>
  </si>
  <si>
    <t>VITA-(IU)</t>
  </si>
  <si>
    <t>CAROT(mcg)</t>
  </si>
  <si>
    <t>CRYPX(mcg)</t>
  </si>
  <si>
    <t xml:space="preserve">CRYPXB(mcg) </t>
  </si>
  <si>
    <t>ANTHX(mcg)</t>
  </si>
  <si>
    <t>LYCPN(mcg)</t>
  </si>
  <si>
    <t>ZEA(mcg)</t>
  </si>
  <si>
    <t>CARTOID(mcg)</t>
  </si>
  <si>
    <t>VITE(mg)</t>
  </si>
  <si>
    <t>VITK(mcg)</t>
  </si>
  <si>
    <t>FUMAC(mg)</t>
  </si>
  <si>
    <t>MALAC(mg)</t>
  </si>
  <si>
    <t>SALAC(mg)</t>
  </si>
  <si>
    <t>TARAC(mg)</t>
  </si>
  <si>
    <t>ANTCYAN(mcg)</t>
  </si>
  <si>
    <t>CAFFAC(mg)</t>
  </si>
  <si>
    <t>CHLRAC(mg)</t>
  </si>
  <si>
    <t>CATEC(mcg)</t>
  </si>
  <si>
    <t>CINAC(mg)</t>
  </si>
  <si>
    <t>CITAC(mg)</t>
  </si>
  <si>
    <t>EPICATEC(mcg)</t>
  </si>
  <si>
    <t>FLAVD(mcg)</t>
  </si>
  <si>
    <t>FLAVO(mg)</t>
  </si>
  <si>
    <t>FERAC(mg)</t>
  </si>
  <si>
    <t>GALLAC(mg)</t>
  </si>
  <si>
    <t>PCHOUAC(mg)</t>
  </si>
  <si>
    <t>SINPAC(mg)</t>
  </si>
  <si>
    <t>SYRAC(mg)</t>
  </si>
  <si>
    <t>VANAC(mg)</t>
  </si>
  <si>
    <t>GLYALK(mg)</t>
  </si>
  <si>
    <t>SOLAA(mg)</t>
  </si>
  <si>
    <t>CYAN(mg)</t>
  </si>
  <si>
    <t>CYANF(mg)</t>
  </si>
  <si>
    <t>PHENAC_CAE (mg)</t>
  </si>
  <si>
    <t>STARES(g)</t>
  </si>
  <si>
    <t>PH</t>
  </si>
  <si>
    <t>LIGN(g)</t>
  </si>
  <si>
    <t>HEMCEL(g)</t>
  </si>
  <si>
    <t>NIATRP(mg)</t>
  </si>
  <si>
    <t>Papua New Guinea, East Sepik, Kaugia Kinjingini</t>
  </si>
  <si>
    <t>Maize, dried</t>
  </si>
  <si>
    <t>Sweet potato, boiled</t>
  </si>
  <si>
    <t>Ipomoea batatas</t>
  </si>
  <si>
    <t>Yams, raw</t>
  </si>
  <si>
    <t>Dioscorea alata</t>
  </si>
  <si>
    <t>Yam(mami)</t>
  </si>
  <si>
    <t>D. esculenta</t>
  </si>
  <si>
    <t>Sweet potato, raw</t>
  </si>
  <si>
    <t>Lima bean, immature</t>
  </si>
  <si>
    <t>P. lunatus</t>
  </si>
  <si>
    <t>Pigeon pea, dried</t>
  </si>
  <si>
    <t>Canjanus cajan</t>
  </si>
  <si>
    <t>Pigeon pea, immature, boiled</t>
  </si>
  <si>
    <t>Kidney bean, dried</t>
  </si>
  <si>
    <t>Phaseolus vulgaris</t>
  </si>
  <si>
    <t>Kidney bean, immature</t>
  </si>
  <si>
    <t>Bengal bean, boiled</t>
  </si>
  <si>
    <t>Stizolobium aterrimum</t>
  </si>
  <si>
    <t>Cowpeas, boiled</t>
  </si>
  <si>
    <t>Vigna unguiculata</t>
  </si>
  <si>
    <t>Groundnut, boiled</t>
  </si>
  <si>
    <t>Arachis hypogaea</t>
  </si>
  <si>
    <t>Groundnut, flour</t>
  </si>
  <si>
    <t>Taro, raw</t>
  </si>
  <si>
    <t>Colocasia esculenta</t>
  </si>
  <si>
    <t xml:space="preserve">Cassava, tuber, boiled </t>
  </si>
  <si>
    <t>Manihot esculenta</t>
  </si>
  <si>
    <t>Nigeria, Ibadan region, Akobo, Alegongo</t>
  </si>
  <si>
    <t>Cassava, tuber, peel removed, raw</t>
  </si>
  <si>
    <t>Manihot esculenta, Crantz</t>
  </si>
  <si>
    <t>peeled and cut into small pieces</t>
  </si>
  <si>
    <t>tu2</t>
  </si>
  <si>
    <t>Gari</t>
  </si>
  <si>
    <t>Cassava, Gari, fermented for 2 days</t>
  </si>
  <si>
    <t>fermented for 2 days</t>
  </si>
  <si>
    <t>possible error in sodium values(not compiled)</t>
  </si>
  <si>
    <t>Cassava, Gari, fermented for 3 days</t>
  </si>
  <si>
    <t>fermented for 3 days</t>
  </si>
  <si>
    <t>Cassava, Gari,fermented for 3 days, market</t>
  </si>
  <si>
    <t>market gari fermented for 3 days</t>
  </si>
  <si>
    <t>Eba</t>
  </si>
  <si>
    <t xml:space="preserve">Cassava, Eba, fermented for 3 days, boiled </t>
  </si>
  <si>
    <t>prepared from 3 days fermented gari boiled in water(100 °C )</t>
  </si>
  <si>
    <t>Abacha</t>
  </si>
  <si>
    <t>Cassava, Abacha, noodle</t>
  </si>
  <si>
    <t>dry abacha</t>
  </si>
  <si>
    <t>dry market  abacha</t>
  </si>
  <si>
    <t>rehydrated abacha</t>
  </si>
  <si>
    <t>Cassava, fermentedfor 3 days, flour</t>
  </si>
  <si>
    <t>fermented cassava flour for 3 days</t>
  </si>
  <si>
    <t>Cassava, fermented for 4 days, flour</t>
  </si>
  <si>
    <t>4 days fermented flour</t>
  </si>
  <si>
    <t>Fufu</t>
  </si>
  <si>
    <t xml:space="preserve">Cassava, Fufu, fermented for 4days </t>
  </si>
  <si>
    <t>fufu from 4 days fermented flour</t>
  </si>
  <si>
    <t xml:space="preserve">Cassava, Fufu, fermented for 4 days, market </t>
  </si>
  <si>
    <t xml:space="preserve">market fufu fermented for 4 days </t>
  </si>
  <si>
    <t>Lafun</t>
  </si>
  <si>
    <t>Cassava, Lafun, fermented for 2 days, flour</t>
  </si>
  <si>
    <t>2 days fermented lafun</t>
  </si>
  <si>
    <t>Cassava, Lafun, fermented for 3 days, flour</t>
  </si>
  <si>
    <t>3 days fermented lafun</t>
  </si>
  <si>
    <t>Cassava, Lafun, fermented for 3 days, market, flour</t>
  </si>
  <si>
    <t>3 days fermented market lafun</t>
  </si>
  <si>
    <t>Amala</t>
  </si>
  <si>
    <t xml:space="preserve">Cassava, Amala, fermented for 3 days, paste </t>
  </si>
  <si>
    <t>stired the 3days fermented lafun flour with boiled water</t>
  </si>
  <si>
    <t xml:space="preserve">Cassava, leaf, boiled </t>
  </si>
  <si>
    <t>Mahihoto esculenta</t>
  </si>
  <si>
    <t>Chinese cabbage, boiled</t>
  </si>
  <si>
    <t>Brassica Chinensis</t>
  </si>
  <si>
    <t>Pumpkin, leaf, boiled</t>
  </si>
  <si>
    <t>Cucurbita maxima</t>
  </si>
  <si>
    <t>Pumpkin, fruit, boiled</t>
  </si>
  <si>
    <t>Amaranth, boiled</t>
  </si>
  <si>
    <t>Amaranthus thunbergii</t>
  </si>
  <si>
    <t>Okra, leaf, boiled</t>
  </si>
  <si>
    <t>Abelmoschus esculentus</t>
  </si>
  <si>
    <t>Okra, fruit</t>
  </si>
  <si>
    <t>A. esculentus</t>
  </si>
  <si>
    <t>Pit pit, raw</t>
  </si>
  <si>
    <t>Saccharum edule</t>
  </si>
  <si>
    <t>Aupa,raw</t>
  </si>
  <si>
    <t>Tulip,raw</t>
  </si>
  <si>
    <t>Gnetum gnemon</t>
  </si>
  <si>
    <t>Aibika, raw</t>
  </si>
  <si>
    <t>Hibiscus manihot</t>
  </si>
  <si>
    <t>Pumpkin tips, raw</t>
  </si>
  <si>
    <t>Curcurbita moschata</t>
  </si>
  <si>
    <t>Sago, raw</t>
  </si>
  <si>
    <t>Metrolyxon sagu</t>
  </si>
  <si>
    <t>Avocado, raw</t>
  </si>
  <si>
    <t>Persea americana</t>
  </si>
  <si>
    <t>Banana, raw</t>
  </si>
  <si>
    <t>Musa paradisiaca</t>
  </si>
  <si>
    <t>Indian plum, raw</t>
  </si>
  <si>
    <t>Flacourtia indica</t>
  </si>
  <si>
    <t>Guavas, raw</t>
  </si>
  <si>
    <t>Psidium guajava</t>
  </si>
  <si>
    <t>Mango, raw</t>
  </si>
  <si>
    <t>Mangifera indica</t>
  </si>
  <si>
    <t>Mango, boiled</t>
  </si>
  <si>
    <t>Musa spp.</t>
  </si>
  <si>
    <t>Bread fruit, seeds, raw</t>
  </si>
  <si>
    <t>Artocarpus altilis</t>
  </si>
  <si>
    <t>Coconut, raw</t>
  </si>
  <si>
    <t>Cocus nucifera</t>
  </si>
  <si>
    <t>Kwambi figs, raw</t>
  </si>
  <si>
    <t>Ficus spp.</t>
  </si>
  <si>
    <t>Locust, roasted</t>
  </si>
  <si>
    <t>Sago grubs</t>
  </si>
  <si>
    <t xml:space="preserve">Duck egg, boiled </t>
  </si>
  <si>
    <t>Crabs,boiled</t>
  </si>
  <si>
    <t>Chambo, smoked</t>
  </si>
  <si>
    <t>Oreochromis shiranus</t>
  </si>
  <si>
    <t>Chambo, dried</t>
  </si>
  <si>
    <t>Catfish, smoked</t>
  </si>
  <si>
    <t>Catfish, dried</t>
  </si>
  <si>
    <t>Matemba, dried</t>
  </si>
  <si>
    <t>Barbus paludinosus</t>
  </si>
  <si>
    <t>Usipa, dried</t>
  </si>
  <si>
    <t>Engraulicypris breianalis</t>
  </si>
  <si>
    <t>Chindazi, fried</t>
  </si>
  <si>
    <t>African cake, baked</t>
  </si>
  <si>
    <t>Chitembewa, fried</t>
  </si>
  <si>
    <t>African bread, boiled</t>
  </si>
  <si>
    <t>Sugar cane, raw</t>
  </si>
  <si>
    <t>Saccharum officinarum</t>
  </si>
  <si>
    <t>Sago pancakes</t>
  </si>
  <si>
    <t>Chinangwe</t>
  </si>
  <si>
    <t>Manihot esculenta, Crantz (Euphorb.)</t>
  </si>
  <si>
    <t>tu4</t>
  </si>
  <si>
    <t>Ghana, Greater Accra and Eastern</t>
  </si>
  <si>
    <t>Cassava,tuber, boiled</t>
  </si>
  <si>
    <t>Manihot sp.</t>
  </si>
  <si>
    <t>May-Dec,1989</t>
  </si>
  <si>
    <t>26 foods collected and pooled</t>
  </si>
  <si>
    <t>tu5</t>
  </si>
  <si>
    <t xml:space="preserve">Cassava, dough, fermented </t>
  </si>
  <si>
    <t>13 foods collected and pooled</t>
  </si>
  <si>
    <t>Brazil, Aracaju-SE</t>
  </si>
  <si>
    <t>Jari</t>
  </si>
  <si>
    <t xml:space="preserve">Cassava, Jari, tuber, yellow fleshed, peeled, raw </t>
  </si>
  <si>
    <t>Manihot esculenta, Crantz cv. BRS Jari</t>
  </si>
  <si>
    <t>havested 12 months after seeding</t>
  </si>
  <si>
    <t>CHO values seems wrong(not compiled)</t>
  </si>
  <si>
    <t>tu7</t>
  </si>
  <si>
    <t>Cassava, Jari, tuber, yellow fleshed, peeled, boiled</t>
  </si>
  <si>
    <t xml:space="preserve">havested 12 months after seeding. boiled in a pressure cooker(120 C) for 45 minutes. </t>
  </si>
  <si>
    <t xml:space="preserve">Cassava, Jari, tuber, yellow fleshed, peeled, fried </t>
  </si>
  <si>
    <t>havested 12 months after seeding. soybean oil was used for frying.</t>
  </si>
  <si>
    <t xml:space="preserve"> CHO values seems wrong(not compiled)</t>
  </si>
  <si>
    <t>Costa Rica,Fortuna and Pital, San Carlos, Huetar North region</t>
  </si>
  <si>
    <t>Yuca</t>
  </si>
  <si>
    <t>Cassava, tuber, peeled,boiled</t>
  </si>
  <si>
    <t>Manihot esculenta, Euphorbiaceae</t>
  </si>
  <si>
    <t>boiled for 20 minutes</t>
  </si>
  <si>
    <t>tu13</t>
  </si>
  <si>
    <t>Costa Rica,La Rita de Guapiles, Huetar Atlantica region</t>
  </si>
  <si>
    <t>Name</t>
  </si>
  <si>
    <t>Yam, tuber, peeled, boiled</t>
  </si>
  <si>
    <t>Dioscorea alata,Dioscoreaceae</t>
  </si>
  <si>
    <t>boiled for 15 minutes</t>
  </si>
  <si>
    <t>Costa Rica,Pital de San Carlos</t>
  </si>
  <si>
    <t>Tiquisque</t>
  </si>
  <si>
    <t xml:space="preserve">Cocoyam/tannia, tuber, peeled, boiled </t>
  </si>
  <si>
    <t>Xantosoma sp, Araceae</t>
  </si>
  <si>
    <t>boiled for 18 minutes</t>
  </si>
  <si>
    <t>Nigeria,Iie-Ife, Osun State</t>
  </si>
  <si>
    <t>Cassava,tuber, peeled,  sun-dried chips</t>
  </si>
  <si>
    <t>harvested at 10-12 months. Sun-dried at 32 degree with 55% humidity for 3 days</t>
  </si>
  <si>
    <t>the data are expressed in FW according to the author( sum of proximates is 100g)</t>
  </si>
  <si>
    <t>tu14</t>
  </si>
  <si>
    <t>Cassava,tuber, peeled, oven-dried, 50 degree</t>
  </si>
  <si>
    <t>harvested at 10-12 months. oven-dried at 50 degree for 48hours</t>
  </si>
  <si>
    <t>Cassava,tuber, peeled, oven-dried, 70 degree</t>
  </si>
  <si>
    <t>harvested at 10-12 months. oven-dried at 70 degree for 48hours</t>
  </si>
  <si>
    <t>Fiji</t>
  </si>
  <si>
    <t>Cassava, tuber, peeled, raw,</t>
  </si>
  <si>
    <t>the sum of moisture and macronutrients is 99.4g. Assumed it's fresh weight basis</t>
  </si>
  <si>
    <t>tu17</t>
  </si>
  <si>
    <t>Cassava, tuber, peeled, earth oven</t>
  </si>
  <si>
    <t>cooked for 1h15 min</t>
  </si>
  <si>
    <t>Cassava, tuber, peeled, boiled</t>
  </si>
  <si>
    <t>Achicha</t>
  </si>
  <si>
    <t>Cassava, tuber, peeled,chips</t>
  </si>
  <si>
    <t>Manihot utilissima Pohl</t>
  </si>
  <si>
    <t>dried in sun until brittle</t>
  </si>
  <si>
    <t>original data in DM converted to FW</t>
  </si>
  <si>
    <t>tu22</t>
  </si>
  <si>
    <t>Starch</t>
  </si>
  <si>
    <t>Cassava, tuber, peeled, starch</t>
  </si>
  <si>
    <t>the mash was mixed with water and sieved through a cloth. The upper layer was scrapped off and resultant was dried in the sun</t>
  </si>
  <si>
    <t>Lafu</t>
  </si>
  <si>
    <t>Cassava, tuber, peeled, flour</t>
  </si>
  <si>
    <t>soaked in water for 4 days  dried in the sun</t>
  </si>
  <si>
    <t>Akpu</t>
  </si>
  <si>
    <t>Cassava, tuber, boiled</t>
  </si>
  <si>
    <t>boiled in water and sliced into thin shreds, then dried in the sun</t>
  </si>
  <si>
    <t>Cassava, tuber,peeled, fermented, mash</t>
  </si>
  <si>
    <t>soaked in water for 4days.The central fibrous shaft of the pulp was removed. Dired in the sun.</t>
  </si>
  <si>
    <t>Pukuru</t>
  </si>
  <si>
    <t>Cassava, tuber,peeled, fermented, smoked</t>
  </si>
  <si>
    <t>soaked in water for 7 days.The central fibrous shaft were removed.</t>
  </si>
  <si>
    <t>Cassava, tuber,peeled, fermented, grated</t>
  </si>
  <si>
    <t>pressure was applied for 3-4days in a jute bag.Dried in sun</t>
  </si>
  <si>
    <t>Kpokpo gari</t>
  </si>
  <si>
    <t>Cassava, tuber, peeled,fermented, grated</t>
  </si>
  <si>
    <t>the mash was mixed with water and pressur was applied to eliminate some starch. Dried in sun.</t>
  </si>
  <si>
    <t>macronutrient values are in tu17. Assumed FW as the same values as in 2nd South Pacific FCT</t>
  </si>
  <si>
    <t>tu27</t>
  </si>
  <si>
    <t>&lt;5</t>
  </si>
  <si>
    <t>&lt;0.02</t>
  </si>
  <si>
    <t xml:space="preserve">Cassava, leaves, boiled </t>
  </si>
  <si>
    <t>boiled in salt water about 20 minutes</t>
  </si>
  <si>
    <t>Cote d'Ivoire, Abidjan district</t>
  </si>
  <si>
    <t>Cassava, leaves, raw</t>
  </si>
  <si>
    <t>oven-dried at 60 degree for 72 hour</t>
  </si>
  <si>
    <t>tu19</t>
  </si>
  <si>
    <t>[454]</t>
  </si>
  <si>
    <t>[184]</t>
  </si>
  <si>
    <t>Cote d'Ivoire, Dabou, Abidjan district</t>
  </si>
  <si>
    <t>Cassava, leaves, destalked, raw</t>
  </si>
  <si>
    <t>harvested at the early stage(between one and two weeks of the appearance of the leaves)</t>
  </si>
  <si>
    <t>tu20</t>
  </si>
  <si>
    <t>Cassava, leaves, destalked, boiled</t>
  </si>
  <si>
    <t>Flavonoid</t>
  </si>
  <si>
    <t>pH</t>
  </si>
  <si>
    <t>Miyuki Shimizu</t>
  </si>
  <si>
    <t xml:space="preserve">Adepoju OT, Adekola YG, Mustapha SO, and SI Ogunola. Effect of processing methods on nutrient retention and contribution of cassava to nutrient intake of Nigerian consumers . AJFAND Volume10 No.2 Feb 2010. </t>
  </si>
  <si>
    <t>Elaine L.Ferguson, Rosalind S.Gibson, Lilian U. Thompson. The mineral content of commonly consumed Malawian and Papua New Guinean Foods. Jornal of Food Composition and Analysis 2, 260-272(1989</t>
  </si>
  <si>
    <t>Elaine L.Ferguson, Rosalind S.Gibson, Lilian U. Thompson. Phytate, zinc, and calcium contents of 30 east african foods and their calculated phytate. Journal of Food Composition and Analysis 1, 316-325 (1988)</t>
  </si>
  <si>
    <t>E.L. Ferguson, R.S. Gibson,C.Opare-Obisaw. The zinc, calcium, copper, manganese, nonstarch polysaccharide and phytate content of sventy-eight locally grown and prepared African foods. Journal of Food Composition and Analysis 6, 87-99(1993)</t>
  </si>
  <si>
    <t>Gomes S, Torres AG, Godoy R, et al. Effects of boiling and frying on the bioaccessibility of β-carotene in yellow-fleshed cassava roots (Manihot esculenta Crantz cv. BRS Jari). Food Nutr Bull. 2013;34:65–74.</t>
  </si>
  <si>
    <t>Adriana Blanco-Metzler,Juscelino Tovar, Mireya Fernandez-Piedra. Caracterizacion nutricional de los carbohidratos y composicion centesimal de raices y tuberculos tropicales cocidos, cultivados en Costa Rica. ALAN v.54 n.3 Caracas sep.2004.</t>
  </si>
  <si>
    <t>Udoro Elohor Oghenechavwuko*, Gbadamosi Olasunkanmi Saka, Taiwo Kehinde Adekunbi and Akanbi Charles Taiwo. Effect of Processing on the Physico-Chemical Properties and Yield of Gari. , J Food Process Technol 2013, 4:8. 
from Dried Chips</t>
  </si>
  <si>
    <t>Shailesh Kumar,Bill Aalbersberg. Nutrient retention in foods after earth-oven cooking compared to other forms of domestic cooking 1. Proximates, carbohydrates and dietary fibre.  Journal of Food Composition and Analysis 19 (2006) 302–310.</t>
  </si>
  <si>
    <t>Armel F. ZORO, Lessoy T. ZOUE, Severin A.K. KRA, Arnaud E. YEPIE and Sebastien L. NIAMKE. An Overview of Nutritive Potential of Leafy Vegetables Consumed in Western Côte d’Ivoire. Pakistan Journal of Nutrition. Year: 2013 | Volume: 12 | Issue: 10 | Page No.: 949-956</t>
  </si>
  <si>
    <t xml:space="preserve">A. F. Zoro, *L. T. Zoué, M. E. Bédikou, S. A. Kra and S. L. Niamké. Effect of cooking on nutritive and antioxidant characteristics of leafy 
vegetables consumed in Western Côte d’Ivoire . Scholars Research Library
Archives of Applied Science Research, 2014, 6 (4):114-123
</t>
  </si>
  <si>
    <t>Longe, O.G. Effect of processing on the chemical composition and energy value of cassava. Nutrition Reports International. 1980. Volume: 21 Issue: 6 Page: 819 - 828</t>
  </si>
  <si>
    <t>Shailesh Kumar,Bill Aalbersberg. Nutrient retention in foods after earth-oven cooking compared to other forms of domestic cooking. 2 Vitamins. Journal of Food Composition and Analysis 19 (2006) 311–320</t>
  </si>
  <si>
    <t>0500603</t>
  </si>
  <si>
    <t>0500604</t>
  </si>
  <si>
    <t>0500605</t>
  </si>
  <si>
    <t>0500606</t>
  </si>
  <si>
    <t>0500607</t>
  </si>
  <si>
    <t>0500608</t>
  </si>
  <si>
    <t>0500609</t>
  </si>
  <si>
    <t>0500610</t>
  </si>
  <si>
    <t>0500611</t>
  </si>
  <si>
    <t>0500612</t>
  </si>
  <si>
    <t>0500613</t>
  </si>
  <si>
    <t>0500614</t>
  </si>
  <si>
    <t>0500615</t>
  </si>
  <si>
    <t>0500616</t>
  </si>
  <si>
    <t>0500617</t>
  </si>
  <si>
    <t>0500618</t>
  </si>
  <si>
    <t>0500619</t>
  </si>
  <si>
    <t>0500620</t>
  </si>
  <si>
    <t>0500621</t>
  </si>
  <si>
    <t>0902183</t>
  </si>
  <si>
    <t>0902184</t>
  </si>
  <si>
    <t>0902185</t>
  </si>
  <si>
    <t>0902186</t>
  </si>
  <si>
    <t>0902187</t>
  </si>
  <si>
    <t>0902188</t>
  </si>
  <si>
    <t>0902189</t>
  </si>
  <si>
    <t>0100104</t>
  </si>
  <si>
    <t>0100105</t>
  </si>
  <si>
    <t>0100106</t>
  </si>
  <si>
    <t>0100107</t>
  </si>
  <si>
    <t>0100108</t>
  </si>
  <si>
    <t>0100109</t>
  </si>
  <si>
    <t>0100110</t>
  </si>
  <si>
    <t>Carotenoid, total</t>
  </si>
  <si>
    <t>Bangladesh, Mymensingh</t>
  </si>
  <si>
    <t>Bangladesh, Khulna</t>
  </si>
  <si>
    <t>Bangladesh, Sylhet</t>
  </si>
  <si>
    <t>Norway, Seven locations from Stavanger to Trondheim</t>
  </si>
  <si>
    <t>Norway, Ten locations from Bergen to Ofoten</t>
  </si>
  <si>
    <t>Norway, more than eight locations from Bergen to Kirkenes</t>
  </si>
  <si>
    <t>PTG</t>
  </si>
  <si>
    <t>Common Carp</t>
  </si>
  <si>
    <t>Grass Carp</t>
  </si>
  <si>
    <t>Silver Carp</t>
  </si>
  <si>
    <t>Thai Pangas</t>
  </si>
  <si>
    <t>Majhari Thai Pangas</t>
  </si>
  <si>
    <t>Thai Sarpunti</t>
  </si>
  <si>
    <t>Majhari Tilapia</t>
  </si>
  <si>
    <t>Kveite</t>
  </si>
  <si>
    <t>Torsk</t>
  </si>
  <si>
    <t>Laks</t>
  </si>
  <si>
    <t>Catla, farmed, raw</t>
  </si>
  <si>
    <t>Mrigal carp, farmed, raw</t>
  </si>
  <si>
    <t>Roho labeo, farmed, raw</t>
  </si>
  <si>
    <t>Common carp, farmed, raw</t>
  </si>
  <si>
    <t>Grass carp (= White amur), farmed, raw</t>
  </si>
  <si>
    <t>Silver carp, farmed, raw</t>
  </si>
  <si>
    <t>Striped catfish, farmed, raw</t>
  </si>
  <si>
    <t>Silver barb, farmed, raw</t>
  </si>
  <si>
    <t>Nile tilapia, farmed, raw</t>
  </si>
  <si>
    <t>Atlantic halibut, farmed, raw</t>
  </si>
  <si>
    <t>Cod, farmed, raw</t>
  </si>
  <si>
    <t>Salmon, farmed, raw</t>
  </si>
  <si>
    <t>Trout, farmed, raw</t>
  </si>
  <si>
    <t>Ctenopharyngodon idella</t>
  </si>
  <si>
    <t>Pangasianodon hypophthalmus</t>
  </si>
  <si>
    <t>Pangasianodon hypophthalmus (juvenile)</t>
  </si>
  <si>
    <t>Barbonymus gonionotus</t>
  </si>
  <si>
    <t>Oreochromis niloticus (juvenile)</t>
  </si>
  <si>
    <t>Hippoglossus hippoglossus</t>
  </si>
  <si>
    <t>Grass carp (= White amur)</t>
  </si>
  <si>
    <t>Silver barb</t>
  </si>
  <si>
    <t>Atlantic halibut</t>
  </si>
  <si>
    <t>Jul-Sep 2012</t>
  </si>
  <si>
    <t>Feb, Dec 2007</t>
  </si>
  <si>
    <t>May-Nov 2007</t>
  </si>
  <si>
    <t>Dec 2007-Jan 2008</t>
  </si>
  <si>
    <t>Feb-Nov 2008</t>
  </si>
  <si>
    <t>Anatomical parts excluded prior to analysis: Bones, viscera, fins, scales, gills.</t>
  </si>
  <si>
    <t>Anatomical parts excluded prior to analysis: Bones, viscera, scales, fins, gills, snout, operculum.</t>
  </si>
  <si>
    <t>Anatomical parts excluded prior to analysis: Bones, viscera, fins, scales, gills, operculum.</t>
  </si>
  <si>
    <t>Anatomical parts excluded prior to analysis: Bones, viscera, gills, fins, operculum.</t>
  </si>
  <si>
    <t>Anatomical parts excluded prior to analysis: Bones, viscera, fins, barbel.</t>
  </si>
  <si>
    <t>[Muscle B cut]</t>
  </si>
  <si>
    <t>[Norwegian Quality cut, Muscle B cut]</t>
  </si>
  <si>
    <t>[Norwegian Quality cut, Muscle A and B cut]</t>
  </si>
  <si>
    <t>2012</t>
  </si>
  <si>
    <t>AD</t>
  </si>
  <si>
    <t>RETOLSUM(mcg)</t>
  </si>
  <si>
    <t>summation, retinol = trans-retinol + cis-retinol</t>
  </si>
  <si>
    <t>&lt;2.8</t>
  </si>
  <si>
    <t>Total vitamin A (mcg RAE)</t>
  </si>
  <si>
    <t>6</t>
  </si>
  <si>
    <t>ERGCAL(mcg)</t>
  </si>
  <si>
    <t>Vitamin D2 (mcg)</t>
  </si>
  <si>
    <t>&lt;1</t>
  </si>
  <si>
    <t>CHOCALOH(mcg)</t>
  </si>
  <si>
    <t>&lt;0.05</t>
  </si>
  <si>
    <t>THIAHCL(mg)</t>
  </si>
  <si>
    <t>Thiamin hydrochloride</t>
  </si>
  <si>
    <t>&lt;0.1</t>
  </si>
  <si>
    <t>&lt;0.3</t>
  </si>
  <si>
    <t>VITB6C(mg)</t>
  </si>
  <si>
    <t>Vitamin B6, total; determined by sumation</t>
  </si>
  <si>
    <t>fatty acids, total n-3 polyunsaturated in cis configuration</t>
  </si>
  <si>
    <t>fatty acids, total n-3 long-chain polyunsaturated in cis configuration</t>
  </si>
  <si>
    <t>fatty acids, total n-6 polyunsaturated in cis configuration</t>
  </si>
  <si>
    <t>fatty acids, total n-9 polyunsaturated in cis configuration</t>
  </si>
  <si>
    <t>F18D1N6(g)</t>
  </si>
  <si>
    <t>fatty acid 18:1 n-6</t>
  </si>
  <si>
    <t>F20D1N11_A_F20D1N13</t>
  </si>
  <si>
    <t>F22D1N11_A_F22D1N13</t>
  </si>
  <si>
    <t>Arnaud Deladeriere</t>
  </si>
  <si>
    <t>fi367</t>
  </si>
  <si>
    <t>J.R. Bogard, S.H. Thilsted, G.C. Marks, M.A. Wahab, M.A.R. Hossain, J. Jakobsen, J. Stangoulis. Nutrient composition of important fish species in Bangladesh and potential contribution to recommended nutrient intakes. Journal of Food Composition and Analysis 42 (2015) 120–133</t>
  </si>
  <si>
    <t>fi361</t>
  </si>
  <si>
    <t>Myhre J.B., Borgejordet Å., Nordbotten A., Løken E.B. &amp; Fagerli R.A. (2012). Nutritional composition of selected wild and farmed raw fish. University of Oslo, Norwegian Food Safety Authority &amp; Norwegian Directorate of Health.</t>
  </si>
  <si>
    <t>0902190</t>
  </si>
  <si>
    <t>0902191</t>
  </si>
  <si>
    <t>0902192</t>
  </si>
  <si>
    <t>0902193</t>
  </si>
  <si>
    <t>0902194</t>
  </si>
  <si>
    <t>0902195</t>
  </si>
  <si>
    <t>0902196</t>
  </si>
  <si>
    <t>0902197</t>
  </si>
  <si>
    <t>0902198</t>
  </si>
  <si>
    <t>0902199</t>
  </si>
  <si>
    <t>0902200</t>
  </si>
  <si>
    <t>0902201</t>
  </si>
  <si>
    <t>0902202</t>
  </si>
  <si>
    <t>0902203</t>
  </si>
  <si>
    <t>0902204</t>
  </si>
  <si>
    <t>0202010</t>
  </si>
  <si>
    <t>0202011</t>
  </si>
  <si>
    <t>0202012</t>
  </si>
  <si>
    <t>0202013</t>
  </si>
  <si>
    <t>0202014</t>
  </si>
  <si>
    <t>0202015</t>
  </si>
  <si>
    <t>0202016</t>
  </si>
  <si>
    <t>0202017</t>
  </si>
  <si>
    <t>0202018</t>
  </si>
  <si>
    <t>0202019</t>
  </si>
  <si>
    <t>0202020</t>
  </si>
  <si>
    <t>0202021</t>
  </si>
  <si>
    <t>0202022</t>
  </si>
  <si>
    <t>0202023</t>
  </si>
  <si>
    <t>0202024</t>
  </si>
  <si>
    <t>0202025</t>
  </si>
  <si>
    <t>0202026</t>
  </si>
  <si>
    <t>0202027</t>
  </si>
  <si>
    <t>0202028</t>
  </si>
  <si>
    <t>0202029</t>
  </si>
  <si>
    <t>0202030</t>
  </si>
  <si>
    <t>0202031</t>
  </si>
  <si>
    <t>0202032</t>
  </si>
  <si>
    <t>0202033</t>
  </si>
  <si>
    <t>0202034</t>
  </si>
  <si>
    <t>0202035</t>
  </si>
  <si>
    <t>0202036</t>
  </si>
  <si>
    <t>0202037</t>
  </si>
  <si>
    <t>0202038</t>
  </si>
  <si>
    <t>0202039</t>
  </si>
  <si>
    <t>0202040</t>
  </si>
  <si>
    <t>0202041</t>
  </si>
  <si>
    <t>0202042</t>
  </si>
  <si>
    <t>0202043</t>
  </si>
  <si>
    <t>0202044</t>
  </si>
  <si>
    <t>0202045</t>
  </si>
  <si>
    <t>0202046</t>
  </si>
  <si>
    <t>0202047</t>
  </si>
  <si>
    <t>0202048</t>
  </si>
  <si>
    <t>0202049</t>
  </si>
  <si>
    <t>0202050</t>
  </si>
  <si>
    <t>0202051</t>
  </si>
  <si>
    <t>0202052</t>
  </si>
  <si>
    <t>0202053</t>
  </si>
  <si>
    <t>0202054</t>
  </si>
  <si>
    <t>0202055</t>
  </si>
  <si>
    <t>0202056</t>
  </si>
  <si>
    <t>0202057</t>
  </si>
  <si>
    <t>Vitamin K</t>
  </si>
  <si>
    <t>VITK1</t>
  </si>
  <si>
    <t>VITK2</t>
  </si>
  <si>
    <t>Vitamin K-1</t>
  </si>
  <si>
    <t>Vitamin K-2</t>
  </si>
  <si>
    <t>Fatty acid 20:1 n-11 + fatty acid 20:1 n-13</t>
  </si>
  <si>
    <t>Fatty acid 22:1 n-11 + fatty acid 22:1 n-13</t>
  </si>
  <si>
    <t>ERGCAL</t>
  </si>
  <si>
    <t>RETOLSUM</t>
  </si>
  <si>
    <t>CARTOID</t>
  </si>
  <si>
    <t>carotenoids, total</t>
  </si>
  <si>
    <t>THIAHCL</t>
  </si>
  <si>
    <t>Vitamin B1 analysed and expressed as thiamin hydrochloride</t>
  </si>
  <si>
    <t>VITB6C</t>
  </si>
  <si>
    <t>Vitamin B-6, total; calculated by summation</t>
  </si>
  <si>
    <t>FA converted using XFA. Aminoacids values were not included (very low or very high values).</t>
  </si>
  <si>
    <t>[21.5]</t>
  </si>
  <si>
    <t>Minerals expressed per DM - conversion to FW; Vitamins assumed to be expressed on a FW basis. Minerals and vitamin A data were not included (very low or very high values).</t>
  </si>
  <si>
    <t>Norway, more than sixteen locations, from Flekkefjord to Tromsø</t>
  </si>
  <si>
    <t>energy, total metabolizable; calculated from the energy-producing food components (original as from source)</t>
  </si>
  <si>
    <t>water</t>
  </si>
  <si>
    <t xml:space="preserve">protein, total; calculated from total nitrogen </t>
  </si>
  <si>
    <t>protein, total; method of determination unknown or variable</t>
  </si>
  <si>
    <t>fat, total</t>
  </si>
  <si>
    <t>fat, total; derived by analysis using continuous extraction</t>
  </si>
  <si>
    <t>fat; method of determination unknown or mixed methods</t>
  </si>
  <si>
    <t>carbohydrate, available; calculated by difference</t>
  </si>
  <si>
    <t>carbohydrate, total; calculated by difference</t>
  </si>
  <si>
    <t>starch, available</t>
  </si>
  <si>
    <t>starch, resistant RS3</t>
  </si>
  <si>
    <t>fibre, crude</t>
  </si>
  <si>
    <t>ash</t>
  </si>
  <si>
    <t>calcium</t>
  </si>
  <si>
    <t>copper</t>
  </si>
  <si>
    <t>iron, total</t>
  </si>
  <si>
    <t>potassium</t>
  </si>
  <si>
    <t>magnesium</t>
  </si>
  <si>
    <t>manganese</t>
  </si>
  <si>
    <t>sodium</t>
  </si>
  <si>
    <t>phosphorus</t>
  </si>
  <si>
    <t>zink</t>
  </si>
  <si>
    <t>thiamin</t>
  </si>
  <si>
    <t>riboflavin</t>
  </si>
  <si>
    <t>niacin; method or form unknown</t>
  </si>
  <si>
    <t xml:space="preserve">vitamin C </t>
  </si>
  <si>
    <t>fructose</t>
  </si>
  <si>
    <t>fatty acid 16:0</t>
  </si>
  <si>
    <t>fatty acid 18:0</t>
  </si>
  <si>
    <t>fatty acid 18:1</t>
  </si>
  <si>
    <t>fatty acid 18:2</t>
  </si>
  <si>
    <t>fatty acid 18:3</t>
  </si>
  <si>
    <t>oxalic acid</t>
  </si>
  <si>
    <t>amylose</t>
  </si>
  <si>
    <t>glucose</t>
  </si>
  <si>
    <t>xylose</t>
  </si>
  <si>
    <t>maltose</t>
  </si>
  <si>
    <t>galactose</t>
  </si>
  <si>
    <t>ribose</t>
  </si>
  <si>
    <t>wax, total</t>
  </si>
  <si>
    <t>fatty acids, total free</t>
  </si>
  <si>
    <t>monoglycerides, total</t>
  </si>
  <si>
    <t>diglycerides, total</t>
  </si>
  <si>
    <t>triglycerides, total</t>
  </si>
  <si>
    <t>phosphatidyl choline</t>
  </si>
  <si>
    <t>fatty acid 12:0</t>
  </si>
  <si>
    <t>fatty acid 13:0</t>
  </si>
  <si>
    <t>fatty acid 14:0</t>
  </si>
  <si>
    <t>fatty acid 15:0</t>
  </si>
  <si>
    <t>fatty acid 17:0</t>
  </si>
  <si>
    <t>fatty acid 20:0</t>
  </si>
  <si>
    <t>fatty acid 21:0</t>
  </si>
  <si>
    <t>fatty acid 22:0</t>
  </si>
  <si>
    <t>fatty acid 24:0</t>
  </si>
  <si>
    <t>fatty acid 16:1</t>
  </si>
  <si>
    <t>fatty acid 20:1</t>
  </si>
  <si>
    <t>fatty acid 22:1</t>
  </si>
  <si>
    <t>fatty acid 24:1</t>
  </si>
  <si>
    <t>fatty acid 16:2</t>
  </si>
  <si>
    <t>fatty acid 20:2</t>
  </si>
  <si>
    <t>fatty acid 22:2</t>
  </si>
  <si>
    <t>alanine</t>
  </si>
  <si>
    <t>arginine</t>
  </si>
  <si>
    <t>asparagine</t>
  </si>
  <si>
    <t>cystine</t>
  </si>
  <si>
    <t>glutamic acid</t>
  </si>
  <si>
    <t>glycine</t>
  </si>
  <si>
    <t>histidine</t>
  </si>
  <si>
    <t>isoleucine</t>
  </si>
  <si>
    <t>leucine</t>
  </si>
  <si>
    <t>lysine</t>
  </si>
  <si>
    <t>methionine</t>
  </si>
  <si>
    <t>phenylalanine</t>
  </si>
  <si>
    <t>proline</t>
  </si>
  <si>
    <t>serine</t>
  </si>
  <si>
    <t>threonine</t>
  </si>
  <si>
    <t>tryptophan</t>
  </si>
  <si>
    <t>tyrosine</t>
  </si>
  <si>
    <t>valine</t>
  </si>
  <si>
    <t>amino acids, total aromatic</t>
  </si>
  <si>
    <t>aspartic acid</t>
  </si>
  <si>
    <t>fibre; determined by neutral detergent method</t>
  </si>
  <si>
    <t>phytic acid</t>
  </si>
  <si>
    <t xml:space="preserve">Total flavonoids </t>
  </si>
  <si>
    <t xml:space="preserve">data are expresesd in edible portion </t>
  </si>
  <si>
    <t>ENERA(kJ)</t>
  </si>
  <si>
    <t>energy, total metabolizable; calculated from the energy-producing food components (original as from source)12</t>
  </si>
  <si>
    <t>energy, gross; determined by direct analysis using bomb calorimetry</t>
  </si>
  <si>
    <t>edible portion coefficient</t>
  </si>
  <si>
    <t>nitrogen, total</t>
  </si>
  <si>
    <t>fatty acids, total saturated</t>
  </si>
  <si>
    <t>fatty acids, total polyunsaturated</t>
  </si>
  <si>
    <t>other fatty acids, not specified</t>
  </si>
  <si>
    <t>carbohydrate; method of determination unknown or variable</t>
  </si>
  <si>
    <t>glycogen</t>
  </si>
  <si>
    <t>fibre, total dietary; determined gravimetrically by the AOAC total dietary fibre method (Prosky and similar methods)</t>
  </si>
  <si>
    <t xml:space="preserve">fibre; determined by acid detergent method </t>
  </si>
  <si>
    <t>fibre; method of determination unknown or variable</t>
  </si>
  <si>
    <t>celloluse</t>
  </si>
  <si>
    <t>lignin</t>
  </si>
  <si>
    <t xml:space="preserve">chloride </t>
  </si>
  <si>
    <t>cobalt</t>
  </si>
  <si>
    <t>chromium</t>
  </si>
  <si>
    <t>iodine</t>
  </si>
  <si>
    <t>molybdenum</t>
  </si>
  <si>
    <t>nickel</t>
  </si>
  <si>
    <t>SI(mcg)</t>
  </si>
  <si>
    <t>sulphur</t>
  </si>
  <si>
    <t>selenium</t>
  </si>
  <si>
    <t>silicon</t>
  </si>
  <si>
    <t>arsenic</t>
  </si>
  <si>
    <t>barium</t>
  </si>
  <si>
    <t>cadmium</t>
  </si>
  <si>
    <t>lead</t>
  </si>
  <si>
    <t>strontium</t>
  </si>
  <si>
    <t>RETOL(IU)</t>
  </si>
  <si>
    <t>VITAACT(mcg)</t>
  </si>
  <si>
    <t>vitamin A retinol activity equivalent (RAE); calculated by summation of the vitamin A activities of retinol and the active carotenoids</t>
  </si>
  <si>
    <t>retinol</t>
  </si>
  <si>
    <t>retinol14</t>
  </si>
  <si>
    <t>dehydroretinol</t>
  </si>
  <si>
    <t>vitamin A acetate</t>
  </si>
  <si>
    <t>vitamin A; method of determination unknown</t>
  </si>
  <si>
    <t>vitamin A; method of determination unknown15</t>
  </si>
  <si>
    <t>carotene, total trans</t>
  </si>
  <si>
    <t>alpha-carotene</t>
  </si>
  <si>
    <t>beta-carotene</t>
  </si>
  <si>
    <t>beta-carotene cis</t>
  </si>
  <si>
    <t>CHOCAL(IU)</t>
  </si>
  <si>
    <t>VITD-(mcg)</t>
  </si>
  <si>
    <t>TOCPHA(IU)</t>
  </si>
  <si>
    <t>VITE-(IU)</t>
  </si>
  <si>
    <t>beta-cryptoxanthin</t>
  </si>
  <si>
    <t>lutein</t>
  </si>
  <si>
    <t>lycopene</t>
  </si>
  <si>
    <t>zeaxanthin</t>
  </si>
  <si>
    <t>cholecalciferol</t>
  </si>
  <si>
    <t>25-hydroxycholecalciferol</t>
  </si>
  <si>
    <t>vitamin D; method unknown or variable</t>
  </si>
  <si>
    <t>vitamin E; calculated by summation of the vitamin E activities of the active tocopherols and tocotrienols; expressed as alpha-tocopherol equivalents</t>
  </si>
  <si>
    <t>alpha-tocopherol16</t>
  </si>
  <si>
    <t>vitamin E; method or determination unknown or variable</t>
  </si>
  <si>
    <t>pyridoxine</t>
  </si>
  <si>
    <t>NIAEQ(mg)</t>
  </si>
  <si>
    <t>niacin equivalents, total</t>
  </si>
  <si>
    <t>niacin, preformed</t>
  </si>
  <si>
    <t>BIOT(mcg)</t>
  </si>
  <si>
    <t>GLYLIP(g)</t>
  </si>
  <si>
    <t>F15D0AI(g)</t>
  </si>
  <si>
    <t>F14D1CN5(g)</t>
  </si>
  <si>
    <t>F15D1N10(g)</t>
  </si>
  <si>
    <t>F16D1CN7(g)</t>
  </si>
  <si>
    <t>F16D1C(g)</t>
  </si>
  <si>
    <t>F17D1N10(g)</t>
  </si>
  <si>
    <t>F17D1CN8(g)</t>
  </si>
  <si>
    <t>F17D1CN7(g)</t>
  </si>
  <si>
    <t>F18D1TN8(g)</t>
  </si>
  <si>
    <t>F18D1TN7(g)</t>
  </si>
  <si>
    <t>F18D1CN6(g)</t>
  </si>
  <si>
    <t>F18D1TN6(g)</t>
  </si>
  <si>
    <t>F18D1CN5(g)</t>
  </si>
  <si>
    <t>F18D1CN4(g)</t>
  </si>
  <si>
    <t>F18D1CN3(g)</t>
  </si>
  <si>
    <t>F18D1TN3(g)</t>
  </si>
  <si>
    <t>F18D1TN2(g)</t>
  </si>
  <si>
    <t>F20D1CN9(g)</t>
  </si>
  <si>
    <t>F24D1CN9(g)</t>
  </si>
  <si>
    <t>F18D2C9T11(g)</t>
  </si>
  <si>
    <t>F18D2T10C12(g)</t>
  </si>
  <si>
    <t>F18D2TCON(g)</t>
  </si>
  <si>
    <t>F22D2CN6(g)</t>
  </si>
  <si>
    <t>F18D4CN3(g)</t>
  </si>
  <si>
    <t>F18D1TN10_A_F18D1TN12(g)</t>
  </si>
  <si>
    <t>F18D1TN4_A_F18D1TN5(g)</t>
  </si>
  <si>
    <t>F20D3N3_A_F20D4N6(g)</t>
  </si>
  <si>
    <t>AAE8(mg)</t>
  </si>
  <si>
    <t>AAT19(mg)</t>
  </si>
  <si>
    <t>AAT24(mg)</t>
  </si>
  <si>
    <t>CYSTE(mg)</t>
  </si>
  <si>
    <t>ORN(mg)</t>
  </si>
  <si>
    <t>GLY_A_SER(mg)</t>
  </si>
  <si>
    <t>AMMON(mg)</t>
  </si>
  <si>
    <t>CHITIN(g)</t>
  </si>
  <si>
    <t>CHOLN(mg)</t>
  </si>
  <si>
    <t>pantothenic acid</t>
  </si>
  <si>
    <t>vitamin B-6; method unknown or variable</t>
  </si>
  <si>
    <t>folate; method unknown or variable</t>
  </si>
  <si>
    <t xml:space="preserve">biotin </t>
  </si>
  <si>
    <t>vitamin B-12</t>
  </si>
  <si>
    <t>vitamin C; method unknown or variable</t>
  </si>
  <si>
    <t>cholesterol; determined by enzymatic or chromatographic method</t>
  </si>
  <si>
    <t>glycolipids, total</t>
  </si>
  <si>
    <t>phospholipids, total</t>
  </si>
  <si>
    <t>fatty acids, total</t>
  </si>
  <si>
    <t>fatty acids, total n-3 polyunsaturated</t>
  </si>
  <si>
    <t>fatty acids, total n-6 polyunsaturated</t>
  </si>
  <si>
    <t>fatty acid 6:0</t>
  </si>
  <si>
    <t>fatty acid 8:0</t>
  </si>
  <si>
    <t>fatty acid 10:0</t>
  </si>
  <si>
    <t>fatty acid 15:0 iso</t>
  </si>
  <si>
    <t>fatty acid 15:0 anteiso</t>
  </si>
  <si>
    <t>fatty acid 17:0 iso</t>
  </si>
  <si>
    <t>fatty acid 17:0 anteiso</t>
  </si>
  <si>
    <t>fatty acid 19:0</t>
  </si>
  <si>
    <t>fatty acid 23:0</t>
  </si>
  <si>
    <t>fatty acid 12:1</t>
  </si>
  <si>
    <t>fatty acid 14:1 n-9</t>
  </si>
  <si>
    <t>fatty acid 14:1 n-7</t>
  </si>
  <si>
    <t>fatty acid 14:1 cis n-5</t>
  </si>
  <si>
    <t>fatty acid 14:1 n-5</t>
  </si>
  <si>
    <t>fatty acid 14:1</t>
  </si>
  <si>
    <t>fatty acid 15:1 n-10</t>
  </si>
  <si>
    <t>fatty acid 15:1</t>
  </si>
  <si>
    <t>fatty acid 16:1 n-9</t>
  </si>
  <si>
    <t>fatty acid 16:1 cis n-7</t>
  </si>
  <si>
    <t>fatty acid 16:1 trans n-7</t>
  </si>
  <si>
    <t>fatty acid 16:1 n-7</t>
  </si>
  <si>
    <t>fatty acid 16:1 cis</t>
  </si>
  <si>
    <t>fatty acid 17:1 n-10</t>
  </si>
  <si>
    <t>fatty acid 17:1 cis n-8</t>
  </si>
  <si>
    <t>fatty acid 17:1 cis n-7</t>
  </si>
  <si>
    <t>fatty acid 17:1 n-7</t>
  </si>
  <si>
    <t>fatty acid 17:1</t>
  </si>
  <si>
    <t>fatty acid 18:1 n-11</t>
  </si>
  <si>
    <t>fatty acid 18:1 trans n-11</t>
  </si>
  <si>
    <t>fatty acid 18:1 cis n-9</t>
  </si>
  <si>
    <t>fatty acid 18:1 trans n-9</t>
  </si>
  <si>
    <t>fatty acid 18:1 n-9</t>
  </si>
  <si>
    <t>fatty acid 18:1 trans n-8</t>
  </si>
  <si>
    <t>fatty acid 18:1 cis n-7</t>
  </si>
  <si>
    <t>fatty acid 18:1 trans n-7</t>
  </si>
  <si>
    <t>fatty acid 18:1 n-7</t>
  </si>
  <si>
    <t>fatty acid 18:1 cis n-6</t>
  </si>
  <si>
    <t>fatty acid 18:1 trans n-6</t>
  </si>
  <si>
    <t>fatty acid 18:1 cis n-5</t>
  </si>
  <si>
    <t>fatty acid 18:1 cis n-4</t>
  </si>
  <si>
    <t>fatty acid 18:1 cis n-3</t>
  </si>
  <si>
    <t>fatty acid 18:1 trans n-3</t>
  </si>
  <si>
    <t>fatty acid 18:1 trans n-2</t>
  </si>
  <si>
    <t>fatty acid 18:1 trans</t>
  </si>
  <si>
    <t>fatty acid 20:1 cis n-11</t>
  </si>
  <si>
    <t>fatty acid 20:1 cis n-9</t>
  </si>
  <si>
    <t>fatty acid 20:1 n-9</t>
  </si>
  <si>
    <t>fatty acid 24:1 cis n-9</t>
  </si>
  <si>
    <t>fatty acid 16:2 n-6</t>
  </si>
  <si>
    <t>fatty acid 18:2 n-7 cis9, trans11, conjugated</t>
  </si>
  <si>
    <t>fatty acid 18:2 cis n-6</t>
  </si>
  <si>
    <t>fatty acid 18:2 trans n-6</t>
  </si>
  <si>
    <t>fatty acid1 8:2 n-6 trans10, cis12, conjugated</t>
  </si>
  <si>
    <t>fatty acid 18:2 n-6</t>
  </si>
  <si>
    <t>fatty acid 18:2 cis trans conjugated</t>
  </si>
  <si>
    <t>fatty acid 20:2 n-6</t>
  </si>
  <si>
    <t>fatty acid 22:2 cis n-6</t>
  </si>
  <si>
    <t>fatty acid 22:2 n-6</t>
  </si>
  <si>
    <t>fatty acid 18:3 cis n-6</t>
  </si>
  <si>
    <t>fatty acid 18:3 n-6</t>
  </si>
  <si>
    <t>fatty acid 18:3 cis n-3</t>
  </si>
  <si>
    <t>fatty acid 18:3 n-3</t>
  </si>
  <si>
    <t>fatty acid 20:3</t>
  </si>
  <si>
    <t>fatty acid 20:3 n-6</t>
  </si>
  <si>
    <t>fatty acid 20:3 n-3</t>
  </si>
  <si>
    <t>fatty acid 22:3 n-6</t>
  </si>
  <si>
    <t>fatty acid 22:3 n-3</t>
  </si>
  <si>
    <t>fatty acid 18:4 cis n-3</t>
  </si>
  <si>
    <t>fatty acid 18:4 n-3</t>
  </si>
  <si>
    <t>fatty acid 20:4 cis n-6</t>
  </si>
  <si>
    <t>fatty acid 20:4 n-6</t>
  </si>
  <si>
    <t>fatty acid 20:4 n-3</t>
  </si>
  <si>
    <t>fatty acid 20:4</t>
  </si>
  <si>
    <t>fatty acid 22:4 n-6</t>
  </si>
  <si>
    <t>fatty acid 20:5 cis n-3</t>
  </si>
  <si>
    <t>fatty acid 20:5 n-3</t>
  </si>
  <si>
    <t>fatty acid 22:5 n-3</t>
  </si>
  <si>
    <t xml:space="preserve">fatty acid 22:6 </t>
  </si>
  <si>
    <t>fatty acid 22:6 cis n-3</t>
  </si>
  <si>
    <t>fatty acid 22:6 n-3</t>
  </si>
  <si>
    <t>fatty acid 18:1 trans n-10 + fatty acid 18:1 trans n-12</t>
  </si>
  <si>
    <t>fatty acid 18:1 trans n-4 + fatty acid 18:1 trans n-5</t>
  </si>
  <si>
    <t>fatty acid 20: n-3 + fatty acid 20:4 n-6</t>
  </si>
  <si>
    <t>amino acids, total essential (8)</t>
  </si>
  <si>
    <t>sum of 19 amino acids (excluding tryptophan)</t>
  </si>
  <si>
    <t>amino acids, total</t>
  </si>
  <si>
    <t>amino acids, total sulphur-containing (CYS + MET)</t>
  </si>
  <si>
    <t>amino acids, total; precise definition not specified</t>
  </si>
  <si>
    <t>amino acids, total essential; unknown or variable which AS are included in total</t>
  </si>
  <si>
    <t>amino acids, total non-essential</t>
  </si>
  <si>
    <t>cysteine</t>
  </si>
  <si>
    <t>glutamine</t>
  </si>
  <si>
    <t>ornithine</t>
  </si>
  <si>
    <t>taurine</t>
  </si>
  <si>
    <t>glycine + serine</t>
  </si>
  <si>
    <t>ammonia</t>
  </si>
  <si>
    <t>chitin</t>
  </si>
  <si>
    <t>squalene</t>
  </si>
  <si>
    <t>sterols, total</t>
  </si>
  <si>
    <t>choline, total</t>
  </si>
  <si>
    <t>PROTCNP(g)</t>
  </si>
  <si>
    <t>protein, total, calculated from protein nitrogen</t>
  </si>
  <si>
    <t>fatty acids, total monounsaturated</t>
  </si>
  <si>
    <t>carbohydrate, available</t>
  </si>
  <si>
    <t>CHOAVLM(g)</t>
  </si>
  <si>
    <t>carbohydrate, available; expressed as monosaccharide equivalents</t>
  </si>
  <si>
    <t>sugars, reducing</t>
  </si>
  <si>
    <t>NSP(g)</t>
  </si>
  <si>
    <t>polysaccharides, non-starch (Englyst method)</t>
  </si>
  <si>
    <t>fibre, water-insoluble</t>
  </si>
  <si>
    <t>fibre, water-soluble</t>
  </si>
  <si>
    <t>cellulose</t>
  </si>
  <si>
    <t>hemicellulose</t>
  </si>
  <si>
    <t>nitrates</t>
  </si>
  <si>
    <t>vitamin A; method unknown or variable</t>
  </si>
  <si>
    <t>CARTG(mcg)</t>
  </si>
  <si>
    <t>gamma-carotene</t>
  </si>
  <si>
    <t>cryptoxanthin, total</t>
  </si>
  <si>
    <t>NEUROSP(mcg)</t>
  </si>
  <si>
    <t>neurosporene</t>
  </si>
  <si>
    <t>TRES(g)</t>
  </si>
  <si>
    <t>MANTL(mg)</t>
  </si>
  <si>
    <t>trehalose</t>
  </si>
  <si>
    <t>mannitol</t>
  </si>
  <si>
    <t>malic acid</t>
  </si>
  <si>
    <t>caffeic acid</t>
  </si>
  <si>
    <t>chlorogenic acid</t>
  </si>
  <si>
    <t>cinnamic acids</t>
  </si>
  <si>
    <t>ELLAC(mg)</t>
  </si>
  <si>
    <t>GALAAC(mg)</t>
  </si>
  <si>
    <t>NARING(mcg)</t>
  </si>
  <si>
    <t>ellagic acid</t>
  </si>
  <si>
    <t xml:space="preserve">galacturonic acid </t>
  </si>
  <si>
    <t>kaempferol</t>
  </si>
  <si>
    <t>naringenin</t>
  </si>
  <si>
    <t>p-coumaric acid</t>
  </si>
  <si>
    <t>vanillic acid</t>
  </si>
  <si>
    <t>Cyanide</t>
  </si>
  <si>
    <t>NPRO(g)</t>
  </si>
  <si>
    <t>nitrogen, non-protein</t>
  </si>
  <si>
    <t>nitrogen, protein</t>
  </si>
  <si>
    <t>PROTCNA(g)</t>
  </si>
  <si>
    <t>protein, total; calculated from amino nitrogen</t>
  </si>
  <si>
    <t>CHOCDF</t>
  </si>
  <si>
    <t>STARCHM(g)</t>
  </si>
  <si>
    <t>SUGARM(g)</t>
  </si>
  <si>
    <t>SUGAR-(g)</t>
  </si>
  <si>
    <t>starch, available; expressed as monosaccharide equivalents</t>
  </si>
  <si>
    <t>sugars, total</t>
  </si>
  <si>
    <t>sugars, total; expressed as monosaccharide equivalents</t>
  </si>
  <si>
    <t>sugars, total; expression unknown</t>
  </si>
  <si>
    <t>FIBTS(g)</t>
  </si>
  <si>
    <t>fibre, total dietary; sum of non-starch polysaccharide components and lignin (Southgate colorimetric procedure)</t>
  </si>
  <si>
    <t>PSACNC(g)</t>
  </si>
  <si>
    <t>PECT(g)</t>
  </si>
  <si>
    <t>polysaccharides, non-cellulosic</t>
  </si>
  <si>
    <t>pectin</t>
  </si>
  <si>
    <t>B(mcg)</t>
  </si>
  <si>
    <t>boron</t>
  </si>
  <si>
    <t>vanadium</t>
  </si>
  <si>
    <t>sucrose</t>
  </si>
  <si>
    <t>SORTL(mg)</t>
  </si>
  <si>
    <t>sorbitol</t>
  </si>
  <si>
    <t>nitrites</t>
  </si>
  <si>
    <t>LUTNZEA(mcg)</t>
  </si>
  <si>
    <t>vitamin A; retinol activity equivalent</t>
  </si>
  <si>
    <t>vitamin A; calculated by summation of the vitamin A activities of retinol and the active carotenoids</t>
  </si>
  <si>
    <t>beta-carotene equivalents</t>
  </si>
  <si>
    <t>alpha-cryptoxanthin</t>
  </si>
  <si>
    <t>lutein+zeaxanthin</t>
  </si>
  <si>
    <t xml:space="preserve">violaxanthin </t>
  </si>
  <si>
    <t>TOCPHG(mg)</t>
  </si>
  <si>
    <t>TOCPHD(mg)</t>
  </si>
  <si>
    <t>TOCTRA(mg)</t>
  </si>
  <si>
    <t>TOCTRD(mg)</t>
  </si>
  <si>
    <t>alpha-tocopherol</t>
  </si>
  <si>
    <t>gamma-tocopherol</t>
  </si>
  <si>
    <t>delta-tocopherol</t>
  </si>
  <si>
    <t>alpha-tocotrienol</t>
  </si>
  <si>
    <t>delta-tocotrienol</t>
  </si>
  <si>
    <t>folate, total</t>
  </si>
  <si>
    <t>phosphatidylserine</t>
  </si>
  <si>
    <t>phosphatidic Acid</t>
  </si>
  <si>
    <t>phosphatidylinositol</t>
  </si>
  <si>
    <t>phosphatidylethanolamine</t>
  </si>
  <si>
    <t>fatty acid conversion factor for internal use</t>
  </si>
  <si>
    <t>ACEAC(mg)</t>
  </si>
  <si>
    <t>QUINAC(mg)</t>
  </si>
  <si>
    <t>SHIKAC(mg)</t>
  </si>
  <si>
    <t>SUCAC(mg)</t>
  </si>
  <si>
    <t>OA(g)</t>
  </si>
  <si>
    <t>CATECT(mcg)</t>
  </si>
  <si>
    <t>HESPD(mcg)</t>
  </si>
  <si>
    <t>LUTEOL(mcg)</t>
  </si>
  <si>
    <t>MYRIC(mcg)</t>
  </si>
  <si>
    <t>PAPOLY(mg)</t>
  </si>
  <si>
    <t>PROCYA(mcg)</t>
  </si>
  <si>
    <t>QUERCE(mcg)</t>
  </si>
  <si>
    <t>RUTIN(mcg)</t>
  </si>
  <si>
    <t>RESVTROL(mcg)</t>
  </si>
  <si>
    <t>GABA(mg)</t>
  </si>
  <si>
    <t>acetic acid</t>
  </si>
  <si>
    <t>quinic acid</t>
  </si>
  <si>
    <t>shikimic acid</t>
  </si>
  <si>
    <t xml:space="preserve">succinic acid </t>
  </si>
  <si>
    <t>organic acids, total</t>
  </si>
  <si>
    <t>anthocyanidin, total</t>
  </si>
  <si>
    <t>catechin</t>
  </si>
  <si>
    <t>catechins, total</t>
  </si>
  <si>
    <t>citric acid</t>
  </si>
  <si>
    <t>epicatechin</t>
  </si>
  <si>
    <t xml:space="preserve">flavonoids, total </t>
  </si>
  <si>
    <t>flavonols, total</t>
  </si>
  <si>
    <t>ferulic acid</t>
  </si>
  <si>
    <t>fumaric acid</t>
  </si>
  <si>
    <t>gallic acid</t>
  </si>
  <si>
    <t>hesperidin</t>
  </si>
  <si>
    <t>isohamnetin</t>
  </si>
  <si>
    <t>luteolin</t>
  </si>
  <si>
    <t>myricetin</t>
  </si>
  <si>
    <t>proanthocyanidin polymers (&gt;10mers)</t>
  </si>
  <si>
    <t>procyanidins, total</t>
  </si>
  <si>
    <t>quercetin</t>
  </si>
  <si>
    <t>rutin</t>
  </si>
  <si>
    <t>resveratrol</t>
  </si>
  <si>
    <t>sinapic acid</t>
  </si>
  <si>
    <t>syringic acid</t>
  </si>
  <si>
    <t>tannins, total</t>
  </si>
  <si>
    <t>gamma-aminobutyric acid</t>
  </si>
  <si>
    <t>saponins</t>
  </si>
  <si>
    <t>CS(mcg)</t>
  </si>
  <si>
    <t>cesium</t>
  </si>
  <si>
    <t>FD(mcg)</t>
  </si>
  <si>
    <t>flouride</t>
  </si>
  <si>
    <t>LI(mcg)</t>
  </si>
  <si>
    <t>lithium</t>
  </si>
  <si>
    <t>tin</t>
  </si>
  <si>
    <t>ATX(mcg)</t>
  </si>
  <si>
    <t>astaxanthin</t>
  </si>
  <si>
    <t>THIA-(mg)</t>
  </si>
  <si>
    <t>thiamin, form unknown or mixed</t>
  </si>
  <si>
    <t>ALA_A_ARG(mg)</t>
  </si>
  <si>
    <t>alanine + arginine</t>
  </si>
  <si>
    <t>GLU_A_HIS(mg)</t>
  </si>
  <si>
    <t>glutamine + histidine</t>
  </si>
  <si>
    <t>CHOLEST(mg)</t>
  </si>
  <si>
    <t>cholesteryl-ester, total</t>
  </si>
  <si>
    <t>DEN</t>
  </si>
  <si>
    <t>Density</t>
  </si>
  <si>
    <t>Energy (original as from source)</t>
  </si>
  <si>
    <t>Energy, gross</t>
  </si>
  <si>
    <t>Protein from plant origin</t>
  </si>
  <si>
    <t>Protein from animal origin</t>
  </si>
  <si>
    <t>Carbohydrate, available by weight</t>
  </si>
  <si>
    <t>Carbohydrate, available; expressed in monosaccharide equivalents</t>
  </si>
  <si>
    <t>Sugars, total; expressed in monosaccharide equivalents</t>
  </si>
  <si>
    <t>Sugar, reducing</t>
  </si>
  <si>
    <t>Sugar, non-reducing</t>
  </si>
  <si>
    <t>Starch, available; expressed in monosaccharide equivalents</t>
  </si>
  <si>
    <t>starch, available; expression unknown</t>
  </si>
  <si>
    <t>Resistent starch</t>
  </si>
  <si>
    <t>FIBTS(g) Southgate</t>
  </si>
  <si>
    <t>Fibre, total dietary; Southgate colorimetric procedure</t>
  </si>
  <si>
    <t>Polysaccharides, non-starch (Englyst method)</t>
  </si>
  <si>
    <t>Fibre; determined by neutral detergent method</t>
  </si>
  <si>
    <t>Fibre; determined by acid detergent method</t>
  </si>
  <si>
    <t>ALC(g)</t>
  </si>
  <si>
    <t>Alcohol</t>
  </si>
  <si>
    <t>SB(mcg)</t>
  </si>
  <si>
    <t>Boron</t>
  </si>
  <si>
    <t>Chloride</t>
  </si>
  <si>
    <t>Lithium</t>
  </si>
  <si>
    <t>Antimony</t>
  </si>
  <si>
    <t>CRYPXB(mcg)</t>
  </si>
  <si>
    <t>PHYTOENE(mcg)</t>
  </si>
  <si>
    <t>PHYTOFLUENCE(mcg)</t>
  </si>
  <si>
    <t>Alpha-carotene</t>
  </si>
  <si>
    <t>Cryptoxanthin, total</t>
  </si>
  <si>
    <t>Beta-cryptoxanthin, total</t>
  </si>
  <si>
    <t>Gamma-carotene</t>
  </si>
  <si>
    <t>Lycopene</t>
  </si>
  <si>
    <t>Neurosporene</t>
  </si>
  <si>
    <t>Phytoene</t>
  </si>
  <si>
    <t>Phytofluene</t>
  </si>
  <si>
    <t>Lutein+Zeaxanthin</t>
  </si>
  <si>
    <t>Carotenoids, total</t>
  </si>
  <si>
    <t>VITD(mcg)</t>
  </si>
  <si>
    <t>VITDEQ(mcg)</t>
  </si>
  <si>
    <t>Vitamin D (D2+D3);</t>
  </si>
  <si>
    <t>Vitamin D equivalent</t>
  </si>
  <si>
    <t>Ergocalciferol (D2)</t>
  </si>
  <si>
    <t>Vitamin D, method unknown or variable</t>
  </si>
  <si>
    <t>VITEA(IU)</t>
  </si>
  <si>
    <t>TOCPHB(mg)</t>
  </si>
  <si>
    <t>TOCPHT(mg)</t>
  </si>
  <si>
    <t>Vit E determined by bioassay</t>
  </si>
  <si>
    <t>Vitamin E; method unknown or variable; expressed as alpha-tocopherol equivalents</t>
  </si>
  <si>
    <t>Alpha-tocopherol</t>
  </si>
  <si>
    <t>Beta-tocopherol</t>
  </si>
  <si>
    <t>Gamma-tocopherol</t>
  </si>
  <si>
    <t>Delta-tocopherol</t>
  </si>
  <si>
    <t>Tocopherol, total</t>
  </si>
  <si>
    <t>Vitamin K, total</t>
  </si>
  <si>
    <t>Niacin equivalents, total</t>
  </si>
  <si>
    <t>Niacin equivalents from tryptophan</t>
  </si>
  <si>
    <t>FOLSUM(mcg)</t>
  </si>
  <si>
    <t>Sum of folate vitamers determined by HPLC</t>
  </si>
  <si>
    <t>Folate, total; microbiological assay</t>
  </si>
  <si>
    <t>FOLAC(mcg)</t>
  </si>
  <si>
    <t>FOLFD(mcg)</t>
  </si>
  <si>
    <t>DFE(mcg)</t>
  </si>
  <si>
    <t>FOLFRE(mcg)</t>
  </si>
  <si>
    <t>Folic acid</t>
  </si>
  <si>
    <t>Folate food, naturally occuring food folates</t>
  </si>
  <si>
    <t xml:space="preserve">Folate, dietary folate equivalent </t>
  </si>
  <si>
    <t>Folate, free</t>
  </si>
  <si>
    <t xml:space="preserve">Biotin </t>
  </si>
  <si>
    <t>RAFS(g)</t>
  </si>
  <si>
    <t>Raffinose</t>
  </si>
  <si>
    <t>STASM(g)</t>
  </si>
  <si>
    <t>stachyose; expressed as monosaccharide equivalents</t>
  </si>
  <si>
    <t>RAFSM(g)</t>
  </si>
  <si>
    <t>raffinose; expressed as monosaccharide equivalents</t>
  </si>
  <si>
    <t>total fatt acid</t>
  </si>
  <si>
    <t>PHE_A_TYR(mg)</t>
  </si>
  <si>
    <t>phenylalanine + tyrosine</t>
  </si>
  <si>
    <t xml:space="preserve">Amino acids, total essential; unknown </t>
  </si>
  <si>
    <t>BENAC(mg)</t>
  </si>
  <si>
    <t>benzoic acid</t>
  </si>
  <si>
    <t>Silicon</t>
  </si>
  <si>
    <t>Gamma-aminobutyric acid</t>
  </si>
  <si>
    <t xml:space="preserve">Protein, total; calculated from protein nitrogen </t>
  </si>
  <si>
    <t>Cellulose</t>
  </si>
  <si>
    <t>Total tannins</t>
  </si>
  <si>
    <t>Non-protein nitrogen</t>
  </si>
  <si>
    <t>Lignin</t>
  </si>
  <si>
    <t>CYAN(mcg)</t>
  </si>
  <si>
    <t>Philippines</t>
  </si>
  <si>
    <t>USA, North Carolina, Wilson</t>
  </si>
  <si>
    <t>Greece, Western part</t>
  </si>
  <si>
    <t>Indonesia, Lowokwaru Malang</t>
  </si>
  <si>
    <t>Thailand, Pathum Thani and Bangkok</t>
  </si>
  <si>
    <t>Kenia, Mombasa</t>
  </si>
  <si>
    <t>Thailand</t>
  </si>
  <si>
    <t>India/Pakistan</t>
  </si>
  <si>
    <t>USA/Italy</t>
  </si>
  <si>
    <t>Australia/Italy</t>
  </si>
  <si>
    <t>India, Mysore</t>
  </si>
  <si>
    <t>India, Bihar, Dhanbad, Bakreswar</t>
  </si>
  <si>
    <t>India, Karnataka, Raichur</t>
  </si>
  <si>
    <t>China, Hangzhou</t>
  </si>
  <si>
    <t>India, Chennai</t>
  </si>
  <si>
    <t>USA, California, San Francisco</t>
  </si>
  <si>
    <t>USA, Texas, Houston</t>
  </si>
  <si>
    <t>Rice, long grain, brown, raw</t>
  </si>
  <si>
    <t>Rice, bran, raw</t>
  </si>
  <si>
    <t>Rice, white, milled, raw</t>
  </si>
  <si>
    <t>Rice, yellow, milled, raw</t>
  </si>
  <si>
    <t>Rice gruel, fermented, malted rice and water</t>
  </si>
  <si>
    <t>Rice, white, broken, raw</t>
  </si>
  <si>
    <t>Rice, milled, cooked</t>
  </si>
  <si>
    <t>Rice, Basmati, raw</t>
  </si>
  <si>
    <t>Rice, Basmati, infrared-irradiated,raw</t>
  </si>
  <si>
    <t>Rice, white, raw</t>
  </si>
  <si>
    <t>Rice, white, parboiled</t>
  </si>
  <si>
    <t>Rice, brown, parboiled</t>
  </si>
  <si>
    <t>Rice, long grain, brown, parboiled</t>
  </si>
  <si>
    <t>Rice, long grain, white, Instant, parboiled</t>
  </si>
  <si>
    <t>Rice, long grain, white, ecological, parboiled</t>
  </si>
  <si>
    <t>Rice, long grain, white, wild rice mix, parboiled</t>
  </si>
  <si>
    <t>Rice, short grain, brown, ecological, raw</t>
  </si>
  <si>
    <t>Rice, short grain, white, Avorio, parboiled</t>
  </si>
  <si>
    <t>Rice, polished, milled, raw</t>
  </si>
  <si>
    <t>Rice, milled, raw</t>
  </si>
  <si>
    <t>Rice, non-glutinous, milled, raw</t>
  </si>
  <si>
    <t>Rice, glutinous, milled, raw</t>
  </si>
  <si>
    <t>Rice, white brown, milled, raw</t>
  </si>
  <si>
    <t>Rice, red brown, milled, raw</t>
  </si>
  <si>
    <t>Rice, black brown, milled, raw</t>
  </si>
  <si>
    <t>Rice, short/medium grain, flour, raw</t>
  </si>
  <si>
    <t>Rice, long grain, flour, raw</t>
  </si>
  <si>
    <t xml:space="preserve">Rice flake, thick, powdered, raw </t>
  </si>
  <si>
    <t>Rice flake, medium, powdered, raw</t>
  </si>
  <si>
    <t>Rice flake, thin, powdered, raw</t>
  </si>
  <si>
    <t>Rice flake, very thin, powdered, raw</t>
  </si>
  <si>
    <t>Rice, parboiled, raw</t>
  </si>
  <si>
    <t>Rice, Arbolio, raw</t>
  </si>
  <si>
    <t>Oryza sativa indica</t>
  </si>
  <si>
    <t>Oryza sativa var. glutinosa</t>
  </si>
  <si>
    <t>Oryza sativa ssp Indica</t>
  </si>
  <si>
    <t>Oryza sativa ssp Japonica</t>
  </si>
  <si>
    <t>r002</t>
  </si>
  <si>
    <t>DP/MS</t>
  </si>
  <si>
    <t>r005</t>
  </si>
  <si>
    <t xml:space="preserve">soaked in hot water(&gt;60C )for 4-7h, steamed for 15min and dried </t>
  </si>
  <si>
    <t xml:space="preserve">soaked in hot water(&gt;60C )for 4-7h, steamed for 15min and dried.  </t>
  </si>
  <si>
    <t xml:space="preserve">Data expressed per DM - conversion to FW. PROT-, FAT- (analyzed according to AOAC 1995).Data extracted from table 1 </t>
  </si>
  <si>
    <t>r010</t>
  </si>
  <si>
    <t>Fresh weight assumed. PROT-, FAT- (analyzed according to the methods recommended by the Ministry of Agriculture, Fisheries and Food(1986)), STARCH-(analyzed with a Polarimetric method), CHO-(available starch and sugars, analyzed according to a modified method of Clegg (1956)), SUGAR-(analyzed according to the Luff-Schoorl method),Nitrogen(dried and defatted) not entered because it does not fit with the description</t>
  </si>
  <si>
    <t>r011</t>
  </si>
  <si>
    <t>Two top national brands of rice were analyzed. Cooked according to package instructions except no salt or fat was added</t>
  </si>
  <si>
    <t>SUGAR-(analyzed according to AOAC 1997)</t>
  </si>
  <si>
    <t>r013</t>
  </si>
  <si>
    <t>DP</t>
  </si>
  <si>
    <t>Malted rice was ground with water, fermented overnight, then sieved.</t>
  </si>
  <si>
    <t>PROT- (analyzed according to AOAC 1984), Amino acid values not entered due to no nitrogen values</t>
  </si>
  <si>
    <t>r014</t>
  </si>
  <si>
    <t xml:space="preserve">Data expressed per DM - conversion to FW. </t>
  </si>
  <si>
    <t>r020</t>
  </si>
  <si>
    <t>Restaurant 1</t>
  </si>
  <si>
    <t>Fresh weight assumed. FAT-(analyzed according to AOAC 1995); FIB-(analyzed according to enzyme gravimetric method (Garbelotti et al. 2003),Rice with mushrooms/vegetables/broccoli not entered because recipe</t>
  </si>
  <si>
    <t>r024</t>
  </si>
  <si>
    <t>Restaurant 2</t>
  </si>
  <si>
    <t>Restaurant 3</t>
  </si>
  <si>
    <t>Data expressed per DM - conversion to FW. PROT- and FIB-(analyzed according to Sudarmadji et al. 1989)</t>
  </si>
  <si>
    <t>r025</t>
  </si>
  <si>
    <t>Data expressed per DM - conversion to FW. PROT- (analyzed according to Sudarmadji et al. 1989)</t>
  </si>
  <si>
    <t>fermented 24 hour</t>
  </si>
  <si>
    <t>Data expressed per DM - conversion to FW. PROT-(analyzed according to Sudarmadji et al. 1989)</t>
  </si>
  <si>
    <t>fermented 48 hour</t>
  </si>
  <si>
    <t>fermented 72 hour</t>
  </si>
  <si>
    <t>General name: unpolished jasmine rice</t>
  </si>
  <si>
    <t>Author confirmed data is expressed in fresh weight, Mean mineral contents of white jasmine rice</t>
  </si>
  <si>
    <t>r028</t>
  </si>
  <si>
    <t>General name: Thai jasmine rice, Hom Mali rice</t>
  </si>
  <si>
    <t xml:space="preserve">Author confirmed data is expressed in fresh weight </t>
  </si>
  <si>
    <t>General name: Sticky rice, sweet rice, waxy rice</t>
  </si>
  <si>
    <t>General name: Black sticky rice</t>
  </si>
  <si>
    <t>Proximates: fresh weight assumed. PROT-, FAT-, FIB-, CHO- (analyzed according to AOAC 1984). Minerals expressed per DM - conversion to FW.</t>
  </si>
  <si>
    <t>r030</t>
  </si>
  <si>
    <t>Infrared-irradiated for 30 seconds at 2000°C</t>
  </si>
  <si>
    <t xml:space="preserve">PROT- and FAT- (analyzed according to AOAC 1984, 1986), Author confirmed the data is in fresh basis </t>
  </si>
  <si>
    <t>r033</t>
  </si>
  <si>
    <t>Data expressed in wet basis</t>
  </si>
  <si>
    <t>r038</t>
  </si>
  <si>
    <t>Expressed in fresh weight</t>
  </si>
  <si>
    <t>r039</t>
  </si>
  <si>
    <t xml:space="preserve">Polished after parboiling, </t>
  </si>
  <si>
    <t>r041</t>
  </si>
  <si>
    <t>Fresh weight assumed(the sum of macronutrient +ash+moisture is around ~100g)</t>
  </si>
  <si>
    <t>r048</t>
  </si>
  <si>
    <t>274 rice genotypes</t>
  </si>
  <si>
    <t xml:space="preserve">Data expressed per DM - conversion to FW, The rice grains were harvested at maturity and dried to the moisture of 12% according to the author </t>
  </si>
  <si>
    <t>r050</t>
  </si>
  <si>
    <t>69 rice genotypes</t>
  </si>
  <si>
    <t>PROT-, FIB- and STARCH-(analyzed according to AACC 2009)</t>
  </si>
  <si>
    <t>r058</t>
  </si>
  <si>
    <t>FIB- (analyzed according to AACC 2009)</t>
  </si>
  <si>
    <t>r061</t>
  </si>
  <si>
    <t>PROT- and FAT-(analyzed according to AOAC 1990). FIBND and FIBAD (analyzed according to Soest et al, 1991)</t>
  </si>
  <si>
    <t>r063</t>
  </si>
  <si>
    <t>Thickness: 1,204 mm; commercial sample A</t>
  </si>
  <si>
    <t>FIB- (analyzed by the enzymatic gravimetric method (Asp et al. 1983)), author confirmed the values are expressed in fresh weight</t>
  </si>
  <si>
    <t>r066</t>
  </si>
  <si>
    <t>Thickness: 0,76 mm; commercial sample A</t>
  </si>
  <si>
    <t>Thickness: 0,108 mm; commercial sample A</t>
  </si>
  <si>
    <t>Thickness: 0,064 mm; commercial sample A</t>
  </si>
  <si>
    <t>Thickness: 1,204 mm; commercial sample B</t>
  </si>
  <si>
    <t>Thickness: 0,352 mm; commercial sample B</t>
  </si>
  <si>
    <t>Thickness:  0,128 mm; commercial sample B</t>
  </si>
  <si>
    <t>Thickness: 0,036 mm; commercial sample B</t>
  </si>
  <si>
    <t>Thickness: 1,098 mm; commercial sample C</t>
  </si>
  <si>
    <t>Thickness: 0,352 mm; commercial sample C</t>
  </si>
  <si>
    <t>Thickness: 1,11 mm; commercial sample C</t>
  </si>
  <si>
    <t>Thickness: 0,082 mm; commercial sample C</t>
  </si>
  <si>
    <t>Thickness: 1,17 mm; commercial sample D</t>
  </si>
  <si>
    <t>Thickness: 1,224 mm; commercial sample D</t>
  </si>
  <si>
    <t>Thickness: 0,132 mm; commercial sample D</t>
  </si>
  <si>
    <t>Thickness: 0,058 mm; commercial sample D</t>
  </si>
  <si>
    <t>Brand:Flora, Fino Ribe, Type: il classico, Size: 26.4 ± 3.2 mm3</t>
  </si>
  <si>
    <t>Values expressed as moist mass of uncooked product- assumed fresh weight.</t>
  </si>
  <si>
    <t>r069</t>
  </si>
  <si>
    <t>Brand: San Marco, Type: Superfino, Size: 37.4 ± 5.6 mm3</t>
  </si>
  <si>
    <t>&lt;0,3</t>
  </si>
  <si>
    <t>&lt;10</t>
  </si>
  <si>
    <t>Tanzania, Tanga region, Tanga district</t>
  </si>
  <si>
    <t>Tanzania, Mwanza region, Ukerewe</t>
  </si>
  <si>
    <t>Tanzania, Tanga region, Muheza district</t>
  </si>
  <si>
    <t xml:space="preserve">Sri Lanka, Gannoruwa </t>
  </si>
  <si>
    <t>Sri Lanka, Gannoruwa</t>
  </si>
  <si>
    <t>Rathu bathala</t>
  </si>
  <si>
    <t>Kaha bathala</t>
  </si>
  <si>
    <t>Cassava, flour, fermented in solid state</t>
  </si>
  <si>
    <t>Cassava, flour, wet-fermented</t>
  </si>
  <si>
    <t>Sweet potato, red, unpeeled, raw</t>
  </si>
  <si>
    <t xml:space="preserve">Ipomoea batatas (L.) Lam. </t>
  </si>
  <si>
    <t>Sweet potato, yellow, unpeeled, raw</t>
  </si>
  <si>
    <t>Milled into flour without prior removal of mould</t>
  </si>
  <si>
    <t>Mould is scraped off before milling into flour</t>
  </si>
  <si>
    <t>harvested</t>
  </si>
  <si>
    <t>DM converted to WB</t>
  </si>
  <si>
    <t>tu11</t>
  </si>
  <si>
    <t>br26</t>
  </si>
  <si>
    <t>SW</t>
  </si>
  <si>
    <t>SL</t>
  </si>
  <si>
    <t>Diedelinde Persijn</t>
  </si>
  <si>
    <t>Swarna Wimalasiri</t>
  </si>
  <si>
    <t>Sarah Liewer</t>
  </si>
  <si>
    <t>Echendu C.A., Obizoba I.C., Anyika J.U., Ojimelukwe P.C. (2009). Changes in chemical composition of treated and untreated hungry rice "Acha" (Digitaria exilis). Pakistan Journal of Nutrition Vol.8(11), p.1779</t>
  </si>
  <si>
    <t>Heinemann R.J.B., Fagundes P.L., Pinto E.A., Penteado M.V.C., Lanfer-Marquez U.M. (2005). Comparative study of nutrient composition of commercial brown, parboiled and milled rice from Brazil. Journal of Food Composition and Analysis Vol.18(4), pp.287-296</t>
  </si>
  <si>
    <t>Cutrim D.O., Alves K.S., Oliveira L.R.S., da Conceicao dos Santos R., da Mata V.J.V., do Carmo D.M., Gomes D.I., Mezzomo R., de Carvalho F.F.R. (2012). Elephant grass, sugarcane, and rice bran in diets for confined sheep. Tropical Animal Health and Production pp. 1-9</t>
  </si>
  <si>
    <t>Panigrahi S., Phillips S., Plumb V.E., Watson A.J. (1992). Evaluation of the nutritive value of yellow rice in rats and broiler chicks. British Journal of Nutrition Vol. 68(3), pp. 573-582</t>
  </si>
  <si>
    <t>Li, B.W. , Andrews, K.W. ; Pehrsson, P.R. (2002). Individual Sugars, Soluble, and Insoluble Dietary Fiber Contents of 70 High Consumption Foods. Journal of Food Composition and Analysis, Vol.15(6), pp.715-723</t>
  </si>
  <si>
    <t>Terna G., Jideani I.A., Nkama I. (2002). Nutrient and sensory qualities of kunun zaki from different saccharification agents. International Journal of Food Sciences and Nutrition Vol 53(2), pp. 109-115</t>
  </si>
  <si>
    <t>Zoiopoulos P.E., Natskoulis P.I. (2008). Quality assessment of rice industry by-products as ingredients of animal diets based on nutrient content, undesirable substances and hygienic parameters. Journal of Animal and Veterinary Advances Vol. 7(1), pp. 1-4</t>
  </si>
  <si>
    <t>da Silva Torres E.A.F., Garbelotti M.L., Moita Neto J.M. (2006). The application of hierarchical clusters analysis to the study of the composition of foods. Food Chemistry, Vol. 99(3), pp. 622-629</t>
  </si>
  <si>
    <t>Hardini D. (2010). The nutrient evaluation of fermented rice bran as poultry feed. International Journal of Poultry Science, Vol. 9(2), pp. 152-154</t>
  </si>
  <si>
    <t>Parengam M., Judprasong K., Srianujata S., Jittinandana S., Laoharojanaphand S., Busamongko A. (2010). Study of nutrients and toxic minerals in rice and legumes by instrumental neutron activation analysis and graphite furnace atomic absorption spectrophotometry. Journal of Food Composition and Analysis, Vol. 23(4), pp. 340-345</t>
  </si>
  <si>
    <t>Keya E.L., Sherman U. (1997). Effects of a brief, intense infrared radiation treatment on the nutritional quality of maize, rice, sorghum, and beans. Food and Nutrition Bulletin Vol. 18(4), pp. 382-387</t>
  </si>
  <si>
    <t>Sairam S., Gopala Krishna A.G., Urooj A. (2011). Physico-chemical characteristics of defatted rice bran and its utilization in a bakery product. Journal of Food Science and Technology, Vol. 48(4), pp. 478-483</t>
  </si>
  <si>
    <t>Batista B.L., De Oliveira Souza V.C., Da Silva F.G., Barbosa F. (2010). Survey of 13 trace elements of toxic and nutritional significance in rice from Brazil and exposure assessment. Food additives and contaminants: Part B, Vol.3(4), pp. 253-262</t>
  </si>
  <si>
    <t>Jorhem L., Astrand C., Sundstrom B., Baxter M., Stokes P., Lewis J., Grawe K.P. (2008). Elements in rice on the Swedish market: Part 2. Chromium, copper, iron, manganese, platinum, rubidium, selenium and zinc. Food Additives and Contaminants - Part A Chemistry, Analysis, Control, Exposure and Risk Assessment Vol. 25(7), pp. 841-850</t>
  </si>
  <si>
    <t>Oghbaei M., Prakash J. (2010) Effect of compositional alteration of food matrices and processing on availability of selected nutrients and bioactive components in rice products. International Journal of Food Sciences and Nutrition, Vol. 62(3), pp. 250-261</t>
  </si>
  <si>
    <t>Bhaskarachary K., Ramulu P., Udayasekhararao P., Bapurao S.,Kamala K. Qadri Syed, Udaykumarc P., Sesikeran B. Chemical composition, nutritional and toxicological evaluation of rice (Oryza sativa) grown in fly ash amended soils. J Sci Food Agric 92: 2721–2726</t>
  </si>
  <si>
    <t>Jiang S.L., Wu J.G., Thang N.B., Feng Y., Yang X.E., Shi C.H. (2008). Genotypic variation of mineral elements contents in rice (Oryza sativa L.). European Food Research and Technology Vol. 228(1), pp. 115-122</t>
  </si>
  <si>
    <t>Ravi U., Menon L., Gomathy G., Parimala C., Rajeshwari R. (2012). Quality analysis of indigenous organic Asian Indian rice variety- Salem Samba. Indian Journal of Traditional Knowledge, Vol. 11(1), pp. 114-122</t>
  </si>
  <si>
    <t>Bean M.M., Ellisron-Hoops E.A., Nishita K.D. (1983). Rice flour treatment for cake-baking applications. Cereal Chemistry, Vol. 60(6), pp. 445-449</t>
  </si>
  <si>
    <t>Ando S., Nishiguchi Y., Hayasaka K., Iefuji H., Takahashi J. (2006). Effects of Candida utilis treatment on the nutrient value of rice bran and the effect of Candida utilis on the degradation of forages in vitro. Asian-Australasian Journal of Animal Sciences Vol. 19(6), pp. 806-810</t>
  </si>
  <si>
    <t xml:space="preserve">Suma R.C., Sheetal G., Jyothi L.A., Prakash J. (2007). Influence of phytin phosphorous and dietary fibre on in vitro iron and calcium bioavailability from rice flakes. International Journal of Food Sciences and Nutrition, 58:8, 637 - 643
</t>
  </si>
  <si>
    <t>M. Riva, D. Fessas, and A. Schiraldi. (2000). Starch Retrogradation in Cooked Pasta and Rice Cereal Chem. 77(4):433–438</t>
  </si>
  <si>
    <t>Mudannayake, D.C., Wimalasiri, K.M.S., Silva, K.F.S.T., Ajlouni, S. Selected Sri lankan food and herbal plants as potential sources of inulin-type fructans. J. National Science Council, Sri Lanka, 2014 (accepted for publication)</t>
  </si>
  <si>
    <t>Muzanila, Y.C., Brennan, J.G., King, R.D. Residual cyanogens, chemical composition and aflatoxins in cassava flour from Tanzanian villages. Food Chemistry 70 (2000) 45-49.</t>
  </si>
  <si>
    <t>F18D1TN11(g)</t>
  </si>
  <si>
    <t>F20D1N11_A_F20D1N13(g)</t>
  </si>
  <si>
    <t>F22D1N11_A_F22D1N13(g)</t>
  </si>
  <si>
    <t>FAPUCN3(g)</t>
  </si>
  <si>
    <t>FAPULCCN3(g)</t>
  </si>
  <si>
    <t>FAPUCN6(g)</t>
  </si>
  <si>
    <t>FAPUCN9(g)</t>
  </si>
  <si>
    <t>F18D1N7_A_F18D1N9(g)</t>
  </si>
  <si>
    <t>PROTPL(g)</t>
  </si>
  <si>
    <t>PROTAN(g)</t>
  </si>
  <si>
    <t>PSACNSI</t>
  </si>
  <si>
    <t>PSACNSI(g)</t>
  </si>
  <si>
    <t>polysaccharides, non-starch, water-insoluble</t>
  </si>
  <si>
    <t>PSACNSS</t>
  </si>
  <si>
    <t>PSACNSS(g)</t>
  </si>
  <si>
    <t>polysaccharides, non-starch, water-soluble</t>
  </si>
  <si>
    <t>0100111</t>
  </si>
  <si>
    <t>0100112</t>
  </si>
  <si>
    <t>0100113</t>
  </si>
  <si>
    <t>0100114</t>
  </si>
  <si>
    <t>0100115</t>
  </si>
  <si>
    <t>0100116</t>
  </si>
  <si>
    <t>0100117</t>
  </si>
  <si>
    <t>0100118</t>
  </si>
  <si>
    <t>0100119</t>
  </si>
  <si>
    <t>0100120</t>
  </si>
  <si>
    <t>0100121</t>
  </si>
  <si>
    <t>0100122</t>
  </si>
  <si>
    <t>0100123</t>
  </si>
  <si>
    <t>0100124</t>
  </si>
  <si>
    <t>0100125</t>
  </si>
  <si>
    <t>0100126</t>
  </si>
  <si>
    <t>0100127</t>
  </si>
  <si>
    <t>0100128</t>
  </si>
  <si>
    <t>0100129</t>
  </si>
  <si>
    <t>0100130</t>
  </si>
  <si>
    <t>0100131</t>
  </si>
  <si>
    <t>0100132</t>
  </si>
  <si>
    <t>0100133</t>
  </si>
  <si>
    <t>0100134</t>
  </si>
  <si>
    <t>0100135</t>
  </si>
  <si>
    <t>0100136</t>
  </si>
  <si>
    <t>0100137</t>
  </si>
  <si>
    <t>0100138</t>
  </si>
  <si>
    <t>0100139</t>
  </si>
  <si>
    <t>0100140</t>
  </si>
  <si>
    <t>0100141</t>
  </si>
  <si>
    <t>0100142</t>
  </si>
  <si>
    <t>0100143</t>
  </si>
  <si>
    <t>0100144</t>
  </si>
  <si>
    <t>0100145</t>
  </si>
  <si>
    <t>0100146</t>
  </si>
  <si>
    <t>0100147</t>
  </si>
  <si>
    <t>0100148</t>
  </si>
  <si>
    <t>0100149</t>
  </si>
  <si>
    <t>0100150</t>
  </si>
  <si>
    <t>0100151</t>
  </si>
  <si>
    <t>0100152</t>
  </si>
  <si>
    <t>0100153</t>
  </si>
  <si>
    <t>0100154</t>
  </si>
  <si>
    <t>0100155</t>
  </si>
  <si>
    <t>0100156</t>
  </si>
  <si>
    <t>0100157</t>
  </si>
  <si>
    <t>0100158</t>
  </si>
  <si>
    <t>0100159</t>
  </si>
  <si>
    <t>0100160</t>
  </si>
  <si>
    <t>0100161</t>
  </si>
  <si>
    <t>0100162</t>
  </si>
  <si>
    <t>0100163</t>
  </si>
  <si>
    <t>0100164</t>
  </si>
  <si>
    <t>0100165</t>
  </si>
  <si>
    <t>0100166</t>
  </si>
  <si>
    <t>0100167</t>
  </si>
  <si>
    <t>0100168</t>
  </si>
  <si>
    <t>0100169</t>
  </si>
  <si>
    <t>0100170</t>
  </si>
  <si>
    <t>0100171</t>
  </si>
  <si>
    <t>0100172</t>
  </si>
  <si>
    <t>0100173</t>
  </si>
  <si>
    <t>0100174</t>
  </si>
  <si>
    <t>0100175</t>
  </si>
  <si>
    <t>0100176</t>
  </si>
  <si>
    <t>0100177</t>
  </si>
  <si>
    <t>0100178</t>
  </si>
  <si>
    <t>0100179</t>
  </si>
  <si>
    <t>0100180</t>
  </si>
  <si>
    <t>0100181</t>
  </si>
  <si>
    <t>0100182</t>
  </si>
  <si>
    <t>0100183</t>
  </si>
  <si>
    <t>0100184</t>
  </si>
  <si>
    <t>0100185</t>
  </si>
  <si>
    <t>0100186</t>
  </si>
  <si>
    <t>0100187</t>
  </si>
  <si>
    <t>0100188</t>
  </si>
  <si>
    <t>0100189</t>
  </si>
  <si>
    <t>0100190</t>
  </si>
  <si>
    <t>0100191</t>
  </si>
  <si>
    <t>0100192</t>
  </si>
  <si>
    <t>0100193</t>
  </si>
  <si>
    <t>0100194</t>
  </si>
  <si>
    <t>0100195</t>
  </si>
  <si>
    <t>0100196</t>
  </si>
  <si>
    <t>0100197</t>
  </si>
  <si>
    <t>0100198</t>
  </si>
  <si>
    <t>0100199</t>
  </si>
  <si>
    <t>0100200</t>
  </si>
  <si>
    <t>0100201</t>
  </si>
  <si>
    <t>0100202</t>
  </si>
  <si>
    <t>0100203</t>
  </si>
  <si>
    <t>0100204</t>
  </si>
  <si>
    <t>0100205</t>
  </si>
  <si>
    <t>0100206</t>
  </si>
  <si>
    <t>0100207</t>
  </si>
  <si>
    <t>0100208</t>
  </si>
  <si>
    <t>0100209</t>
  </si>
  <si>
    <t>0100210</t>
  </si>
  <si>
    <t>0100211</t>
  </si>
  <si>
    <t>0100212</t>
  </si>
  <si>
    <t>0100213</t>
  </si>
  <si>
    <t>0100214</t>
  </si>
  <si>
    <t>0202058</t>
  </si>
  <si>
    <t>0202059</t>
  </si>
  <si>
    <t>0202060</t>
  </si>
  <si>
    <t>0202061</t>
  </si>
  <si>
    <t>0202062</t>
  </si>
  <si>
    <t>0300001</t>
  </si>
  <si>
    <t>0300002</t>
  </si>
  <si>
    <t>0300003</t>
  </si>
  <si>
    <t>0300004</t>
  </si>
  <si>
    <t>0300005</t>
  </si>
  <si>
    <t>0300006</t>
  </si>
  <si>
    <t>0300007</t>
  </si>
  <si>
    <t>0400001</t>
  </si>
  <si>
    <t>0400002</t>
  </si>
  <si>
    <t>0600001</t>
  </si>
  <si>
    <t>0600002</t>
  </si>
  <si>
    <t>0600003</t>
  </si>
  <si>
    <t>0600004</t>
  </si>
  <si>
    <t>0600005</t>
  </si>
  <si>
    <t>0600006</t>
  </si>
  <si>
    <t>0600007</t>
  </si>
  <si>
    <t>0600008</t>
  </si>
  <si>
    <t>0600009</t>
  </si>
  <si>
    <t>0600010</t>
  </si>
  <si>
    <t>0600011</t>
  </si>
  <si>
    <t>0700001</t>
  </si>
  <si>
    <t>0700002</t>
  </si>
  <si>
    <t>0800001</t>
  </si>
  <si>
    <t>1200001</t>
  </si>
  <si>
    <t>1200002</t>
  </si>
  <si>
    <t>1200003</t>
  </si>
  <si>
    <t>1200004</t>
  </si>
  <si>
    <t>1200005</t>
  </si>
  <si>
    <t>1200006</t>
  </si>
  <si>
    <t>PHENAC_CAE(mg)</t>
  </si>
  <si>
    <t xml:space="preserve">CRYPXA(mcg) </t>
  </si>
  <si>
    <t>VITK2(mcg)</t>
  </si>
  <si>
    <t>HEMATIN(mg)</t>
  </si>
  <si>
    <t>PROTCNT</t>
  </si>
  <si>
    <t>PROTCNP</t>
  </si>
  <si>
    <t>VITK1(mcg)</t>
  </si>
  <si>
    <t>pH, hydrogen ion concentration</t>
  </si>
  <si>
    <t>CELLU</t>
  </si>
  <si>
    <t>CHOCALOH</t>
  </si>
  <si>
    <t>F18D1N6</t>
  </si>
  <si>
    <t>F20D1CN11</t>
  </si>
  <si>
    <t>FIBAD</t>
  </si>
  <si>
    <t xml:space="preserve">Includes cellulose, lignin, and some hemicelluloses. </t>
  </si>
  <si>
    <t>FIBINS</t>
  </si>
  <si>
    <t xml:space="preserve">Mixture of insoluble components from the AOAC total dietary fibre method; includes lignin, cellulose, and most of the hemicellulose. </t>
  </si>
  <si>
    <t>FIBSOL</t>
  </si>
  <si>
    <t xml:space="preserve">Mixture of soluble components from the AOAC total dietary fibre method; includes algal polysaccharides, gums, pectins, and mucilages. </t>
  </si>
  <si>
    <t>FIBND</t>
  </si>
  <si>
    <t>Includes lignin, cellulose, and insoluble hemicellulose</t>
  </si>
  <si>
    <t>FLAVD</t>
  </si>
  <si>
    <t>LIGN</t>
  </si>
  <si>
    <t>Fibre fractions</t>
  </si>
  <si>
    <t>PYRXNHCL</t>
  </si>
  <si>
    <t>SB</t>
  </si>
  <si>
    <t>Includes both elemental and ionic forms.</t>
  </si>
  <si>
    <t>STARCH</t>
  </si>
  <si>
    <t>starch, total</t>
  </si>
  <si>
    <t>STARCH-</t>
  </si>
  <si>
    <t>The sum of all polysaccharides yielding glucose after hydrolysis with suitable enzymes; includes amylose, amylopectin, glycogen, and dextrins. The expression is unknown if by weight or in monosaccharide equivalent</t>
  </si>
  <si>
    <t>The sum of all polysaccharides yielding glucose after hydrolysis with suitable enzymes; includes amylose, amylopectin, glycogen, and dextrins. There are uncertanties if it should include or exclude resistant starch and modified starch.</t>
  </si>
  <si>
    <t>STARES</t>
  </si>
  <si>
    <t>Retrograded starch</t>
  </si>
  <si>
    <t>SUGAR-</t>
  </si>
  <si>
    <t>SUGNRD</t>
  </si>
  <si>
    <t>SUGRD</t>
  </si>
  <si>
    <t>Sugars, total, expression unknown</t>
  </si>
  <si>
    <t>Sugars, non-reducing</t>
  </si>
  <si>
    <t>Sugars, reducing</t>
  </si>
  <si>
    <t>Sum of free monosaccharides and disaccharides. The expression is unknown if by weight or in monosaccharide equivalent</t>
  </si>
  <si>
    <t>Other nitrogen containing components</t>
  </si>
  <si>
    <t>CYAN</t>
  </si>
  <si>
    <t>FAPUCN6</t>
  </si>
  <si>
    <t>FAPUCN9</t>
  </si>
  <si>
    <t>FAPUCN3</t>
  </si>
  <si>
    <t>FAPULCCN3</t>
  </si>
  <si>
    <t>Philippines, Manila</t>
  </si>
  <si>
    <t>Rice, brown, raw</t>
  </si>
  <si>
    <t>Indonesia, Ujung Pandang, South Sulawesi</t>
  </si>
  <si>
    <t>Philippines, Los Baῆos, Laguna</t>
  </si>
  <si>
    <t>Dry season 1989: IR 65, IR 24, IR 64, IR 8, IR 30 and IR 36. Wet season 1989: IR 72</t>
  </si>
  <si>
    <t>The author confirmed the mineral values in % could be converted to mg/100g</t>
  </si>
  <si>
    <t>r047</t>
  </si>
  <si>
    <t>Table 2 not entered because on dry matter basis and no water content given</t>
  </si>
  <si>
    <t>r055</t>
  </si>
  <si>
    <t>Composite sample of the varieties IR 65, IR 24, IR 64, IR 8, IR 30, IR 36 and IR 72</t>
  </si>
  <si>
    <t xml:space="preserve">Composite sample of varieties Gati, Gemar, IR32, IR44. Sulphur deficient soil without Sulfur amelioration </t>
  </si>
  <si>
    <t xml:space="preserve">Composite sample of varieties Gati, Gemar, IR32, IR44. Sulphur deficient soil with Sulfur amelioration </t>
  </si>
  <si>
    <t xml:space="preserve">Composite samples of varieties Barito, Cisdane, IR30, IR36, IR54, IR9729-67-3 and IR13420-32-4. Sulphur deficient soil without Sulfur amelioration </t>
  </si>
  <si>
    <t>Composite samples of varieties Barito, Cisdane, IR30, IR36, IR54, IR9729-67-3 and IR13420-32-4. Sulphur deficient soil +50kg/ha Sulfur</t>
  </si>
  <si>
    <t>Composite sample of varieties IR42, IR54, IR56, IR60, IR64 and Syntha. Sulphur deficient soil, 1ppm Sulfur amelioration</t>
  </si>
  <si>
    <t>Composite sample of varieties IR42, IR54, IR56, IR60, IR64 and Syntha. Sulphur deficient soil, 10ppm Sulfur amelioration</t>
  </si>
  <si>
    <t>Brazil, States of Rio Grande do Sul and Santa Catarina</t>
  </si>
  <si>
    <t>steamed for 60 minutes</t>
  </si>
  <si>
    <t>Rice, Glutinous, white, raw</t>
  </si>
  <si>
    <t>Rice, bran, laboratory defatted, raw</t>
  </si>
  <si>
    <t>Rice, bran, commercial defatted, raw</t>
  </si>
  <si>
    <t>Polished</t>
  </si>
  <si>
    <t>Rice, long grain, white, ecological Jasmine, raw</t>
  </si>
  <si>
    <t>Rice, short grain, white, instant flakes</t>
  </si>
  <si>
    <t>Rice, short grain, white, ecological, raw</t>
  </si>
  <si>
    <t>Salem Samba</t>
  </si>
  <si>
    <t>Lot A</t>
  </si>
  <si>
    <t>Lot B</t>
  </si>
  <si>
    <t>Lot C</t>
  </si>
  <si>
    <t>Rice, bran, untreated, raw</t>
  </si>
  <si>
    <t>Rice, long grain, milled, parboiled</t>
  </si>
  <si>
    <t>Rice, long grain, milled, raw</t>
  </si>
  <si>
    <t>Rice, long grain, brown, cooked</t>
  </si>
  <si>
    <t>Rice, long grain, white, cooked</t>
  </si>
  <si>
    <t>Rice, bran, steamed</t>
  </si>
  <si>
    <t>Rice, bran, steamed for 60 minutes, fermented</t>
  </si>
  <si>
    <t>Rice, Jasmine, white, raw</t>
  </si>
  <si>
    <t>Rice, Jasmine, brown, raw</t>
  </si>
  <si>
    <t>Rice, Glutinous, black, raw</t>
  </si>
  <si>
    <t>Rice, long grain, white, Asian, raw</t>
  </si>
  <si>
    <t>Rice, long grain, white, Basmati, raw</t>
  </si>
  <si>
    <t>Rice, long grain, white, Jasmine, raw</t>
  </si>
  <si>
    <t>Soil without fly ash, dried for 48h on open drying, dehusked, polished at 10% polishing</t>
  </si>
  <si>
    <t>Soil with fly ash, dried for 48h on open drying, dehusked, polished at 10% polishing</t>
  </si>
  <si>
    <t>Rice, Asian Indian variety, milled, organic, raw</t>
  </si>
  <si>
    <t>Rice bran, Asian Indian variety, organic, raw</t>
  </si>
  <si>
    <t>Rice, bran, treated with Candida utilis strain IFO1086, raw</t>
  </si>
  <si>
    <t>Rice, bran, treated with Candida utilis strain IFO0626, raw</t>
  </si>
  <si>
    <t>Juliano B.O., Ibabao M.G.B., Perez C.M., Clark R.B., Maranville J.W., Mamaril C.P., Choudhury N.H., Momuat C.J.S., Corpuz I.T. (1987) Effect of soil sulfur deficiency on sulfur amino acids and elements in brown rice. Cereal Chemistry 64(1), 27-30</t>
  </si>
  <si>
    <t xml:space="preserve">Villareal C.P.,Maranville J.W., Juliano B.O. (1991). Nutrient Content and Retention During Milling of Brown Rices from the International Rice Research Institute. Cereal Chemistry Vol. 68(4), pp. 437-439
</t>
  </si>
  <si>
    <t>FG</t>
  </si>
  <si>
    <t>Fernanda Grande</t>
  </si>
  <si>
    <t>MF</t>
  </si>
  <si>
    <t>RdV</t>
  </si>
  <si>
    <t>SD</t>
  </si>
  <si>
    <t>Morgane Fialon</t>
  </si>
  <si>
    <t>Sergio Dahdouh</t>
  </si>
  <si>
    <t xml:space="preserve">Raíssa do Vale Cardoso Lopes </t>
  </si>
  <si>
    <t>PHYTCPPI(mg)</t>
  </si>
  <si>
    <t>PHYTCPPD(mg)</t>
  </si>
  <si>
    <t>PHYTCPP(mg)</t>
  </si>
  <si>
    <t>PHYTC-(mg)</t>
  </si>
  <si>
    <t>PPI(mg)</t>
  </si>
  <si>
    <t>PPD(mg)</t>
  </si>
  <si>
    <t>PP-(mg)</t>
  </si>
  <si>
    <t>XP</t>
  </si>
  <si>
    <t>IP3(mg)</t>
  </si>
  <si>
    <t>IP4(mg)</t>
  </si>
  <si>
    <t>IP5(mg)</t>
  </si>
  <si>
    <t>IP6(mg)</t>
  </si>
  <si>
    <t>IP5_A_IP6 (mg)</t>
  </si>
  <si>
    <t>IP4_A_IP5_A_IP6(mg)</t>
  </si>
  <si>
    <t>IPSUM (mg)</t>
  </si>
  <si>
    <t>PHYT-</t>
  </si>
  <si>
    <t>phytic acid, determined by indirect preciptation</t>
  </si>
  <si>
    <t>phytic acid, determined by direct preciptation</t>
  </si>
  <si>
    <t>phytic acid, calc. from phytate phosphorus, anion exchange method</t>
  </si>
  <si>
    <t>phytic acid, calc. from phytate phosphorus, method unk.</t>
  </si>
  <si>
    <t>phytate phosphorus, determined by indirect preciptation</t>
  </si>
  <si>
    <t>phytate phosphorus, determined by direct preciptation</t>
  </si>
  <si>
    <t>phytate phosphorus, method unk.</t>
  </si>
  <si>
    <t>convertion factor for phytate phosphorus</t>
  </si>
  <si>
    <t>inositol triphosphate</t>
  </si>
  <si>
    <t>inositol tetraphosphate</t>
  </si>
  <si>
    <t>inositol pentaphosphate</t>
  </si>
  <si>
    <t>inositol hexaphosphate</t>
  </si>
  <si>
    <t>inositol penta+hexaphosphate</t>
  </si>
  <si>
    <t>inositol tetra+penta+hexaphosphate</t>
  </si>
  <si>
    <t>total inositol phosphates (sum of all fractions)</t>
  </si>
  <si>
    <t>phytic acid, unk. or variable</t>
  </si>
  <si>
    <t>tagname for phytate was updated on version 2.0</t>
  </si>
  <si>
    <t>STARCH-(estimated by degradation of starch to glucose with amyloglucosidase followed by determination of glucose (Batey and Ryde 1982, Raghuramulu et al. 2003)). Soluble and insoluble dietary fiber were measured on the basis of separation of non starch polysaccharide by enzymatic and gravimetric methods; data are described on DM basis according to the author - converted to FW; tagname for phytate was updated on version 2.0</t>
  </si>
  <si>
    <t>4.0</t>
  </si>
  <si>
    <t>List of components AnFooD2.0</t>
  </si>
  <si>
    <t>PROTA(g)</t>
  </si>
  <si>
    <t>CHOAVLO(g)</t>
  </si>
  <si>
    <t>CHOAVL-(g)</t>
  </si>
  <si>
    <t>STARCHAVLDF(g)</t>
  </si>
  <si>
    <t>STARES3 (g)</t>
  </si>
  <si>
    <t>FRUOLSAC(g)</t>
  </si>
  <si>
    <t>OLSAC (g)</t>
  </si>
  <si>
    <t>FIBTGLCS(g)</t>
  </si>
  <si>
    <t>FIBGLCSINS(g)</t>
  </si>
  <si>
    <t>FIBGLCSSOL(g)</t>
  </si>
  <si>
    <t>FIBPEN(g)</t>
  </si>
  <si>
    <t>GLUFB(g)</t>
  </si>
  <si>
    <t>GALFB(g)</t>
  </si>
  <si>
    <t>GLUCNB(g)</t>
  </si>
  <si>
    <t>INULN(g)</t>
  </si>
  <si>
    <t>FRUSM(g)</t>
  </si>
  <si>
    <t>GLUSM(g)</t>
  </si>
  <si>
    <t>STAS(g)</t>
  </si>
  <si>
    <t>VERS(g)</t>
  </si>
  <si>
    <t>SUCSM(g)</t>
  </si>
  <si>
    <t>GALSD(g)</t>
  </si>
  <si>
    <t>ARAS(g)</t>
  </si>
  <si>
    <t>GALSM(g)</t>
  </si>
  <si>
    <t>FUCOS(g)</t>
  </si>
  <si>
    <t>MANS(g)</t>
  </si>
  <si>
    <t>RHAS(g)</t>
  </si>
  <si>
    <t>MALSM(g)</t>
  </si>
  <si>
    <t>LACSM(g)</t>
  </si>
  <si>
    <t>ID(mg)</t>
  </si>
  <si>
    <t>Al(mcg)</t>
  </si>
  <si>
    <t>PYRXN (mg)</t>
  </si>
  <si>
    <t xml:space="preserve">ASCL(mg) </t>
  </si>
  <si>
    <t>FOLDFE(mcg)</t>
  </si>
  <si>
    <t>FOLACN(mcg)</t>
  </si>
  <si>
    <t>FOLH2FM10(mcg)</t>
  </si>
  <si>
    <t>FOLFM10(mcg)</t>
  </si>
  <si>
    <t>FOLH4(mcg)</t>
  </si>
  <si>
    <t>FOLH4ME5(mcg)</t>
  </si>
  <si>
    <t>FOLH4MTN5(mcg)</t>
  </si>
  <si>
    <t>FOLH4FM5(mcg)</t>
  </si>
  <si>
    <t>RETOLEQ(mcg)</t>
  </si>
  <si>
    <t>LUTN_A_ZEA(mcg)</t>
  </si>
  <si>
    <t>TOCPHB_A_TOCPHG(mg)</t>
  </si>
  <si>
    <t>TOCTRB(mg)</t>
  </si>
  <si>
    <t>TOCTRG(mg)</t>
  </si>
  <si>
    <t>STERT(g)</t>
  </si>
  <si>
    <t>FAESS(g)</t>
  </si>
  <si>
    <t>FAN9(g)</t>
  </si>
  <si>
    <t>F26D0(g)</t>
  </si>
  <si>
    <t>F14D1C(g)</t>
  </si>
  <si>
    <t>F14D1T(g)</t>
  </si>
  <si>
    <t>F15D1C(g)</t>
  </si>
  <si>
    <t>F16D1T(g)</t>
  </si>
  <si>
    <t>F16D1CN9(g)</t>
  </si>
  <si>
    <t>F17D1C(g)</t>
  </si>
  <si>
    <t>F18D1C(g)</t>
  </si>
  <si>
    <t>F20D1C(g)</t>
  </si>
  <si>
    <t>D22D1N7(g)</t>
  </si>
  <si>
    <t>F22D1C(g)</t>
  </si>
  <si>
    <t>F24D1C(g)</t>
  </si>
  <si>
    <t>F20D2CN6(g)</t>
  </si>
  <si>
    <t>FAR(g)</t>
  </si>
  <si>
    <t>OXALAC (mg)</t>
  </si>
  <si>
    <t>AA (per g nitrogen)</t>
  </si>
  <si>
    <t>AA (per % FACID)</t>
  </si>
  <si>
    <t>CYS_A_MET(mg)</t>
  </si>
  <si>
    <t>dry matter</t>
  </si>
  <si>
    <t>nitrogen, tot.</t>
  </si>
  <si>
    <t>protein nitrogen</t>
  </si>
  <si>
    <t>protein, total; determined by direct analysis</t>
  </si>
  <si>
    <t>protein, tot., calc. from prot. N</t>
  </si>
  <si>
    <t>CHO avl incl. oligo</t>
  </si>
  <si>
    <t>CHO avl. Weight</t>
  </si>
  <si>
    <t>CHO avl. monosacch. eq.</t>
  </si>
  <si>
    <t>carbohydrate, available; method unknown or variable</t>
  </si>
  <si>
    <t>starch, total; monosacch. eq</t>
  </si>
  <si>
    <t>starch, avl. diff.</t>
  </si>
  <si>
    <t>starch, total; expression unknown</t>
  </si>
  <si>
    <t xml:space="preserve">starch, resistant
</t>
  </si>
  <si>
    <t>NSP, waterinsol.</t>
  </si>
  <si>
    <t>NSP, watersol.</t>
  </si>
  <si>
    <t>sugars, tot.</t>
  </si>
  <si>
    <t>sugars, tot. monosacch. Eq</t>
  </si>
  <si>
    <t>sugars, non-red.</t>
  </si>
  <si>
    <t>fructooligosacch.</t>
  </si>
  <si>
    <t>oligosacch., tot avl</t>
  </si>
  <si>
    <t>fibre, total, insoluble and soluble dietary; determined by enzymatic- gravimetric method and liquid chromatography (AOAC 2011.25)</t>
  </si>
  <si>
    <t>fibre, water-insoluble (AOAC 2011.25)</t>
  </si>
  <si>
    <t>fibre, water-soluble (AOAC 2011.25)</t>
  </si>
  <si>
    <t>pentoses in FIB</t>
  </si>
  <si>
    <t>glucose in FIB</t>
  </si>
  <si>
    <t>galactose in FIB</t>
  </si>
  <si>
    <t>betaglucan</t>
  </si>
  <si>
    <t>inulin</t>
  </si>
  <si>
    <t>fructose; monosacch. eq</t>
  </si>
  <si>
    <t>glucose; monosacch. eq</t>
  </si>
  <si>
    <t>raffinose</t>
  </si>
  <si>
    <t>stachyose</t>
  </si>
  <si>
    <t>verbascose</t>
  </si>
  <si>
    <t>sucrose; monosacch. eq</t>
  </si>
  <si>
    <t>alpha galactosides</t>
  </si>
  <si>
    <t>Arabinose</t>
  </si>
  <si>
    <t>galactose; monosacch. eq</t>
  </si>
  <si>
    <t>Fucose</t>
  </si>
  <si>
    <t>mannose</t>
  </si>
  <si>
    <t>rhamnose</t>
  </si>
  <si>
    <t>maltose; monosacch. eq</t>
  </si>
  <si>
    <t>lactose; monosacch. eq</t>
  </si>
  <si>
    <t>chloride</t>
  </si>
  <si>
    <t>aluminium</t>
  </si>
  <si>
    <t>sulfur</t>
  </si>
  <si>
    <t>biotin</t>
  </si>
  <si>
    <t>vit B1 analysed and expressed as thiamin hydrochloride</t>
  </si>
  <si>
    <t>niacin eq from tryptophan</t>
  </si>
  <si>
    <t>niacin eq</t>
  </si>
  <si>
    <t>Vit B5</t>
  </si>
  <si>
    <t>vit B6; total, determined and expressed as pyridoxine</t>
  </si>
  <si>
    <t>vitamin B6; calc.</t>
  </si>
  <si>
    <t>vitamin B6 unk.</t>
  </si>
  <si>
    <t>Vit B12</t>
  </si>
  <si>
    <t>L‐ascorbic acid</t>
  </si>
  <si>
    <t>Vit C unk.</t>
  </si>
  <si>
    <t>folate, tot.</t>
  </si>
  <si>
    <t>folate, free</t>
  </si>
  <si>
    <t>folate unk.</t>
  </si>
  <si>
    <t>folate, sum vitamers</t>
  </si>
  <si>
    <t>Folate, DFE</t>
  </si>
  <si>
    <t>folic acid (synthetic)</t>
  </si>
  <si>
    <t>food folates, microbiological assay</t>
  </si>
  <si>
    <t>Folic acid natural (mcg)</t>
  </si>
  <si>
    <t>10-formyldihydrofolate</t>
  </si>
  <si>
    <t>10- formylfolic acid</t>
  </si>
  <si>
    <t>tetrahydrofolate</t>
  </si>
  <si>
    <t>5-Methyltetrahydrofolate</t>
  </si>
  <si>
    <t>5,10 methenyltetrahyrofolate(mcg)</t>
  </si>
  <si>
    <t>5-Formyltetrahydrofolate</t>
  </si>
  <si>
    <t>Vit. A RE</t>
  </si>
  <si>
    <t>Vit. A RAE</t>
  </si>
  <si>
    <t>all-trans retinol equivalent</t>
  </si>
  <si>
    <t>b-carot. eq.</t>
  </si>
  <si>
    <t>a-carot., all-trans</t>
  </si>
  <si>
    <t>b-carot., all-trans</t>
  </si>
  <si>
    <t>all-trans beta-cryptoxanthin</t>
  </si>
  <si>
    <t>lutein+Zeaxanthin</t>
  </si>
  <si>
    <t>neoxanthin</t>
  </si>
  <si>
    <t>carotenoids, tot.</t>
  </si>
  <si>
    <t>Vit D+2D3</t>
  </si>
  <si>
    <t>Vit D2 + Vit D3 + 5 x 25 hydroxyD2</t>
  </si>
  <si>
    <t>Vit D2</t>
  </si>
  <si>
    <t>Vit E a-tocoph. eq.</t>
  </si>
  <si>
    <t>Vit E unk.</t>
  </si>
  <si>
    <t>a-tocopherol</t>
  </si>
  <si>
    <t>b-tocopherol</t>
  </si>
  <si>
    <t>d-tocopherol</t>
  </si>
  <si>
    <t>g-tocopherol</t>
  </si>
  <si>
    <t>b-tocopherol+g-tocopherol</t>
  </si>
  <si>
    <t>a-tocotrienol</t>
  </si>
  <si>
    <t>b-tocotrienol</t>
  </si>
  <si>
    <t>d-tocotrienol</t>
  </si>
  <si>
    <t>g-tocotrienol</t>
  </si>
  <si>
    <t>vita K-1</t>
  </si>
  <si>
    <t>sterols, tot.</t>
  </si>
  <si>
    <t>FA, total</t>
  </si>
  <si>
    <t xml:space="preserve">Triglyceride </t>
  </si>
  <si>
    <t xml:space="preserve">cholesterol; enzym. or chromatograph. </t>
  </si>
  <si>
    <t>fatty acids, total trans</t>
  </si>
  <si>
    <t>fatty acids, total essential</t>
  </si>
  <si>
    <t>FA, n-3</t>
  </si>
  <si>
    <t>FA, n-6</t>
  </si>
  <si>
    <t>FA, n-9</t>
  </si>
  <si>
    <t>FAPU, n-3</t>
  </si>
  <si>
    <t>FAPU, n-6</t>
  </si>
  <si>
    <t>fatty acid 4:0</t>
  </si>
  <si>
    <t>fatty acid 11:0</t>
  </si>
  <si>
    <t>fatty acid 26:0</t>
  </si>
  <si>
    <t>FA 14:1 cis</t>
  </si>
  <si>
    <t>FA 14:1 trans</t>
  </si>
  <si>
    <t>FA 15:1 cis</t>
  </si>
  <si>
    <t>FA 16: 1</t>
  </si>
  <si>
    <t>FA trans 16:1</t>
  </si>
  <si>
    <t>FA 16:1 n-9 cis</t>
  </si>
  <si>
    <t>FA 16:1 cis</t>
  </si>
  <si>
    <t>FA 16:1 n-7</t>
  </si>
  <si>
    <t>FA 17:1</t>
  </si>
  <si>
    <t>FA 17:1 cis</t>
  </si>
  <si>
    <t>FA 18:1</t>
  </si>
  <si>
    <t>FA 18:1 n-7</t>
  </si>
  <si>
    <t>FA 18:1 n-9</t>
  </si>
  <si>
    <t>FA 18:1 cis n-9</t>
  </si>
  <si>
    <t>FA 18:1 trans n-9</t>
  </si>
  <si>
    <t>FA trans 18:1</t>
  </si>
  <si>
    <t>FA 18:1 cis n-11</t>
  </si>
  <si>
    <t>FA 20:1</t>
  </si>
  <si>
    <t>FA 20:1 n-7</t>
  </si>
  <si>
    <t>FA 20:1 n-9</t>
  </si>
  <si>
    <t>FA 20:1 n-11</t>
  </si>
  <si>
    <t>FA 20:1 cis n-9</t>
  </si>
  <si>
    <t>FA 20:1 cis</t>
  </si>
  <si>
    <t>FA 22:1</t>
  </si>
  <si>
    <t>FA 22:1 n-9</t>
  </si>
  <si>
    <t>FA 22:1 n-7</t>
  </si>
  <si>
    <t>FA 22:1 cis</t>
  </si>
  <si>
    <t>FA 24:1 n-9</t>
  </si>
  <si>
    <t>FA 24:1</t>
  </si>
  <si>
    <t>FA cis 24:1</t>
  </si>
  <si>
    <t>Hexadecadienic C16:2n-4</t>
  </si>
  <si>
    <t>FA 18:2</t>
  </si>
  <si>
    <t>FA 18:2 conjugated cis, trans</t>
  </si>
  <si>
    <t>FA 18:2 trans, trans n-6</t>
  </si>
  <si>
    <t>FA 18:2 trans</t>
  </si>
  <si>
    <t>FA 18:2, n-6</t>
  </si>
  <si>
    <t>FA 18:2 cis n-6</t>
  </si>
  <si>
    <t>FA 18:2 trans n-6</t>
  </si>
  <si>
    <t>FA 20:2</t>
  </si>
  <si>
    <t>FA 20:2 n-6</t>
  </si>
  <si>
    <t>FA 22:2 n-6</t>
  </si>
  <si>
    <t>FA cis, cis 20:2 n-6</t>
  </si>
  <si>
    <t>FA 22:2</t>
  </si>
  <si>
    <t>FA 18:3</t>
  </si>
  <si>
    <t>FA 18:3 n-3</t>
  </si>
  <si>
    <t>FA 18:3 n-6</t>
  </si>
  <si>
    <t>FA cis, cis, cis 18:3 n-3; FA 18:3 9-12-15-c</t>
  </si>
  <si>
    <t>FA 20:3 n-3</t>
  </si>
  <si>
    <t>FA 20:3 n-6</t>
  </si>
  <si>
    <t>FA 18:4 n-3</t>
  </si>
  <si>
    <t>FA 20:4 n-6</t>
  </si>
  <si>
    <t>FA 22:4 n-6</t>
  </si>
  <si>
    <t>FA 20:5 cis n-3</t>
  </si>
  <si>
    <t>fatty acid 21:5 n-3</t>
  </si>
  <si>
    <t>FA 22:5 n-3</t>
  </si>
  <si>
    <t>FA 22:6 n-3</t>
  </si>
  <si>
    <t>FA, remainder</t>
  </si>
  <si>
    <t xml:space="preserve">amino acids </t>
  </si>
  <si>
    <t>amino acids</t>
  </si>
  <si>
    <t>phenylalanine+tyrosine</t>
  </si>
  <si>
    <t>cystine + methionine</t>
  </si>
  <si>
    <t xml:space="preserve">Amino acids, total, unknown </t>
  </si>
  <si>
    <t>0300008</t>
  </si>
  <si>
    <t>Italy, Foggia (Bari)</t>
  </si>
  <si>
    <t>Horse bean, seeds, raw</t>
  </si>
  <si>
    <t>Vicia faba L. minor</t>
  </si>
  <si>
    <t>2002-2003</t>
  </si>
  <si>
    <t>Horse bean seed samples were oven-dried at 55°C to a constant weight; DM refers to residual dry matter; proximate values originally expressed on g kg-1 DM basis (converted in g/100g EP)</t>
  </si>
  <si>
    <t>pu003</t>
  </si>
  <si>
    <t>2.0</t>
  </si>
  <si>
    <t>0300009</t>
  </si>
  <si>
    <t>2004-2005</t>
  </si>
  <si>
    <t>0300010</t>
  </si>
  <si>
    <t>Horse bean, seeds, conventional tillage, raw</t>
  </si>
  <si>
    <t>2002-2005</t>
  </si>
  <si>
    <t>0300011</t>
  </si>
  <si>
    <t>Horse bean, seeds, two-layer tillage, raw</t>
  </si>
  <si>
    <t>0300012</t>
  </si>
  <si>
    <t>Horse bean, seeds, surface tillage, raw</t>
  </si>
  <si>
    <t>0300013</t>
  </si>
  <si>
    <t>Horse bean, seeds, minimum tillage, raw</t>
  </si>
  <si>
    <t>0300014</t>
  </si>
  <si>
    <t>Horse bean, seeds, without nitrogen fertilizarion, raw</t>
  </si>
  <si>
    <t>0300015</t>
  </si>
  <si>
    <t>Horse bean, seeds, nitrogen fertilization (50 kg ha-1), raw</t>
  </si>
  <si>
    <t>0300016</t>
  </si>
  <si>
    <t>Horse bean, seeds, nitrogen fertilization (100 kg ha-1), raw</t>
  </si>
  <si>
    <t>0300017</t>
  </si>
  <si>
    <t>India, Tamil Nadu, Western Ghats, Coimbatore district, Siruvani reserve forest</t>
  </si>
  <si>
    <t>Vigna trilobata, seeds, mature, sun-dried, raw</t>
  </si>
  <si>
    <t>d/r</t>
  </si>
  <si>
    <t>Vigna trilobata (L.) Verdec</t>
  </si>
  <si>
    <t>Data expressed per DM - conversion to FW; total dietary fiber was estimated by Li and Cardozo, 1994 (non-enzymatic-gravimetric); fatty acids converted from %FA to g/ 100 g EP using the XFA=0.775 (USDA Handbook, 1988); aminoacids converted from g/100 g of protein to mg/ 100 g EP</t>
  </si>
  <si>
    <t>pu035</t>
  </si>
  <si>
    <t>0300018</t>
  </si>
  <si>
    <t>India, Tamil Nadu, Western Ghats, Seithur reserve forest</t>
  </si>
  <si>
    <t>Vigna bourneae, seeds, mature, sun-dried, raw</t>
  </si>
  <si>
    <t>Vigna bourneae</t>
  </si>
  <si>
    <t>0300019</t>
  </si>
  <si>
    <t>India, Karnataka, Uttarkannada, Kargal</t>
  </si>
  <si>
    <t>Cassia floribunda Cav., seeds, sun-dried, raw</t>
  </si>
  <si>
    <t>Cassia floribunda Cav.</t>
  </si>
  <si>
    <t>seeds were sun-dried for 2-3 days</t>
  </si>
  <si>
    <t>1; 2 (tannins and dopamin)</t>
  </si>
  <si>
    <t>Values converted from DW to FW; aminoacids were converted from g/100 g protein to mg/100 g EP</t>
  </si>
  <si>
    <t>pu041</t>
  </si>
  <si>
    <t>0300020</t>
  </si>
  <si>
    <t>India, Tamil Nadu, Coimbatore, Top Slip</t>
  </si>
  <si>
    <t>Cassia obtusifolia (L.), seeds, sun-dried, raw</t>
  </si>
  <si>
    <t>Cassia obtusifolia (L.)</t>
  </si>
  <si>
    <t>0300021</t>
  </si>
  <si>
    <t>Nigeria, Abia State</t>
  </si>
  <si>
    <t>Afzelia africana, seeds, raw</t>
  </si>
  <si>
    <t>Afzelia africana</t>
  </si>
  <si>
    <t>FW was assumed since the sum of proximates (including water) = 100; mineral data were not compiled because it os not clear if it is expressed in FW or DW</t>
  </si>
  <si>
    <t>pu046</t>
  </si>
  <si>
    <t>0300022</t>
  </si>
  <si>
    <t>Pentaclethra macrophylla, seeds, raw</t>
  </si>
  <si>
    <t>Pentaclethra macrophylla</t>
  </si>
  <si>
    <t>0300023</t>
  </si>
  <si>
    <t>Nigeria, Enugu State</t>
  </si>
  <si>
    <t>0300024</t>
  </si>
  <si>
    <t>0300025</t>
  </si>
  <si>
    <t>India, Tamil Nadu, Coimbatore</t>
  </si>
  <si>
    <t>Canavalia virosa, seeds, mature, dried, raw</t>
  </si>
  <si>
    <t>Canavalia virosa</t>
  </si>
  <si>
    <t>Values expressed on DW converted to FW; proximates were analyzed according to AOAC 1980; aminoacids were not compiled because they are expressed as g/ 16 g N but the XN was not given; fatty acids converted from %FA to g/ 100 g EP using the XFA=0.775 (USDA Handbook, 1988)</t>
  </si>
  <si>
    <t>pu048</t>
  </si>
  <si>
    <t>0300026</t>
  </si>
  <si>
    <t>fríjol petaco; vida</t>
  </si>
  <si>
    <t>Petaco bean, seeds, raw</t>
  </si>
  <si>
    <t>Phaseolus coccineus</t>
  </si>
  <si>
    <t>pu065</t>
  </si>
  <si>
    <t>0300027</t>
  </si>
  <si>
    <t>India, Hisar</t>
  </si>
  <si>
    <t>Moth bean, seeds, raw</t>
  </si>
  <si>
    <t>Phaseolus aconitifolius 
Jacq.</t>
  </si>
  <si>
    <t>pu066</t>
  </si>
  <si>
    <t>0300028</t>
  </si>
  <si>
    <t>Australia</t>
  </si>
  <si>
    <t>Australian sweet lupin, raw</t>
  </si>
  <si>
    <t>Lupinus spp.</t>
  </si>
  <si>
    <t>pu057</t>
  </si>
  <si>
    <t>0300029</t>
  </si>
  <si>
    <t>Faba beans, raw</t>
  </si>
  <si>
    <t>Vicia faba</t>
  </si>
  <si>
    <t>0300030</t>
  </si>
  <si>
    <t>Lentil, French, raw</t>
  </si>
  <si>
    <t>Lens culinaris</t>
  </si>
  <si>
    <t>0300032</t>
  </si>
  <si>
    <t>Chickpea, water-soaked, drained, cooked without salt, drained</t>
  </si>
  <si>
    <t>Soaking in de-ionized water at a ratio of 1:4 (seed to water) for 16 hours at room temperature; boiled for 22.7 min.</t>
  </si>
  <si>
    <t>pu068</t>
  </si>
  <si>
    <t>0300033</t>
  </si>
  <si>
    <t>black akidi</t>
  </si>
  <si>
    <t>Asparagus bean, raw</t>
  </si>
  <si>
    <t>Vigna sesquipedalis</t>
  </si>
  <si>
    <t>The author provided moisture, CHO, and ash contents via email, The carbohydrate content was determined by the nitrogen free extractive (NFE) method</t>
  </si>
  <si>
    <t>pu081</t>
  </si>
  <si>
    <t>0300034</t>
  </si>
  <si>
    <t>Asparagus bean, boiled for 10 minutes, sun-dried</t>
  </si>
  <si>
    <t>p/d</t>
  </si>
  <si>
    <t>boiled at 100°C for 10 min</t>
  </si>
  <si>
    <t>The author confirmed the values are on dry basis, the author provided moisture, CHO, and ash contents via email, The carbohydrate content was determined by the nitrogen free extractive (NFE) method</t>
  </si>
  <si>
    <t>0300035</t>
  </si>
  <si>
    <t>Asparagus bean, boiled for 20 minutes, sun-dried</t>
  </si>
  <si>
    <t>boiled at 100°C for 20 min</t>
  </si>
  <si>
    <t>0300036</t>
  </si>
  <si>
    <t>Asparagus bean, boiled for 30 minutes, sun-dried</t>
  </si>
  <si>
    <t>boiled at 100°C for 30 min</t>
  </si>
  <si>
    <t>0300037</t>
  </si>
  <si>
    <t>Asparagus bean, boiled for 40 minutes, sun-dried</t>
  </si>
  <si>
    <t>boiled at 100°C for 40 min</t>
  </si>
  <si>
    <t>0300038</t>
  </si>
  <si>
    <t>Asparagus bean, roasted for 5 minutes</t>
  </si>
  <si>
    <t>roasted at 160°C for 5 min</t>
  </si>
  <si>
    <t>0300039</t>
  </si>
  <si>
    <t>Asparagus bean, roasted for 10 minutes</t>
  </si>
  <si>
    <t>roasted at 160°C for 10 min</t>
  </si>
  <si>
    <t>0300040</t>
  </si>
  <si>
    <t>Asparagus bean, roasted for 15 minutes</t>
  </si>
  <si>
    <t>roasted at 160°C for 15 min</t>
  </si>
  <si>
    <t>0300041</t>
  </si>
  <si>
    <t>Asparagus bean, roasted for 20 minutes</t>
  </si>
  <si>
    <t>roasted at 160°C for 20 min</t>
  </si>
  <si>
    <t>0300042</t>
  </si>
  <si>
    <t>Nigeria, South Western</t>
  </si>
  <si>
    <t>Legume, seeds, mature, whole, raw</t>
  </si>
  <si>
    <t>Cassia hirsutta</t>
  </si>
  <si>
    <t>The values are based on dry basis</t>
  </si>
  <si>
    <t>pu084</t>
  </si>
  <si>
    <t>0300043</t>
  </si>
  <si>
    <t>Vigna racemosa</t>
  </si>
  <si>
    <t>0300044</t>
  </si>
  <si>
    <t>Sphenostylis sterocarpa</t>
  </si>
  <si>
    <t>0300045</t>
  </si>
  <si>
    <t>Nigeria, Nasarawa State, Garaku</t>
  </si>
  <si>
    <t>Cranberry bean, seeds, flour, raw</t>
  </si>
  <si>
    <t xml:space="preserve">The author confirmed the values are based on dry weight basis, Carbohydrate percentage was calculated as (100% -total of other components),  conversion of g per 100g protein to individual AA as mg per 100gEP- AA(g/100g protein)* protein(g/100g EP)* 10 </t>
  </si>
  <si>
    <t>pu099</t>
  </si>
  <si>
    <t>0300046</t>
  </si>
  <si>
    <t>Cranberry bean, seeds, dehulled, roasted, flour</t>
  </si>
  <si>
    <t>Roasted in fine sand and stirred until it's brownish</t>
  </si>
  <si>
    <t>The author confirmed the values are based on dry weight basis, Carbohydrate percentage was calculated as (100% -total of other components),  conversion of g per 100g protein to individual AA as mg per 100gEP- AA(g/100g protein)* protein(g/100g EP)* 11</t>
  </si>
  <si>
    <t>0300047</t>
  </si>
  <si>
    <t>Cranberry bean, seeds, dehulled, sproated, flour</t>
  </si>
  <si>
    <t>Seeds with sprouts about 1 cm long (3-4 days) were picked, washed, dehulled, sliced and dried at 40 degree</t>
  </si>
  <si>
    <t>The author confirmed the values are based on dry weight basis, Carbohydrate percentage was calculated as (100% -total of other components),  conversion of g per 100g protein to individual AA as mg per 100gEP- AA(g/100g protein)* protein(g/100g EP)* 12</t>
  </si>
  <si>
    <t>0300048</t>
  </si>
  <si>
    <t>Cranberry bean, seeds, boiled, drained, flour</t>
  </si>
  <si>
    <t>Boiled in distilled water at 100oC at a ratio of 1:10 wt/vol for 45 min</t>
  </si>
  <si>
    <t>The author confirmed the values are based on dry weight basis, Carbohydrate percentage was calculated as (100% -total of other components),  conversion of g per 100g protein to individual AA as mg per 100gEP- AA(g/100g protein)* protein(g/100g EP)* 13</t>
  </si>
  <si>
    <t>0300049</t>
  </si>
  <si>
    <t>Cranberry bean, seeds, cooked, drained, flour</t>
  </si>
  <si>
    <t>Cooked using an aluminium pot using one part of the raw seeds to 15 parts of distilled water</t>
  </si>
  <si>
    <t>The author confirmed the values are based on dry weight basis, Carbohydrate percentage was calculated as (100% -total of other components),  conversion of g per 100g protein to individual AA as mg per 100gEP- AA(g/100g protein)* protein(g/100g EP)* 14</t>
  </si>
  <si>
    <t>0300050</t>
  </si>
  <si>
    <t>Black gran, seeds, whole, raw</t>
  </si>
  <si>
    <t>Vigna mungo L.</t>
  </si>
  <si>
    <t>Proximate composition was determined by AOAC methods (2005)</t>
  </si>
  <si>
    <t>pu060</t>
  </si>
  <si>
    <t>0300051</t>
  </si>
  <si>
    <t>Black gran, seeds, cotyledon, milled, raw</t>
  </si>
  <si>
    <t>p/r</t>
  </si>
  <si>
    <t>0300052</t>
  </si>
  <si>
    <t>Black gran, seeds, germ, milled, raw</t>
  </si>
  <si>
    <t>0300053</t>
  </si>
  <si>
    <t>Black gran, seeds, seed coat, milled, raw</t>
  </si>
  <si>
    <t>0300054</t>
  </si>
  <si>
    <t>Black gran, seeds, aleurone layer enriched in seed coat, milled, raw</t>
  </si>
  <si>
    <t>0300055</t>
  </si>
  <si>
    <t>Black gran, seeds, plumule fraction, milled, raw</t>
  </si>
  <si>
    <t>0300056</t>
  </si>
  <si>
    <t>Field pea, raw</t>
  </si>
  <si>
    <t>Pisum sativum</t>
  </si>
  <si>
    <t>Lipid was extracted according to Folch et al. (1957)</t>
  </si>
  <si>
    <t>pu061</t>
  </si>
  <si>
    <t>0300057</t>
  </si>
  <si>
    <t>Field pea, water-soaked, autoclaved</t>
  </si>
  <si>
    <t>Seeds were soaked for 12 h in destillled water, drained and autoclaved in water at 121 °C for 30 min.</t>
  </si>
  <si>
    <t>0300058</t>
  </si>
  <si>
    <t>Field pea, germinated</t>
  </si>
  <si>
    <t>Seeds were sterilized by soaking in ethanol for 1 min then soaked in distilled water for 12 h dark at room temperature (25  C) for 2 days.</t>
  </si>
  <si>
    <t>0300059</t>
  </si>
  <si>
    <t>Field pea, autoclaved germinates</t>
  </si>
  <si>
    <t xml:space="preserve">Seeds were sterilized by soaking in ethanol for 1 min then soaked in distilled water for 12 h dark at room temperature (25  C) for 2 days and then autoclaved. </t>
  </si>
  <si>
    <t>0300060</t>
  </si>
  <si>
    <t>Chickpea, whole, raw</t>
  </si>
  <si>
    <t>0300061</t>
  </si>
  <si>
    <t>Chickpea, whole, water-soaked, autoclaved</t>
  </si>
  <si>
    <t>0300062</t>
  </si>
  <si>
    <t>Chickpea, whole, germinated, dried</t>
  </si>
  <si>
    <t>0300063</t>
  </si>
  <si>
    <t>Chickpea, whole, germinated, autoclaved</t>
  </si>
  <si>
    <t>0300064</t>
  </si>
  <si>
    <t>Black gram, whole, raw</t>
  </si>
  <si>
    <t>Phaseolus mungo</t>
  </si>
  <si>
    <t>0300065</t>
  </si>
  <si>
    <t>Black gram, whole, water-soaked, autoclaved</t>
  </si>
  <si>
    <t>0300066</t>
  </si>
  <si>
    <t>Black gram, whole, germinated</t>
  </si>
  <si>
    <t>0300067</t>
  </si>
  <si>
    <t>Black gram, whole, autoclaved germinates</t>
  </si>
  <si>
    <t>0300068</t>
  </si>
  <si>
    <t>Lentil, whole, raw</t>
  </si>
  <si>
    <t>0300069</t>
  </si>
  <si>
    <t>Lentil, whole,water-soaked, autoclaved</t>
  </si>
  <si>
    <t>0300070</t>
  </si>
  <si>
    <t>Lentil, whole, germinated</t>
  </si>
  <si>
    <t>0300071</t>
  </si>
  <si>
    <t>Lentil, whole, autoclaved germinates</t>
  </si>
  <si>
    <t>0300072</t>
  </si>
  <si>
    <t>Chickpea, split, raw</t>
  </si>
  <si>
    <t>winter</t>
  </si>
  <si>
    <t xml:space="preserve">Two sample lots were collected in the same season </t>
  </si>
  <si>
    <t>Values expressed in DW converted to FW; beta-Carotene is expressed as a sum of trans and cis-beta-carotene due to their incomplete separation in some of the samples; 1 RE = 6 mg beta-carotene or 12 mg alfa-carotene; Total Carotenoid = lutein + zeaxanthin + a-carotene + b-carotene + neoxanthin + violaxanthin</t>
  </si>
  <si>
    <t>pu062</t>
  </si>
  <si>
    <t>0300073</t>
  </si>
  <si>
    <t>0300074</t>
  </si>
  <si>
    <t>Chickpea, puffed, raw</t>
  </si>
  <si>
    <t>0300075</t>
  </si>
  <si>
    <t>Black gram, split, raw</t>
  </si>
  <si>
    <t>0300076</t>
  </si>
  <si>
    <t>0300077</t>
  </si>
  <si>
    <t>Vigna catjang</t>
  </si>
  <si>
    <t>0300078</t>
  </si>
  <si>
    <t>Green gram, split, raw</t>
  </si>
  <si>
    <t>Phaseolus aureus</t>
  </si>
  <si>
    <t>0300079</t>
  </si>
  <si>
    <t>Green gram, whole, raw</t>
  </si>
  <si>
    <t>0300080</t>
  </si>
  <si>
    <t>Horse gram, raw</t>
  </si>
  <si>
    <t>Dolichos biflorus</t>
  </si>
  <si>
    <t>0300081</t>
  </si>
  <si>
    <t>Lentil, split, raw</t>
  </si>
  <si>
    <t>Lens asculenta</t>
  </si>
  <si>
    <t>0300082</t>
  </si>
  <si>
    <t>Malaysia, Penang</t>
  </si>
  <si>
    <t>Black gram, seeds, dried, raw</t>
  </si>
  <si>
    <t>pu064</t>
  </si>
  <si>
    <t>0300083</t>
  </si>
  <si>
    <t>Black gram, seeds, soaked, raw</t>
  </si>
  <si>
    <t>0300084</t>
  </si>
  <si>
    <t>Black gram, seeds, dried, germinated for 1 day</t>
  </si>
  <si>
    <t>0300085</t>
  </si>
  <si>
    <t>Black gram, seeds, dried, germinated for 2 days</t>
  </si>
  <si>
    <t>0300086</t>
  </si>
  <si>
    <t>Black gram, seeds, dried, germinated for 3 days</t>
  </si>
  <si>
    <t>0300087</t>
  </si>
  <si>
    <t>Catarino</t>
  </si>
  <si>
    <t>Common bean, seeds, raw</t>
  </si>
  <si>
    <t>Phaseolus vulgaris L.</t>
  </si>
  <si>
    <t>Commercial bean varieties from a local market</t>
  </si>
  <si>
    <t>Values expressed in DW converted to FW; fat content was determined by Bligh &amp; Dyer 1959; Mn data was not compiled because it was very low</t>
  </si>
  <si>
    <t>pu067</t>
  </si>
  <si>
    <t>0300089</t>
  </si>
  <si>
    <t>Thailans, Mahasarakham province</t>
  </si>
  <si>
    <t>Mung bean, seeds, whole, raw</t>
  </si>
  <si>
    <t>Vigna radiata</t>
  </si>
  <si>
    <t>Values for starch expressed in DW converted to FW (author was contacted)</t>
  </si>
  <si>
    <t>pu075</t>
  </si>
  <si>
    <t>0300090</t>
  </si>
  <si>
    <t>Green gram, seeds, water-soaked, dried</t>
  </si>
  <si>
    <t>Samples were obtained from local market. Seeds were soaked in 4–5 volumes of water (22–25°C) for 12 h . The water was drained and seeds were dried in a cabinet dryer at 50°C for 16–18h and milled to flour.</t>
  </si>
  <si>
    <t>Values for starch expressed in DW converted to FW; Phytic acid was determined by estimation of phosphorous</t>
  </si>
  <si>
    <t>pu077</t>
  </si>
  <si>
    <t>0300091</t>
  </si>
  <si>
    <t>Green gram, seeds, water-soaked, germinated, dried</t>
  </si>
  <si>
    <t>Samples were obtained from local market. Seeds were soaked in 4–5 volumes of water (22–25°C) for 12 h . The water was drained and the seed samples were allowed to germinate under a wet muslin cloth for 24 h and then dried in a cabinet dryer at 50°C for 16–18h and milled to flour.</t>
  </si>
  <si>
    <t>0300092</t>
  </si>
  <si>
    <t>Green gram, seeds, water-soaked, germinated, dehulled, dried</t>
  </si>
  <si>
    <t>Samples were obtained from local market. Seeds were soaked in 4–5 volumes of water (22–25°C) for 12 h . The water was drained and the seed samples were allowed to germinate under a wet muslin cloth for 24 h, dehulled and then dried in a cabinet dryer at 50°C for 16–18h and milled to flour.</t>
  </si>
  <si>
    <t>0300093</t>
  </si>
  <si>
    <t>Cowpea, seeds, water-soaked, dried</t>
  </si>
  <si>
    <t>0300094</t>
  </si>
  <si>
    <t>Cowpea, seeds, water-soaked, germinated, dried</t>
  </si>
  <si>
    <t>0300095</t>
  </si>
  <si>
    <t>Cowpea, seeds, water-soaked, germinated, dehulled, dried</t>
  </si>
  <si>
    <t>0300096</t>
  </si>
  <si>
    <t>Lentil, seeds, water-soaked, dried</t>
  </si>
  <si>
    <t>0300097</t>
  </si>
  <si>
    <t>Lentil, seeds, water-soaked, germinated, dried</t>
  </si>
  <si>
    <t>0300098</t>
  </si>
  <si>
    <t>Lentil, seeds, water-soaked, germinated, dehulled, dried</t>
  </si>
  <si>
    <t>0300099</t>
  </si>
  <si>
    <t>Chickpea, seeds, water-soaked, dried</t>
  </si>
  <si>
    <t>0300100</t>
  </si>
  <si>
    <t>Chickpea, seeds, water-soaked, germinated, dried</t>
  </si>
  <si>
    <t>0300101</t>
  </si>
  <si>
    <t xml:space="preserve">Chickpea, seeds, water-soaked, germinated, dehulled, dried </t>
  </si>
  <si>
    <t>0300102</t>
  </si>
  <si>
    <t>Australia, Sydney</t>
  </si>
  <si>
    <t>Mung bean, sprouts, raw</t>
  </si>
  <si>
    <t>Vigna radiata L. R. Wilcz</t>
  </si>
  <si>
    <t>Samples were bought at 5 different locations</t>
  </si>
  <si>
    <t>pu079</t>
  </si>
  <si>
    <t>0300103</t>
  </si>
  <si>
    <t>Germany, Stuttgart</t>
  </si>
  <si>
    <t>Green gram, seeds, mature, raw</t>
  </si>
  <si>
    <t>Samples were bought from an Asian shop</t>
  </si>
  <si>
    <t>Proximate composition was determined by following the standard AOAC method (1990); values  expressed in DW were converted to FW</t>
  </si>
  <si>
    <t>pu005</t>
  </si>
  <si>
    <t>0300104</t>
  </si>
  <si>
    <t>Green gram, seeds, mature, water-soaked, freeze-dried</t>
  </si>
  <si>
    <t>Samples were bought from an Asian shop; seeds were soaked overnight in 200 ml of distilled water at room temperature (24 °C)</t>
  </si>
  <si>
    <t>0300105</t>
  </si>
  <si>
    <t>Green gram, seeds, mature, water-soaked, irradiated (2 kGy), freeze-dried</t>
  </si>
  <si>
    <t>0300106</t>
  </si>
  <si>
    <t>Green gram, seeds, mature, water-soaked, irradiated (4 kGy), freeze-dried</t>
  </si>
  <si>
    <t>0300107</t>
  </si>
  <si>
    <t>Green gram, seeds, mature, water-soaked, irradiated (6 kGy), freeze-dried</t>
  </si>
  <si>
    <t>0300108</t>
  </si>
  <si>
    <t>India, West Bengal, Malda district</t>
  </si>
  <si>
    <t>Mung bean, seeds, raw</t>
  </si>
  <si>
    <t>Mung bean without aroma, large in size</t>
  </si>
  <si>
    <t>Values  expressed in DW were converted to FW</t>
  </si>
  <si>
    <t>pu006</t>
  </si>
  <si>
    <t>0300109</t>
  </si>
  <si>
    <t>Chickpea, seeds, raw</t>
  </si>
  <si>
    <t>Samples were purchased in local Italian supermarkets; labelled as ‘Italian origin’</t>
  </si>
  <si>
    <t>pu007</t>
  </si>
  <si>
    <t>0300110</t>
  </si>
  <si>
    <t>Samples were purchased in local Italian supermarkets; labelled as ‘Mexican origin’</t>
  </si>
  <si>
    <t>0300111</t>
  </si>
  <si>
    <t>Lentil, seeds, raw</t>
  </si>
  <si>
    <t>Lens culinaria</t>
  </si>
  <si>
    <t>0300112</t>
  </si>
  <si>
    <t>0300113</t>
  </si>
  <si>
    <t>India, Tamil Nadu, Western Ghats, Sivagiri Reserve Forest</t>
  </si>
  <si>
    <t>V. aconitifolia, seeds, mature, sun-dried, raw</t>
  </si>
  <si>
    <t>Vigna aconitifolia</t>
  </si>
  <si>
    <t>Values expressed in DW converted to FW; total dietary fibre (TDF) was estimated by the non-enzymatic-gravimetric method (Li and Cardozo, 1994); fatty acids converted from %FA to g/ 100 g EP using the XFA=0.775 (USDA Handbook, 1988)</t>
  </si>
  <si>
    <t>pu201</t>
  </si>
  <si>
    <t>0300114</t>
  </si>
  <si>
    <t>Brazil, Ceará, Iguatu</t>
  </si>
  <si>
    <t>Cowpea, seeds, flour, raw</t>
  </si>
  <si>
    <t>Vigna unguiculata L. Wap</t>
  </si>
  <si>
    <t>Proximate composition was analyzed accordind to methods of the AOAC, 2000; values expressed as FW and protein was analysed by micro-Kjeldhal method (XN=6.25) and lipids were determined by Soxhlet (information provided by the author)</t>
  </si>
  <si>
    <t>pu203</t>
  </si>
  <si>
    <t>0300115</t>
  </si>
  <si>
    <t>Cowpea, seeds, flour, extruded</t>
  </si>
  <si>
    <t>0300116</t>
  </si>
  <si>
    <t>Cowpea, seeds, air-dried, raw</t>
  </si>
  <si>
    <t>Values expressed in DW converted to FW (according to information provided by the author)</t>
  </si>
  <si>
    <t>pu205</t>
  </si>
  <si>
    <t>0300117</t>
  </si>
  <si>
    <t>V. unguiculata, seeds, mature, raw</t>
  </si>
  <si>
    <t>Vigna unguiculata ssp. Cylindrica</t>
  </si>
  <si>
    <t>Values expressed in DW converted to FW; proximate composition was analyzed according to AOAC (1970) methods; true protein was analyzed according to Lowry et al. (1951) (reaction with Folin's reagent); minerals were not compiled because their sum is higher than ash value; Phytic acid was determined by electrophoresis</t>
  </si>
  <si>
    <t>pu209</t>
  </si>
  <si>
    <t>0300118</t>
  </si>
  <si>
    <t>V. unguiculata, seeds, mature, boiled, oven-dried</t>
  </si>
  <si>
    <t>Values expressed in DW converted to FW; proximate composition was analyzed according to AOAC (1970) methods; true protein was analyzed according to Lowry et al. (1951) (reaction with Folin's reagent); minerals were not compiled because their sum is higher than ash valuePhytic acid was determined by electrophoresis</t>
  </si>
  <si>
    <t>0300119</t>
  </si>
  <si>
    <t>Cowpea, seeds, decorticated, flour, raw</t>
  </si>
  <si>
    <t xml:space="preserve">Vigna unguiculata </t>
  </si>
  <si>
    <t>Milled Through 2.0-mm mill screen, unsieved</t>
  </si>
  <si>
    <t>Values expressed in DW converted to FW</t>
  </si>
  <si>
    <t>pu210</t>
  </si>
  <si>
    <t>0300120</t>
  </si>
  <si>
    <t>Milled Through 2.0-mm mill screen, 0.297-mm sieve</t>
  </si>
  <si>
    <t>0300121</t>
  </si>
  <si>
    <t>Milled Through 2.0-mm mill screen, 0.149-mm sieve</t>
  </si>
  <si>
    <t>0300122</t>
  </si>
  <si>
    <t>Milled Through 2.0-mm mill screen, collecting pan</t>
  </si>
  <si>
    <t>0300123</t>
  </si>
  <si>
    <t>Milled Through 1.0-mm mill screen, unsieved</t>
  </si>
  <si>
    <t>0300124</t>
  </si>
  <si>
    <t>Milled Through 1.0-mm mill screen, 0.297-mm sieve</t>
  </si>
  <si>
    <t>0300125</t>
  </si>
  <si>
    <t>Milled Through 1.0-mm mill screen, 0.149-mm sieve</t>
  </si>
  <si>
    <t>0300126</t>
  </si>
  <si>
    <t>Milled Through 1.0-mm mill screen, collecting pan</t>
  </si>
  <si>
    <t>0300127</t>
  </si>
  <si>
    <t>Milled Through 0.5-mm mill screen, unsieved</t>
  </si>
  <si>
    <t>0300128</t>
  </si>
  <si>
    <t>Milled Through 0.5-mm mill screen, 0.297-mm sieve</t>
  </si>
  <si>
    <t>0300129</t>
  </si>
  <si>
    <t>Milled Through 0.5-mm mill screen, 0.149-mm sieve</t>
  </si>
  <si>
    <t>0300130</t>
  </si>
  <si>
    <t>Milled Through 0.5-mm mill screen, collecting pan</t>
  </si>
  <si>
    <t>0300137</t>
  </si>
  <si>
    <t>Cowpea, seeds, raw</t>
  </si>
  <si>
    <t>Vigna unguiculata (L) Walp</t>
  </si>
  <si>
    <t>Produced under the application of Carbofuran</t>
  </si>
  <si>
    <t>Proximate composition was analyzed accordind to methods of the AOAC, 1975</t>
  </si>
  <si>
    <t>pu212</t>
  </si>
  <si>
    <t>0300138</t>
  </si>
  <si>
    <t>0300139</t>
  </si>
  <si>
    <t>Produced under the application of Ethoprop</t>
  </si>
  <si>
    <t>0300140</t>
  </si>
  <si>
    <t>Produced under the application of mixed nematicides (Carbofuran and Ethoprop)</t>
  </si>
  <si>
    <t>0300141</t>
  </si>
  <si>
    <t>Produced without the application of nemeticides</t>
  </si>
  <si>
    <t>0300142</t>
  </si>
  <si>
    <t>Nigeria, Port Harcourt</t>
  </si>
  <si>
    <t>Cowpea, seeds, oven-dried, raw</t>
  </si>
  <si>
    <t>Three batches were bought at a local market</t>
  </si>
  <si>
    <t>Values expressed in FW of dried samples; proximate composition was analyzed accordind to methods of the AOAC, 1984</t>
  </si>
  <si>
    <t>pu213</t>
  </si>
  <si>
    <t>0300143</t>
  </si>
  <si>
    <t>Cowpea, seeds, germinated, oven-dried, raw</t>
  </si>
  <si>
    <t>p/d/r</t>
  </si>
  <si>
    <t>0300144</t>
  </si>
  <si>
    <t>Cowpea, seeds, fermented, oven-dried, raw</t>
  </si>
  <si>
    <t>0300145</t>
  </si>
  <si>
    <t>Cowpea, seeds, autoclaved, oven-dried, raw</t>
  </si>
  <si>
    <t>0300146</t>
  </si>
  <si>
    <t>Sudan</t>
  </si>
  <si>
    <t>Lubia hillu</t>
  </si>
  <si>
    <t>Cowpea, seeds, mature, raw</t>
  </si>
  <si>
    <t>Three batches of mature seeds were purchased from the local market</t>
  </si>
  <si>
    <t>3 (dry matter, ash and protein); 2 (fiber, fat and aminoacids)</t>
  </si>
  <si>
    <t>Values expressed as DW were converted to FW; analyses were performed according to the harmonized methods of the European Commission due to Regulation (EC) 152/2009; minerals were not compiled because it is not clear if is expressed as DW or FW</t>
  </si>
  <si>
    <t>pu218</t>
  </si>
  <si>
    <t>0300147</t>
  </si>
  <si>
    <t>Cowpea, seeds, mature, water-soaked, sun-dried</t>
  </si>
  <si>
    <t>Three batches of mature seeds were purchased from the local market; soaked for 48 h with tap water and sun-dried for 4 days</t>
  </si>
  <si>
    <t>0300148</t>
  </si>
  <si>
    <t>Cowpea, seeds, mature, water-soaked, boiled, sun-dried</t>
  </si>
  <si>
    <t>Three batches of mature seeds were purchased from the local market; soaked for 48 h with tap water, boiled for 30 min. and sun-dried for 4 days</t>
  </si>
  <si>
    <t>0300149</t>
  </si>
  <si>
    <t>Cowpea, seeds, mature, water-soaked, germinated, sun-dried</t>
  </si>
  <si>
    <t>Three batches of mature seeds were purchased from the local market; soaked for 24 h with tap water, germinated for 72 h and sun-dried for 4 days</t>
  </si>
  <si>
    <t>0300150</t>
  </si>
  <si>
    <t>Cowpea, seeds, mature, roasted</t>
  </si>
  <si>
    <t>Three batches of mature seeds were purchased from the local market; roasted at 110 °C for 20 min</t>
  </si>
  <si>
    <t>0300151</t>
  </si>
  <si>
    <t>Cowpea, seeds, mature, decorticated, raw</t>
  </si>
  <si>
    <t>0300152</t>
  </si>
  <si>
    <t>Cowpea, seeds, mature, decorticated, water-soaked, sun-dried</t>
  </si>
  <si>
    <t>Three batches of mature seeds were purchased from the local market; soaked for 24 h with tap water and sun-dried for 4 days</t>
  </si>
  <si>
    <t>0300153</t>
  </si>
  <si>
    <t>Cowpea, seeds, mature, decorticated, water-soaked, boiled, sun-dried</t>
  </si>
  <si>
    <t>0300154</t>
  </si>
  <si>
    <t>Three batches of mature seeds were purchased from the local market; soaked for 24 h with tap water, boiled for 30 min. and sun-dried for 4 days</t>
  </si>
  <si>
    <t>0300155</t>
  </si>
  <si>
    <t>0300156</t>
  </si>
  <si>
    <t>Tunisia</t>
  </si>
  <si>
    <t>Vetch, seeds, mature, raw</t>
  </si>
  <si>
    <t>Vicia sativa subsp. amphicarpa</t>
  </si>
  <si>
    <t>June 2012</t>
  </si>
  <si>
    <t>Values expressed as DW were converted to FW</t>
  </si>
  <si>
    <t>pu219</t>
  </si>
  <si>
    <t>0300157</t>
  </si>
  <si>
    <t>Beans, seeds, raw</t>
  </si>
  <si>
    <t>pu220</t>
  </si>
  <si>
    <t>0300158</t>
  </si>
  <si>
    <t>Vetch, seeds, raw</t>
  </si>
  <si>
    <t>Vicia sativa</t>
  </si>
  <si>
    <t>0300159</t>
  </si>
  <si>
    <t>Bolivia</t>
  </si>
  <si>
    <t>Fava beans, seeds, boiled</t>
  </si>
  <si>
    <t>Vicia fava</t>
  </si>
  <si>
    <t>Jan 2012</t>
  </si>
  <si>
    <t>Seeds were purchased in the main market of 5 villages in Chapare</t>
  </si>
  <si>
    <t>pu223</t>
  </si>
  <si>
    <t>0300160</t>
  </si>
  <si>
    <t>Lentil, seeds, boiled</t>
  </si>
  <si>
    <t>Lens esculenta</t>
  </si>
  <si>
    <t>0300161</t>
  </si>
  <si>
    <t>pu225</t>
  </si>
  <si>
    <t>0300162</t>
  </si>
  <si>
    <t>Faba beans, water-soaked, drained, cooked without salt, drained</t>
  </si>
  <si>
    <t>0300163</t>
  </si>
  <si>
    <t>Green gram, seeds, whole, raw</t>
  </si>
  <si>
    <t>Phaseolus aureus Rox b</t>
  </si>
  <si>
    <t>Seeds were purchased in a local market</t>
  </si>
  <si>
    <t>pu228</t>
  </si>
  <si>
    <t>0300164</t>
  </si>
  <si>
    <t>Green gram, seeds, whole, water-soaked, pressure cooked</t>
  </si>
  <si>
    <t>Seeds were purchased in a local market; Soaking and cooking were carried out with destiled water (not clear if soaking and/or cooking water were discarded)</t>
  </si>
  <si>
    <t>0300165</t>
  </si>
  <si>
    <t>Green gram, seeds, whole, water-soaked, microwave cooked</t>
  </si>
  <si>
    <t>0300166</t>
  </si>
  <si>
    <t>Bengal gram, seeds, whole, raw</t>
  </si>
  <si>
    <t>0300167</t>
  </si>
  <si>
    <t>Bengal gram, seeds, whole, water-soaked, pressure cooked</t>
  </si>
  <si>
    <t>0300168</t>
  </si>
  <si>
    <t>Bengal gram, seeds, whole, water-soaked, microwave cooked</t>
  </si>
  <si>
    <t>0300169</t>
  </si>
  <si>
    <t>Cowpea, seeds, whole, raw</t>
  </si>
  <si>
    <t>0300170</t>
  </si>
  <si>
    <t>Cowpea, seeds, whole, water-soaked, pressure cooked</t>
  </si>
  <si>
    <t>0300171</t>
  </si>
  <si>
    <t>Cowpea, seeds, whole, water-soaked, microwave cooked</t>
  </si>
  <si>
    <t>0300172</t>
  </si>
  <si>
    <t>Horse gram, seeds, whole, raw</t>
  </si>
  <si>
    <t>0300173</t>
  </si>
  <si>
    <t>Horse gram, seeds, whole, water-soaked, pressure cooked</t>
  </si>
  <si>
    <t>0300174</t>
  </si>
  <si>
    <t>Horse gram, seeds, whole, water-soaked, microwave cooked</t>
  </si>
  <si>
    <t>0300175</t>
  </si>
  <si>
    <t>Lentil, seeds, whole, raw</t>
  </si>
  <si>
    <t>0300176</t>
  </si>
  <si>
    <t>Lentil, seeds, whole, water-soaked, pressure cooked</t>
  </si>
  <si>
    <t>0300177</t>
  </si>
  <si>
    <t>Lentil, seeds, whole, water-soaked, microwave cooked</t>
  </si>
  <si>
    <t>0300178</t>
  </si>
  <si>
    <t>Field beans, seeds, dried, whole, raw</t>
  </si>
  <si>
    <t>Dolichos lablab</t>
  </si>
  <si>
    <t>0300179</t>
  </si>
  <si>
    <t>Field beans, seeds, dried, whole, water-soaked, pressure cooked</t>
  </si>
  <si>
    <t>0300180</t>
  </si>
  <si>
    <t>Field beans, seeds, dried, water-soaked, microwave cooked</t>
  </si>
  <si>
    <t>0300181</t>
  </si>
  <si>
    <t>French beans, seeds, whole, raw</t>
  </si>
  <si>
    <t>0300182</t>
  </si>
  <si>
    <t>French beans, seeds, whole, water-soaked, pressure cooked</t>
  </si>
  <si>
    <t>0300183</t>
  </si>
  <si>
    <t>French beans, seeds, whole, water-soaked, microwave cooked</t>
  </si>
  <si>
    <t>0300184</t>
  </si>
  <si>
    <t>Broad beans, seeds, whole, raw</t>
  </si>
  <si>
    <t>0300185</t>
  </si>
  <si>
    <t>Broad beans, seeds, whole, water-soaked, pressure cooked</t>
  </si>
  <si>
    <t>0300186</t>
  </si>
  <si>
    <t>Broad beans, seeds, whole, water-soaked, microwave cooked</t>
  </si>
  <si>
    <t>0300187</t>
  </si>
  <si>
    <t>Common vetch, Green, seeds, dried, raw</t>
  </si>
  <si>
    <t>Vicia sativa L.</t>
  </si>
  <si>
    <t>Seeds were driet to 13% of moisture (according to the author)</t>
  </si>
  <si>
    <t>pu230</t>
  </si>
  <si>
    <t>0300188</t>
  </si>
  <si>
    <t>Common vetch, Brown, seeds, dried, raw</t>
  </si>
  <si>
    <t>0300189</t>
  </si>
  <si>
    <t>Common vetch, Black, seeds, dried, raw</t>
  </si>
  <si>
    <t>0300190</t>
  </si>
  <si>
    <t>Common vetch, seeds, green cotyledon, dried, raw</t>
  </si>
  <si>
    <t>0300191</t>
  </si>
  <si>
    <t>Common vetch, seeds, orange cotyledon, dried, raw</t>
  </si>
  <si>
    <t>0300192</t>
  </si>
  <si>
    <t>Common vetch, seeds, beige cotyledon, dried, raw</t>
  </si>
  <si>
    <t>0300193</t>
  </si>
  <si>
    <t>Common vetch, seeds, small size, dried, raw</t>
  </si>
  <si>
    <t>0300194</t>
  </si>
  <si>
    <t>Common vetch, seeds, medium size, dried, raw</t>
  </si>
  <si>
    <t>0300195</t>
  </si>
  <si>
    <t>Common vetch, seeds, large size, dried, raw</t>
  </si>
  <si>
    <t>0300196</t>
  </si>
  <si>
    <t>Italy, Apulia region, area of Altamura</t>
  </si>
  <si>
    <t>Lens culinaris L.</t>
  </si>
  <si>
    <t>Data expressed on wet weight (information provided by the author)</t>
  </si>
  <si>
    <t>pu233</t>
  </si>
  <si>
    <t>0300197</t>
  </si>
  <si>
    <t>Italy, High Sele Valley, Campania region, Colliano</t>
  </si>
  <si>
    <t>0300198</t>
  </si>
  <si>
    <t>Seeds were obtained from a local supermarket</t>
  </si>
  <si>
    <t>0300199</t>
  </si>
  <si>
    <t>Grass pea, seeds, raw</t>
  </si>
  <si>
    <t>Lathyrus sativus</t>
  </si>
  <si>
    <t>0300200</t>
  </si>
  <si>
    <t>0300201</t>
  </si>
  <si>
    <t>Italy, Salermo province, Castelcivita village</t>
  </si>
  <si>
    <t>0300202</t>
  </si>
  <si>
    <t>USA, New Orleans</t>
  </si>
  <si>
    <t>Seeds were milled and analysed</t>
  </si>
  <si>
    <t>Vitamins were analyzed by the fluorimetric method of the Association of Vitamin Chemists (1966)</t>
  </si>
  <si>
    <t>pu235</t>
  </si>
  <si>
    <t>0300203</t>
  </si>
  <si>
    <t>Flour was stored for 1 month at water activity of 0.11</t>
  </si>
  <si>
    <t>0300204</t>
  </si>
  <si>
    <t>Flour was stored for 2 month at water activity of 0.11</t>
  </si>
  <si>
    <t>0300205</t>
  </si>
  <si>
    <t>Flour was stored for 3 month at water activity of 0.11</t>
  </si>
  <si>
    <t>0300206</t>
  </si>
  <si>
    <t>Flour was stored for 4 month at water activity of 0.11</t>
  </si>
  <si>
    <t>0300207</t>
  </si>
  <si>
    <t>Flour was stored for 5 month at water activity of 0.11</t>
  </si>
  <si>
    <t>0300208</t>
  </si>
  <si>
    <t>Flour was stored for 6 month at water activity of 0.11</t>
  </si>
  <si>
    <t>0300209</t>
  </si>
  <si>
    <t>Flour was stored for 1 month at water activity of 0.33</t>
  </si>
  <si>
    <t>0300210</t>
  </si>
  <si>
    <t>Flour was stored for 2 month at water activity of 0.33</t>
  </si>
  <si>
    <t>0300211</t>
  </si>
  <si>
    <t>Flour was stored for 3 month at water activity of 0.33</t>
  </si>
  <si>
    <t>0300212</t>
  </si>
  <si>
    <t>Flour was stored for 4 month at water activity of 0.33</t>
  </si>
  <si>
    <t>0300213</t>
  </si>
  <si>
    <t>Flour was stored for 5 month at water activity of 0.33</t>
  </si>
  <si>
    <t>0300214</t>
  </si>
  <si>
    <t>Flour was stored for 6 month at water activity of 0.33</t>
  </si>
  <si>
    <t>0300215</t>
  </si>
  <si>
    <t>Flour was stored for 1 month at water activity of 0.75</t>
  </si>
  <si>
    <t>0300216</t>
  </si>
  <si>
    <t>Flour was stored for 2 month at water activity of 0.75</t>
  </si>
  <si>
    <t>0300217</t>
  </si>
  <si>
    <t>Flour was stored for 3 month at water activity of 0.75</t>
  </si>
  <si>
    <t>0300218</t>
  </si>
  <si>
    <t>Flour was stored for 4 month at water activity of 0.75</t>
  </si>
  <si>
    <t>0300219</t>
  </si>
  <si>
    <t>Flour was stored for 5 month at water activity of 0.75</t>
  </si>
  <si>
    <t>0300220</t>
  </si>
  <si>
    <t>Flour was stored for 6 month at water activity of 0.75</t>
  </si>
  <si>
    <t>0300221</t>
  </si>
  <si>
    <t>Flour was stored for 1 month at 5 °C</t>
  </si>
  <si>
    <t>0300222</t>
  </si>
  <si>
    <t>Flour was stored for 2 month at 5 °C</t>
  </si>
  <si>
    <t>0300223</t>
  </si>
  <si>
    <t>Flour was stored for 3 month at 5 °C</t>
  </si>
  <si>
    <t>0300224</t>
  </si>
  <si>
    <t>Flour was stored for 4 month at 5 °C</t>
  </si>
  <si>
    <t>0300225</t>
  </si>
  <si>
    <t>Flour was stored for 5 month at 5 °C</t>
  </si>
  <si>
    <t>0300226</t>
  </si>
  <si>
    <t>Flour was stored for 6 month at 5 °C</t>
  </si>
  <si>
    <t>0300227</t>
  </si>
  <si>
    <t>Flour was stored for 1 month at 25 °C</t>
  </si>
  <si>
    <t>0300228</t>
  </si>
  <si>
    <t>Flour was stored for 2 month at 25 °C</t>
  </si>
  <si>
    <t>0300229</t>
  </si>
  <si>
    <t>Flour was stored for 3 month at 25 °C</t>
  </si>
  <si>
    <t>0300230</t>
  </si>
  <si>
    <t>Flour was stored for 4 month at 25 °C</t>
  </si>
  <si>
    <t>0300231</t>
  </si>
  <si>
    <t>Flour was stored for 5 month at 25 °C</t>
  </si>
  <si>
    <t>0300232</t>
  </si>
  <si>
    <t>Flour was stored for 6 month at 25 °C</t>
  </si>
  <si>
    <t>0300233</t>
  </si>
  <si>
    <t>Flour was stored for 1 month at 40 °C</t>
  </si>
  <si>
    <t>0300234</t>
  </si>
  <si>
    <t>Flour was stored for 2 month at 40 °C</t>
  </si>
  <si>
    <t>0300235</t>
  </si>
  <si>
    <t>Flour was stored for 3 month at 40 °C</t>
  </si>
  <si>
    <t>0300236</t>
  </si>
  <si>
    <t>Flour was stored for 4 month at 40 °C</t>
  </si>
  <si>
    <t>0300237</t>
  </si>
  <si>
    <t>Flour was stored for 5 month at 40 °C</t>
  </si>
  <si>
    <t>0300238</t>
  </si>
  <si>
    <t>Flour was stored for 6 month at 40 °C</t>
  </si>
  <si>
    <t>0300239</t>
  </si>
  <si>
    <t>Data assumed as expressed on FW basis (residual moisture of dried samples)</t>
  </si>
  <si>
    <t>pu236</t>
  </si>
  <si>
    <t>0300240</t>
  </si>
  <si>
    <t>Cowpea, seeds, cooked, oven dried</t>
  </si>
  <si>
    <t>Seeds were cooked until tender (~1h 30 min)</t>
  </si>
  <si>
    <t>0300241</t>
  </si>
  <si>
    <t>Cowpea, seeds, germinated 24 h, oven dried</t>
  </si>
  <si>
    <t>0300242</t>
  </si>
  <si>
    <t>Cowpea, seeds, germinated 48 h, oven dried</t>
  </si>
  <si>
    <t>0300243</t>
  </si>
  <si>
    <t>Cowpea, seeds, germinated 72 h, oven dried</t>
  </si>
  <si>
    <t>0300244</t>
  </si>
  <si>
    <t>Cowpea, seeds, fermented 24 h, oven dried</t>
  </si>
  <si>
    <t>0300245</t>
  </si>
  <si>
    <t>Cowpea, seeds, fermented 48 h, oven dried</t>
  </si>
  <si>
    <t>0300246</t>
  </si>
  <si>
    <t>Cowpea, seeds, fermented 72 h, oven dried</t>
  </si>
  <si>
    <t>0300247</t>
  </si>
  <si>
    <t>Bengal gram, seeds, raw</t>
  </si>
  <si>
    <t>Cicer arietinum L.</t>
  </si>
  <si>
    <t>pu237</t>
  </si>
  <si>
    <t>0300248</t>
  </si>
  <si>
    <t>Black gram, seeds, raw</t>
  </si>
  <si>
    <t>0300249</t>
  </si>
  <si>
    <t>Green gram, seeds, raw</t>
  </si>
  <si>
    <t>Vigna radiata L.</t>
  </si>
  <si>
    <t>0300250</t>
  </si>
  <si>
    <t>Horse gram, seeds, raw</t>
  </si>
  <si>
    <t>Dolichos biflorus L.</t>
  </si>
  <si>
    <t>0300251</t>
  </si>
  <si>
    <t>Chickpea, seeds, cotyledon, raw</t>
  </si>
  <si>
    <t>Values expressed as DW were converted to FW; proximates were analysed according to AOAC 1990</t>
  </si>
  <si>
    <t>pu240</t>
  </si>
  <si>
    <t>0300252</t>
  </si>
  <si>
    <t>Chickpea, seeds, embryonic axe, raw</t>
  </si>
  <si>
    <t>0300253</t>
  </si>
  <si>
    <t>Chickpea, seeds, seed coat, raw</t>
  </si>
  <si>
    <t>0300254</t>
  </si>
  <si>
    <t>Horse gram, seeds, cotyledon, raw</t>
  </si>
  <si>
    <t>Macrotyloma uniflorum L. Verdc.</t>
  </si>
  <si>
    <t>0300255</t>
  </si>
  <si>
    <t>Horse gram, seeds, embryonic axe, raw</t>
  </si>
  <si>
    <t>0300256</t>
  </si>
  <si>
    <t>Horse gram, seeds, seed coat, raw</t>
  </si>
  <si>
    <t>0300257</t>
  </si>
  <si>
    <t>Mexico</t>
  </si>
  <si>
    <t>Proximates were analysed according to AOAC 1980</t>
  </si>
  <si>
    <t>pu244</t>
  </si>
  <si>
    <t>0300258</t>
  </si>
  <si>
    <t>Chickpea, seeds, cooked, dried</t>
  </si>
  <si>
    <t>Cooked until soft for 3h</t>
  </si>
  <si>
    <t>0300259</t>
  </si>
  <si>
    <t>Portugal, Miranda Douro</t>
  </si>
  <si>
    <t>Chickpea, seeds, mature, water-soaked, raw</t>
  </si>
  <si>
    <t>Seeds were soaked for 24 h in distilled water</t>
  </si>
  <si>
    <t>Fatty acids converted from %FA to g/ 100 g EP using the XFA=0.775 (USDA Handbook, 1988)</t>
  </si>
  <si>
    <t>pu248</t>
  </si>
  <si>
    <t>0300260</t>
  </si>
  <si>
    <t>Chickpea, seeds, mature, water-soaked, pressure-cooked</t>
  </si>
  <si>
    <t>Seeds were soaked for 24 h in distilled water and pressure cooked for 15 min.</t>
  </si>
  <si>
    <t>0300261</t>
  </si>
  <si>
    <t>White pea, seeds, mature, water-soaked, raw</t>
  </si>
  <si>
    <t>0300262</t>
  </si>
  <si>
    <t>White pea, seeds, mature, water-soaked, pressure-cooked</t>
  </si>
  <si>
    <t>0300263</t>
  </si>
  <si>
    <t>Algeria, Ain Defla</t>
  </si>
  <si>
    <t>Pea, seeds, dried, raw</t>
  </si>
  <si>
    <t>Jul-Aug 2012</t>
  </si>
  <si>
    <t>Values expressed as DW were converted to FW; proximate composition was analysed by methods of AOAC (1998)</t>
  </si>
  <si>
    <t>pu250</t>
  </si>
  <si>
    <t>0300264</t>
  </si>
  <si>
    <t>Chickpea, seeds, dried, raw</t>
  </si>
  <si>
    <t>0300265</t>
  </si>
  <si>
    <t>Lentil, seeds, dried, raw</t>
  </si>
  <si>
    <t>0300266</t>
  </si>
  <si>
    <t>Bengal gram, seeds, dehulled, milled into flour, raw</t>
  </si>
  <si>
    <t>Seeds were obtained in local shops</t>
  </si>
  <si>
    <t>pu251</t>
  </si>
  <si>
    <t>0300267</t>
  </si>
  <si>
    <t>Black gram, seeds, dehulled, milled into flour, raw</t>
  </si>
  <si>
    <t>Phaseolus mungo Roxb.</t>
  </si>
  <si>
    <t>0300268</t>
  </si>
  <si>
    <t>Green gram, seeds, dehulled, milled into flour, raw</t>
  </si>
  <si>
    <t>Phaseolus aureus Roxb.</t>
  </si>
  <si>
    <t>0300269</t>
  </si>
  <si>
    <t>Lentil, seeds, dehulled, milled into flour, raw</t>
  </si>
  <si>
    <t>0300270</t>
  </si>
  <si>
    <t>Bengal gram, seeds, dehulled, milled into flour, pressure-cooked</t>
  </si>
  <si>
    <t>0300271</t>
  </si>
  <si>
    <t>Black gram, seeds, dehulled, milled into flour, pressure-cooked</t>
  </si>
  <si>
    <t>0300272</t>
  </si>
  <si>
    <t>Green gram, seeds, dehulled, milled into flour, pressure-cooked</t>
  </si>
  <si>
    <t>0300273</t>
  </si>
  <si>
    <t>Lentil, seeds, dehulled, milled into flour, pressure-cooked</t>
  </si>
  <si>
    <t>0300274</t>
  </si>
  <si>
    <t>India, Tamil Nadu</t>
  </si>
  <si>
    <t>Atylosia scarabaeoides, seeds, sun-dried, raw</t>
  </si>
  <si>
    <t>Atylosia scarabaeoides</t>
  </si>
  <si>
    <t>DF values was analyzed by a non-enzymatic-gravimetric methos (Li &amp; Cardoso, 1994)</t>
  </si>
  <si>
    <t>pu252</t>
  </si>
  <si>
    <t>0300275</t>
  </si>
  <si>
    <t>Rhynchosia filipes, seeds, sun-dried, raw</t>
  </si>
  <si>
    <t>Rhynchosia filipes</t>
  </si>
  <si>
    <t>0300276</t>
  </si>
  <si>
    <t>Vigna trilobata, seeds, sun-dried, raw</t>
  </si>
  <si>
    <t>Vigna trilobata</t>
  </si>
  <si>
    <t>0300277</t>
  </si>
  <si>
    <t>Vigna unguiculata subsp. unguiculata, seeds, sun-dried, raw</t>
  </si>
  <si>
    <t>Vigna unguiculata subsp. unguiculata</t>
  </si>
  <si>
    <t>0300278</t>
  </si>
  <si>
    <t>Greece, Central and Northern areas</t>
  </si>
  <si>
    <t>Koukiá</t>
  </si>
  <si>
    <t>Broad beans, seeds, water-soaked, boiled, drained, hulled</t>
  </si>
  <si>
    <t>not clear if soaking water was discarded</t>
  </si>
  <si>
    <t>pu254</t>
  </si>
  <si>
    <t>0300279</t>
  </si>
  <si>
    <t>Revíthia</t>
  </si>
  <si>
    <t>Chickpeas, seeds, water-soaked, boiled, drained</t>
  </si>
  <si>
    <t>0300280</t>
  </si>
  <si>
    <t>Fakés</t>
  </si>
  <si>
    <t>Lentil, seeds, large, boiled, drained</t>
  </si>
  <si>
    <t>0300281</t>
  </si>
  <si>
    <t>Lentil, seeds, small, boiled, drained</t>
  </si>
  <si>
    <t>0300282</t>
  </si>
  <si>
    <t>Gígantes</t>
  </si>
  <si>
    <t>Beans, Giant, seeds, water-soaked, boiled, drained</t>
  </si>
  <si>
    <t>0300283</t>
  </si>
  <si>
    <t>Eléphantes</t>
  </si>
  <si>
    <t>Beans, Elephant, seeds, water-soaked, boiled, drained</t>
  </si>
  <si>
    <t>0300284</t>
  </si>
  <si>
    <t>Fasólia mavromátika</t>
  </si>
  <si>
    <t>Black-eyed beans, seeds, water-soaked, boiled, drained</t>
  </si>
  <si>
    <t>0300285</t>
  </si>
  <si>
    <t>Trade Name: Lenticchie Fertitecnica Colfiorito Alta Qualità</t>
  </si>
  <si>
    <t>pu255</t>
  </si>
  <si>
    <t>0300286</t>
  </si>
  <si>
    <t>Trade Name: Lenticchie Terra e Sole</t>
  </si>
  <si>
    <t>0300287</t>
  </si>
  <si>
    <t>Trade Name: Lenticchie Fertitecnica Colfiorito</t>
  </si>
  <si>
    <t>0300288</t>
  </si>
  <si>
    <t>Trade Name: Lenticchie Azienda Agricola Monte Castello</t>
  </si>
  <si>
    <t>0300289</t>
  </si>
  <si>
    <t>Trade Name: Lenticchie Casteluccio di Norcia</t>
  </si>
  <si>
    <t>0300290</t>
  </si>
  <si>
    <t>Trade Name: Lenticchie degli Altipiani Umbri</t>
  </si>
  <si>
    <t>0300291</t>
  </si>
  <si>
    <t>Trade Name: Lenticchie Colfiorito Qualità Oro</t>
  </si>
  <si>
    <t>0300292</t>
  </si>
  <si>
    <t>Trade Name: Lenticchie nera di Sicilia Bio</t>
  </si>
  <si>
    <t>0300293</t>
  </si>
  <si>
    <t>Chickling (grass pea), seeds, dried, raw</t>
  </si>
  <si>
    <t>Trade Name: Cicerchia Tenuta Mattioni</t>
  </si>
  <si>
    <t>0300294</t>
  </si>
  <si>
    <t>Trade Name: Piselli secchi Fertitecnica Colfiorito</t>
  </si>
  <si>
    <t>0300295</t>
  </si>
  <si>
    <t>Pea, Green, seeds, dried, raw</t>
  </si>
  <si>
    <t>Trade Name: Piselli verdi spezzati Bio</t>
  </si>
  <si>
    <t>0300296</t>
  </si>
  <si>
    <t>Trade Name: Ceci Terra e Sole</t>
  </si>
  <si>
    <t>0300297</t>
  </si>
  <si>
    <t>Trade Name: Ceci Fertitecnica Colfiorito</t>
  </si>
  <si>
    <t>0300298</t>
  </si>
  <si>
    <t>Trade Name: Ceci della Puglia Orti Italiani</t>
  </si>
  <si>
    <t>0300299</t>
  </si>
  <si>
    <t>Soybean, seeds, dried, raw</t>
  </si>
  <si>
    <t>Glycine max</t>
  </si>
  <si>
    <t>Trade Name: Soia gialla Fertitecnica Colfiorito</t>
  </si>
  <si>
    <t>0300300</t>
  </si>
  <si>
    <t>Fava bean (broad bean), seeds, dried, raw</t>
  </si>
  <si>
    <t>Vicia Faba</t>
  </si>
  <si>
    <t>Trade Name: Fave intere Simply</t>
  </si>
  <si>
    <t>0300301</t>
  </si>
  <si>
    <t>Egypt</t>
  </si>
  <si>
    <t>Trade Name: Fave spezzate Fertitecnica Colfiorito</t>
  </si>
  <si>
    <t>0300302</t>
  </si>
  <si>
    <t>Navy bean, seeds, dried, raw</t>
  </si>
  <si>
    <t>Trade Name: Fagioli tondini Fertitecnica Colfiorito</t>
  </si>
  <si>
    <t>0300303</t>
  </si>
  <si>
    <t>Cannellini bean, seeds, dried, raw</t>
  </si>
  <si>
    <t>Trade Name: Fagioli cannellini Terra e Sole</t>
  </si>
  <si>
    <t>0300304</t>
  </si>
  <si>
    <t>Roman bean, seeds, dried, raw</t>
  </si>
  <si>
    <t>Trade Name: Fagioli borlotti Simply</t>
  </si>
  <si>
    <t>0300305</t>
  </si>
  <si>
    <t>Butter bean, seeds, dried, raw</t>
  </si>
  <si>
    <t>Phaseolus lunatus</t>
  </si>
  <si>
    <t>Trade Name: Fagioli corona Fertitecnica Colfiorito</t>
  </si>
  <si>
    <t>0300306</t>
  </si>
  <si>
    <t>Peru</t>
  </si>
  <si>
    <t>Black eyed bean, seeds, dried, raw</t>
  </si>
  <si>
    <t>Trade Name: Fagioli occhio Fertitecnica Colfiorito</t>
  </si>
  <si>
    <t>0300307</t>
  </si>
  <si>
    <t>Black bean, seeds, dried, raw</t>
  </si>
  <si>
    <t>Trade Name: Fagioli neri Fertitecnica Colfiorito</t>
  </si>
  <si>
    <t>0300308</t>
  </si>
  <si>
    <t>Trade Name: Fagioli borlotti Terra e Sole</t>
  </si>
  <si>
    <t>0300309</t>
  </si>
  <si>
    <t>Azuki bean, seeds, dried, raw</t>
  </si>
  <si>
    <t>Vigna angularis</t>
  </si>
  <si>
    <t>Trade Name: Azuchi verdi Fertitecnica Colfiorito</t>
  </si>
  <si>
    <t>0300310</t>
  </si>
  <si>
    <t>Cameroon</t>
  </si>
  <si>
    <t>Kidney bean, seeds, dried, raw</t>
  </si>
  <si>
    <t>Trade Name: Fagioli rossi</t>
  </si>
  <si>
    <t>0300311</t>
  </si>
  <si>
    <t>Faba beans, seeds, raw</t>
  </si>
  <si>
    <t>Vicia faba minor</t>
  </si>
  <si>
    <t>Data expressed in DW converted to FW</t>
  </si>
  <si>
    <t>pu256</t>
  </si>
  <si>
    <t>0300312</t>
  </si>
  <si>
    <t>Faba beans, seeds, dehulled, raw</t>
  </si>
  <si>
    <t>0300313</t>
  </si>
  <si>
    <t>Faba beans, seeds, flaked</t>
  </si>
  <si>
    <t>0300314</t>
  </si>
  <si>
    <t>Faba beans, seeds, cooked</t>
  </si>
  <si>
    <t xml:space="preserve">cooking in water at 100°C for 30’ </t>
  </si>
  <si>
    <t>0300315</t>
  </si>
  <si>
    <t>Faba beans, seeds, germinated</t>
  </si>
  <si>
    <t>0300316</t>
  </si>
  <si>
    <t>India, Andhra Pradesh (Hyderabad and Secunderabad)</t>
  </si>
  <si>
    <t>pu257</t>
  </si>
  <si>
    <t>0300317</t>
  </si>
  <si>
    <t>0300318</t>
  </si>
  <si>
    <t>0300319</t>
  </si>
  <si>
    <t>0300320</t>
  </si>
  <si>
    <t>Turkey, Antalya</t>
  </si>
  <si>
    <t>Faba bean, seeds, mature, dried, raw</t>
  </si>
  <si>
    <t>Vicia faba L. Var. major</t>
  </si>
  <si>
    <t>The proximate composition was dnot compiled because the sum of the components is out of the acceptable range</t>
  </si>
  <si>
    <t>pu258</t>
  </si>
  <si>
    <t>0300327</t>
  </si>
  <si>
    <t>Marocco (Chaouia and Sais)</t>
  </si>
  <si>
    <t>Peas, seeds, dried, raw</t>
  </si>
  <si>
    <t>Pisum spp.</t>
  </si>
  <si>
    <t>Data expressed in DW converted to FW; nitrogen was converted to protein using the factors recommended by Jones (1931)</t>
  </si>
  <si>
    <t>pu261</t>
  </si>
  <si>
    <t>0300328</t>
  </si>
  <si>
    <t>0300329</t>
  </si>
  <si>
    <t>0300330</t>
  </si>
  <si>
    <t>Beans, White, , seeds, dried, raw</t>
  </si>
  <si>
    <t>0300331</t>
  </si>
  <si>
    <t>Broad beans, seeds, dried, raw</t>
  </si>
  <si>
    <t>0300332</t>
  </si>
  <si>
    <t>Italy, Piedmont</t>
  </si>
  <si>
    <t>Cece di Merella</t>
  </si>
  <si>
    <t>Data assumed as expressed in FW of dried seeds</t>
  </si>
  <si>
    <t>pu262</t>
  </si>
  <si>
    <t>0300333</t>
  </si>
  <si>
    <t>Italy, Marche</t>
  </si>
  <si>
    <t>Cece Alta Valle di Misa</t>
  </si>
  <si>
    <t>0300334</t>
  </si>
  <si>
    <t>Cicerchia di Serra de Conti</t>
  </si>
  <si>
    <t>Grass pea, seeds, dried, raw</t>
  </si>
  <si>
    <t>0300335</t>
  </si>
  <si>
    <t>Italy, Lazio</t>
  </si>
  <si>
    <t>Cicerchia di Campodimele</t>
  </si>
  <si>
    <t>0300336</t>
  </si>
  <si>
    <t>Italy, Umbria</t>
  </si>
  <si>
    <t>Lenticchia di Castelluccio di Norcia</t>
  </si>
  <si>
    <t>0300337</t>
  </si>
  <si>
    <t>Italy, Sicily</t>
  </si>
  <si>
    <t>Lenticchia di Ustica</t>
  </si>
  <si>
    <t>0300338</t>
  </si>
  <si>
    <t>Italy, Abruzzo</t>
  </si>
  <si>
    <t>Lenticchia di Santo Stefano di Sessanio</t>
  </si>
  <si>
    <t>0300339</t>
  </si>
  <si>
    <t>Lenticchia rossa di Pantelleria</t>
  </si>
  <si>
    <t>0300340</t>
  </si>
  <si>
    <t>Italy, Apulia</t>
  </si>
  <si>
    <t>Lenticchia di Altamura</t>
  </si>
  <si>
    <t>0300341</t>
  </si>
  <si>
    <t>Lenticchia di Villalba</t>
  </si>
  <si>
    <t>0300342</t>
  </si>
  <si>
    <t>Pisello riccio di Sannicola</t>
  </si>
  <si>
    <t>0300343</t>
  </si>
  <si>
    <t>Egypt, Giza</t>
  </si>
  <si>
    <t>Vigna sinensis L.</t>
  </si>
  <si>
    <t>Proximate composition was determined according to AACC (2000); data on DW converted to FW</t>
  </si>
  <si>
    <t>pu266</t>
  </si>
  <si>
    <t>0300344</t>
  </si>
  <si>
    <t>Pea, seeds, raw</t>
  </si>
  <si>
    <t>Pisum sativum L.</t>
  </si>
  <si>
    <t>0300345</t>
  </si>
  <si>
    <t>USA, Virginia</t>
  </si>
  <si>
    <t>Great northern beans, seeds, dried, raw</t>
  </si>
  <si>
    <t>pu275/pu276</t>
  </si>
  <si>
    <t>0300346</t>
  </si>
  <si>
    <t>Baby lima beans, seeds, dried, raw</t>
  </si>
  <si>
    <t>Phaseolus limensis</t>
  </si>
  <si>
    <t>0300347</t>
  </si>
  <si>
    <t>Large lima beans, seeds, dried, raw</t>
  </si>
  <si>
    <t>0300348</t>
  </si>
  <si>
    <t>Cowpea, blackeyed, seeds, dried, raw</t>
  </si>
  <si>
    <t>Vigna unguiculata (L.) Walp</t>
  </si>
  <si>
    <t>0300349</t>
  </si>
  <si>
    <t>0300350</t>
  </si>
  <si>
    <t>Peas, green, seeds, without seed coat, splited, dried, raw</t>
  </si>
  <si>
    <t>0300351</t>
  </si>
  <si>
    <t>Lentil, seeds, without seed coat, splited, dried, raw</t>
  </si>
  <si>
    <t>Lens culinaris Medic</t>
  </si>
  <si>
    <t>0300352</t>
  </si>
  <si>
    <t>Great northern beans, seeds, dried, boiled, drained</t>
  </si>
  <si>
    <t>Boiled for 75 min</t>
  </si>
  <si>
    <t>0300353</t>
  </si>
  <si>
    <t>Lima beans, Baby, seeds, dried, boiled, drained</t>
  </si>
  <si>
    <t>Boiled for 60 min</t>
  </si>
  <si>
    <t>0300354</t>
  </si>
  <si>
    <t>Lima beans, Large, seeds, dried, boiled, drained</t>
  </si>
  <si>
    <t>0300355</t>
  </si>
  <si>
    <t>Cowpea, blackeyed, seeds, dried, boiled, drained</t>
  </si>
  <si>
    <t>Boiled for 30 min</t>
  </si>
  <si>
    <t>0300356</t>
  </si>
  <si>
    <t>Chickpea, seeds, dried, boiled, drained</t>
  </si>
  <si>
    <t>Boiled for 140 min</t>
  </si>
  <si>
    <t>0300357</t>
  </si>
  <si>
    <t>Peas, green, seeds, without seed coat, splited, dried, boiled, drained</t>
  </si>
  <si>
    <t>Boiled for 20 min</t>
  </si>
  <si>
    <t>0300358</t>
  </si>
  <si>
    <t>Lentil, seeds, without seed coat, splited, dried, boiled, drained</t>
  </si>
  <si>
    <t>0300359</t>
  </si>
  <si>
    <t>Pakistan, Peshawar</t>
  </si>
  <si>
    <t>Field pea, seeds, whole, raw</t>
  </si>
  <si>
    <t>Pisum awense L.</t>
  </si>
  <si>
    <t>Proximate analysis was done according to AOAC (1980)</t>
  </si>
  <si>
    <t>pu278</t>
  </si>
  <si>
    <t>0300360</t>
  </si>
  <si>
    <t>Field pea, seeds, dehulled, raw</t>
  </si>
  <si>
    <t>0300361</t>
  </si>
  <si>
    <t>Field pea, seeds, whole, boiled</t>
  </si>
  <si>
    <t>0300362</t>
  </si>
  <si>
    <t>Field pea, seeds, dehulled, boiled</t>
  </si>
  <si>
    <t>0300363</t>
  </si>
  <si>
    <t>Sweden, Uppsala</t>
  </si>
  <si>
    <t>Faba beans, seeds, dried, raw</t>
  </si>
  <si>
    <t>pu192</t>
  </si>
  <si>
    <t>0300364</t>
  </si>
  <si>
    <t>Faba beans, seeds, dried, soaked, raw</t>
  </si>
  <si>
    <t>Soaked in water for 14h at 20 °C</t>
  </si>
  <si>
    <t>0300365</t>
  </si>
  <si>
    <t>Faba beans, seeds, dried, soaked, blanched</t>
  </si>
  <si>
    <t>Soaked in water for 14h at 20 °C; blanched at 98 °C for 2 min</t>
  </si>
  <si>
    <t>0300366</t>
  </si>
  <si>
    <t>Faba beans, seeds, dried, soaked, blanched, autoclaved (canned)</t>
  </si>
  <si>
    <t>Soaked in water for 14h at 20 °C; blanched at 98 °C for 2 min; autoclaved at 121 °C with EDTA</t>
  </si>
  <si>
    <t>0300367</t>
  </si>
  <si>
    <t>Soaked in water for 14h at 20 °C; blanched at 98 °C for 2 min; autoclaved at 121 °C without EDTA</t>
  </si>
  <si>
    <t>0300368</t>
  </si>
  <si>
    <t>Soaked in water for 14h at 20 °C; blanched at 98 °C for 2 min; autoclaved at 128 °C with EDTA</t>
  </si>
  <si>
    <t>0300369</t>
  </si>
  <si>
    <t>Soaked in water for 14h at 20 °C; blanched at 98 °C for 2 min; autoclaved at 128 °C without EDTA</t>
  </si>
  <si>
    <t>0300370</t>
  </si>
  <si>
    <t>0300371</t>
  </si>
  <si>
    <t>Chickpea, seeds, dried, water-soaked, raw</t>
  </si>
  <si>
    <t>0300372</t>
  </si>
  <si>
    <t>Chickpea, seeds, dried, water-soaked, blanched</t>
  </si>
  <si>
    <t>0300373</t>
  </si>
  <si>
    <t>Chickpea, seeds, dried, water-soaked, blanched, autoclaved (canned)</t>
  </si>
  <si>
    <t>0300374</t>
  </si>
  <si>
    <t>0300375</t>
  </si>
  <si>
    <t>0300376</t>
  </si>
  <si>
    <t>0300377</t>
  </si>
  <si>
    <t>0300378</t>
  </si>
  <si>
    <t>Soaked in water for 12 h at 25 °C</t>
  </si>
  <si>
    <t>0300379</t>
  </si>
  <si>
    <t>Faba beans, seeds, dried, soaked, germinated for 24 h, raw</t>
  </si>
  <si>
    <t>0300380</t>
  </si>
  <si>
    <t>Faba beans, seeds, dried, soaked, germinated for 48 h, raw</t>
  </si>
  <si>
    <t>0300381</t>
  </si>
  <si>
    <t>Faba beans, seeds, dried, soaked, germinated for 72 h, raw</t>
  </si>
  <si>
    <t>0300382</t>
  </si>
  <si>
    <t>0300383</t>
  </si>
  <si>
    <t>0300384</t>
  </si>
  <si>
    <t>Chickpea, seeds, dried, water-soaked, germinated for 24 h, raw</t>
  </si>
  <si>
    <t>0300385</t>
  </si>
  <si>
    <t>Chickpea, seeds, dried, water-soaked, germinated for 48 h, raw</t>
  </si>
  <si>
    <t>0300386</t>
  </si>
  <si>
    <t>Chickpea, seeds, dried, water-soaked, germinated for 72 h, raw</t>
  </si>
  <si>
    <t>0300387</t>
  </si>
  <si>
    <t>Kosovo, Gjilan</t>
  </si>
  <si>
    <t>Common bean, seed, raw</t>
  </si>
  <si>
    <t>2012-2013</t>
  </si>
  <si>
    <t>Longitude: 21°24'21'' Latitude: 43°19'53'' Altitude: 557m</t>
  </si>
  <si>
    <t>Data expressed in DM, converted in edible portion (moisture not given in the article but asked to the author) - PC was determined by Kjeldahl - FC by extraction using Soxhlet method (using petroleum ether at boiling point 40 - 60°C) - minerals expressed in g/100g DM or ppm DM converted in mg/100g</t>
  </si>
  <si>
    <t>pu105</t>
  </si>
  <si>
    <t>0300388</t>
  </si>
  <si>
    <t>Longitude: 21°33'49''  Latitude: 42°26'03'' Altitude: 454m</t>
  </si>
  <si>
    <t>Data expressed in DM, converted in edible portion - PC was determined by Kjeldahl - FC by extraction using Soxhlet method (using petroleum ether at boiling point 40 - 60°C).</t>
  </si>
  <si>
    <t>0300389</t>
  </si>
  <si>
    <t>Kosovo, Lipjan</t>
  </si>
  <si>
    <t>Longitude: 21°02'13'' Latitude: 42°32'38'' Altitude: 549m</t>
  </si>
  <si>
    <t>0300390</t>
  </si>
  <si>
    <t>Longitude: 21°06'02'' Latitude: 42°30'19'' Altitude: 572m</t>
  </si>
  <si>
    <t>0300391</t>
  </si>
  <si>
    <t>Kosovo, Podujevë</t>
  </si>
  <si>
    <t>Longitude: 21°05'37'' Latitude: 42°51'27'' Altitude: 633m</t>
  </si>
  <si>
    <t>0300392</t>
  </si>
  <si>
    <t>Longitude: 21°10'18'' Latitude: 42°50'27'' Altitude: 575m</t>
  </si>
  <si>
    <t>0300393</t>
  </si>
  <si>
    <t xml:space="preserve">Kosovo, Skenderaj </t>
  </si>
  <si>
    <t>Longitude: 20°53'34'' Latitude: 42°42'44'' Altitude: 652m</t>
  </si>
  <si>
    <t>0300394</t>
  </si>
  <si>
    <t>Longitude: 20°53'20'' Latitude: 42°42'16'' Altitude: 603m</t>
  </si>
  <si>
    <t>0300395</t>
  </si>
  <si>
    <t xml:space="preserve">Kosovo, Vushtrri </t>
  </si>
  <si>
    <t>Longitude: 20°58'48'' Latitude: 42°45'55'' Altitude: 534m</t>
  </si>
  <si>
    <t>0300396</t>
  </si>
  <si>
    <t>Longitude: 20°58'59'' Latitude: 42°44'43'' Altitude: 529m</t>
  </si>
  <si>
    <t>0300397</t>
  </si>
  <si>
    <t>Kosovo, Prizren</t>
  </si>
  <si>
    <t>Longitude: 20°43'59'' Latitude: 42°16'49'' Altitude: 356m</t>
  </si>
  <si>
    <t>0300398</t>
  </si>
  <si>
    <t>Longitude: 20°40'40' Latitude: 42°14'34'' Altitude: 372m</t>
  </si>
  <si>
    <t>0300399</t>
  </si>
  <si>
    <t>Kosovo, Dragash</t>
  </si>
  <si>
    <t>Longitude: 20°43'02'' Latitude: 42°07'56'' Altitude: 1141m</t>
  </si>
  <si>
    <t>0300400</t>
  </si>
  <si>
    <t>Longitude: 20°41'19'' Latitude: 42°06'37'' Altitude: 1000m</t>
  </si>
  <si>
    <t>0300401</t>
  </si>
  <si>
    <t>Kosovo, Suharekë</t>
  </si>
  <si>
    <t>Longitude: 20°46'08'' Latitude: 42°05'06'' Altitude: 351m</t>
  </si>
  <si>
    <t>0300402</t>
  </si>
  <si>
    <t>Longitude: 20°44'05'' Latitude: 42°22'08'' Altitude: 415m</t>
  </si>
  <si>
    <t>0300403</t>
  </si>
  <si>
    <t>Kosovo, Deqan</t>
  </si>
  <si>
    <t>Longitude: 20°50'34'' Latitude: 42°20'36'' Altitude: 564m</t>
  </si>
  <si>
    <t>0300404</t>
  </si>
  <si>
    <t>Longitude: 20°16'38'' Latitude: 42°33'24'' Altitude: 581m</t>
  </si>
  <si>
    <t>0300405</t>
  </si>
  <si>
    <t>Kosovo, Pejë</t>
  </si>
  <si>
    <t>Longitude: 20°18'09'' Latitude: 42°33'26'' Altitude: 490m</t>
  </si>
  <si>
    <t>0300406</t>
  </si>
  <si>
    <t>Longitude: 20°07'06'' Latitude: 42°40'51'' Altitude: 487m</t>
  </si>
  <si>
    <t>0300407</t>
  </si>
  <si>
    <t>Kosovo, Ferizaj</t>
  </si>
  <si>
    <t>Longitude: 20°19'14'' Latitude: 42°36'56'' Altitude: 559m</t>
  </si>
  <si>
    <t>0300408</t>
  </si>
  <si>
    <t>Longitude: 21°13'32'' Latitude: 42°20'12'' Altitude: 562m</t>
  </si>
  <si>
    <t>0300409</t>
  </si>
  <si>
    <t>Kosovo, Fushë Kosovë</t>
  </si>
  <si>
    <t>Longitude: 21°13'51'' Latitude: 42°20'16'' Altitude: 557m</t>
  </si>
  <si>
    <t>0300410</t>
  </si>
  <si>
    <t>Longitude: 21°12'27'' Latitude: 42°36'00'' Altitude: 617m</t>
  </si>
  <si>
    <t>0300411</t>
  </si>
  <si>
    <t>Kosovo, Istog</t>
  </si>
  <si>
    <t>Longitude: 21°04'05'' Latitude: 42°36'39'' Altitude: 479m</t>
  </si>
  <si>
    <t>0300412</t>
  </si>
  <si>
    <t>Kosovo, Skenderaj</t>
  </si>
  <si>
    <t>Longitude: 20°53'20'' Latitude: 42°42'16'' Altitude: 655m</t>
  </si>
  <si>
    <t>0300413</t>
  </si>
  <si>
    <t>Kosovo, Malisheve</t>
  </si>
  <si>
    <t>Longitude: 20°42'26'' Latitude: 42°36'46'' Altitude: 380m</t>
  </si>
  <si>
    <t>0300414</t>
  </si>
  <si>
    <t>Longitude: 21°04'43'' Latitude: 42°31'47'' Altitude: 544m</t>
  </si>
  <si>
    <t>0300415</t>
  </si>
  <si>
    <t>Kosovo, Gjakove</t>
  </si>
  <si>
    <t>Longitude: 20°46'34'' Latitude: 42°28'03'' Altitude: 613m</t>
  </si>
  <si>
    <t>0300416</t>
  </si>
  <si>
    <t>Kosovo, Vushtrri</t>
  </si>
  <si>
    <t>Longitude: 20°58'23'' Latitude: 42°43'44'' Altitude: 590m</t>
  </si>
  <si>
    <t>0300417</t>
  </si>
  <si>
    <t>Kosovo, Novo Berda</t>
  </si>
  <si>
    <t>Longitude: 21°21'06'' Latitude: 42°34'43'' Altitude: 630m</t>
  </si>
  <si>
    <t>0300418</t>
  </si>
  <si>
    <t>Longitude: 20°46'08'' Latitude: 42°05'17'' Altitude: 1081m</t>
  </si>
  <si>
    <t>0300419</t>
  </si>
  <si>
    <t>Longitude: 21°09'06'' Latitude: 42°25'21'' Altitude: 555m</t>
  </si>
  <si>
    <t>0300420</t>
  </si>
  <si>
    <t>Kosovo, Shterpca</t>
  </si>
  <si>
    <t>Longitude: 20°31'31'' Latitude: 42°17'34'' Altitude: 483m</t>
  </si>
  <si>
    <t>0300421</t>
  </si>
  <si>
    <t>Kosovo, Rahovec</t>
  </si>
  <si>
    <t>Longitude: 20°26'39'' Latitude: 42°45'54'' Altitude: 580m</t>
  </si>
  <si>
    <t>0300422</t>
  </si>
  <si>
    <t>Longitude: 21°13'26'' Latitude: 42°20'17'' Altitude: 561m</t>
  </si>
  <si>
    <t>0300423</t>
  </si>
  <si>
    <t>Kosovo, Klina</t>
  </si>
  <si>
    <t>Longitude: 20°58'23' Latitude: 42°57'11'' Altitude: 589m</t>
  </si>
  <si>
    <t>0300424</t>
  </si>
  <si>
    <t>Longitude: 20°49'48'' Latitude: 42°20'25'' Altitude: 409m</t>
  </si>
  <si>
    <t>0300425</t>
  </si>
  <si>
    <t>Kosovo, Mitrovica</t>
  </si>
  <si>
    <t>Longitude: 21°03'13'' Latitude: 42°23'50'' Altitude: 557m</t>
  </si>
  <si>
    <t>0300426</t>
  </si>
  <si>
    <t>Kosovo, Podujeve</t>
  </si>
  <si>
    <t>Longitude: 21°10'07'' Latitude: 42°52'11'' Altitude: 590m</t>
  </si>
  <si>
    <t>0300427</t>
  </si>
  <si>
    <t>Kosovo, Shtime</t>
  </si>
  <si>
    <t>Longitude: 21°17'48'' Latitude: 42°19'59'' Altitude: 390m</t>
  </si>
  <si>
    <t>0300428</t>
  </si>
  <si>
    <t>Longitude: 20°52'45'' Latitude: 42°43'13'' Altitude: 683m</t>
  </si>
  <si>
    <t>0300429</t>
  </si>
  <si>
    <t>Kosovo, Viti</t>
  </si>
  <si>
    <t>Longitude: 20°33'47'' Latitude: 42°21'17'' Altitude: 578m</t>
  </si>
  <si>
    <t>0300430</t>
  </si>
  <si>
    <t>Longitude: 21°34'55'' Latitude: 42°25'40'' Altitude: 455m</t>
  </si>
  <si>
    <t>0300431</t>
  </si>
  <si>
    <t>Longitude: 20°17'48'' Latitude: 42°31'42'' Altitude: 649m</t>
  </si>
  <si>
    <t>0300432</t>
  </si>
  <si>
    <t>Longitude: 20°07'01'' Latitude: 42°41'22'' Altitude: 792m</t>
  </si>
  <si>
    <t>0300433</t>
  </si>
  <si>
    <t xml:space="preserve">Kosovo, Prizren </t>
  </si>
  <si>
    <t>Longitude: 20°41'59'' Latitude: 42°14'15'' Altitude: 379m</t>
  </si>
  <si>
    <t>0300440</t>
  </si>
  <si>
    <t>Brasil, Brasilia (National Center of Vegetable Research of the Brazilian Company of Farming Research) and from Campinas (The Campinas Agronomic Institute)</t>
  </si>
  <si>
    <t>Chickpea, seed, mature, raw</t>
  </si>
  <si>
    <t>Part of the grains of each legume was ground raw into flour</t>
  </si>
  <si>
    <t>Data expressed by the author in FW; the method for analyzing total lipids is (Bligh &amp; Dyer,1959)</t>
  </si>
  <si>
    <t>pu111</t>
  </si>
  <si>
    <t>0300441</t>
  </si>
  <si>
    <t>Chickpea, seed, mature, water-soaked, pressure-cooked, freeze-dried</t>
  </si>
  <si>
    <t>Part of the grains of each legume was ground raw into flour, and the rest washed in running water, soaked for a period of 16 h (1:2 w/v) and then cooked with the addition of one volume of water. Common bean and chickpea grains were cooked in a domestic pressure (14.7 psi) cooker for 20 and 40 min, respectively, measured after the air exhaustion. The cooked material was frozen, freeze-dried (Virtis, 10–146 MRBA model) and ground into flour (60 mesh).</t>
  </si>
  <si>
    <t>0300442</t>
  </si>
  <si>
    <t>Mexico, Acapulco</t>
  </si>
  <si>
    <t>Common bean, flour, raw</t>
  </si>
  <si>
    <t>commercial brand F1; Three commercial bean flours (F1–F3) and three processed canned beans (C1–C3) were purchased in a local supermarket in Acapulco. The flours and canned beans were used directly. Canned beans were studied either directly or after drying (55  C,24 h) in a convection oven and milling (50Mesh) to obtain a flour (CF1–CF3).</t>
  </si>
  <si>
    <t>Data for proteins, lipids and ash are expressed per DW by the author, converted per FW; lipids value according to the method 30-25 (AACC,1983)</t>
  </si>
  <si>
    <t>pu117</t>
  </si>
  <si>
    <t>MF/FG</t>
  </si>
  <si>
    <t>0300443</t>
  </si>
  <si>
    <t>commercial brand F2; Three commercial bean flours (F1–F3) and three processed canned beans (C1–C3) were purchased in a local supermarket in Acapulco. The flours and canned beans were used directly. Canned beans were studied either directly or after drying (55  C,24 h) in a convection oven and milling (50Mesh) to obtain a flour (CF1–CF3).</t>
  </si>
  <si>
    <t>0300444</t>
  </si>
  <si>
    <t>commercial brand F3; Three commercial bean flours (F1–F3) and three processed canned beans (C1–C3) were purchased in a local supermarket in Acapulco. The flours and canned beans were used directly. Canned beans were studied either directly or after drying (55  C,24 h) in a convection oven and milling (50Mesh) to obtain a flour (CF1–CF3).</t>
  </si>
  <si>
    <t>0300445</t>
  </si>
  <si>
    <t>Common bean, seed, canned, dried</t>
  </si>
  <si>
    <t>commercial brand C1; Three commercial bean flours (F1–F3) and three processed canned beans (C1–C3) were purchased in a local supermarket in Acapulco. The flours and canned beans were used directly. Canned beans were studied either directly or after drying (55  C,24 h) in a convection oven and milling (50Mesh) to obtain a flour (CF1–CF3).</t>
  </si>
  <si>
    <t>0300446</t>
  </si>
  <si>
    <t>commercial brand C2; Three commercial bean flours (F1–F3) and three processed canned beans (C1–C3) were purchased in a local supermarket in Acapulco. The flours and canned beans were used directly. Canned beans were studied either directly or after drying (55  C,24 h) in a convection oven and milling (50Mesh) to obtain a flour (CF1–CF3).</t>
  </si>
  <si>
    <t>0300447</t>
  </si>
  <si>
    <t>commercial brand C3; Three commercial bean flours (F1–F3) and three processed canned beans (C1–C3) were purchased in a local supermarket in Acapulco. The flours and canned beans were used directly. Canned beans were studied either directly or after drying (55  C,24 h) in a convection oven and milling (50Mesh) to obtain a flour (CF1–CF3).</t>
  </si>
  <si>
    <t>0300448</t>
  </si>
  <si>
    <t xml:space="preserve">Nigeria, Oyo and Ondo States
</t>
  </si>
  <si>
    <t>African yam bean, seed, raw</t>
  </si>
  <si>
    <t>Sphenotylis stenocarpa</t>
  </si>
  <si>
    <t>Seed colour: grey; The legumes were sorted, milled and stored in polythene bags at 4°C. African yam bean 1.</t>
  </si>
  <si>
    <t>The contents of crude lipid, crude fibre and ash were determined by AOAC (1984) method.</t>
  </si>
  <si>
    <t>pu130</t>
  </si>
  <si>
    <t>0300449</t>
  </si>
  <si>
    <t>Seed colour: brown; The legumes were sorted, milled and stored in polythene bags at 4°C. African yam bean 2.</t>
  </si>
  <si>
    <t>0300450</t>
  </si>
  <si>
    <t>Lima bean, seed, raw</t>
  </si>
  <si>
    <t>Seed colour: white; The legumes were sorted, milled and stored in polythene bags at 4°C. Lima bean 2.</t>
  </si>
  <si>
    <t>0300451</t>
  </si>
  <si>
    <t>Oman, Dakhaliyah</t>
  </si>
  <si>
    <t>Faba bean, seed, raw</t>
  </si>
  <si>
    <t>Data for phytochemical components expressed on DW basis by the author converted on FW basis</t>
  </si>
  <si>
    <t>pu143</t>
  </si>
  <si>
    <t>0300452</t>
  </si>
  <si>
    <t>Oman, Dhahirah</t>
  </si>
  <si>
    <t>0300453</t>
  </si>
  <si>
    <t>Oman, Batinah</t>
  </si>
  <si>
    <t>0300454</t>
  </si>
  <si>
    <t>Cowpea, seed, raw</t>
  </si>
  <si>
    <t>0300455</t>
  </si>
  <si>
    <t>0300456</t>
  </si>
  <si>
    <t>0300457</t>
  </si>
  <si>
    <t>Chickpea, seed, raw</t>
  </si>
  <si>
    <t>0300458</t>
  </si>
  <si>
    <t>0300459</t>
  </si>
  <si>
    <t>0300460</t>
  </si>
  <si>
    <t>Lentil, seed, raw</t>
  </si>
  <si>
    <t>0300461</t>
  </si>
  <si>
    <t>0300462</t>
  </si>
  <si>
    <t>0300463</t>
  </si>
  <si>
    <t>Turkey, Konya, Tarlam Bakliyat</t>
  </si>
  <si>
    <t>Chickpea, seed, tempered, dried, raw</t>
  </si>
  <si>
    <t>r/d</t>
  </si>
  <si>
    <t>Chickpea seeds were washed and tempered up to 20% moisture level with distilled water for 12 h at room temperature. After tempering, the seeds were ground in a lab mill.</t>
  </si>
  <si>
    <t>Data expressed by the author on DW basis converted on FW basis. Phytic acid was analyzed using a colorimetric method, extracted with HCl and precipitated with a solution of Fe III amonium iron (III) sulfate 12H2O.</t>
  </si>
  <si>
    <t>pu146</t>
  </si>
  <si>
    <t>0300464</t>
  </si>
  <si>
    <t>Chickpea, seed, water-soaked, cooked, dried</t>
  </si>
  <si>
    <t>For cooked CPF production, chickpeas were soaked in distilled water for 12 h at room temperature, cooked in excess water for 30 min at 90 ± 2℃, dried at 60℃ for 12 h in an oven (Nüve FN-500, Ankara, Turkey) and milled to flour with a mill as raw CPF.</t>
  </si>
  <si>
    <t>pu147</t>
  </si>
  <si>
    <t>0300465</t>
  </si>
  <si>
    <t>Egypt, Mansoura and Beheira, supermarkets</t>
  </si>
  <si>
    <t>Folates: Folate was quantified by HPLC (Agilent 1100, Agilent Technologies, USA) consisting of a quaternary gradient pump, a thermostated autosampler (8  C) and column compartment (23  C), a fluorescence detector (ex/em 290/360 nm for reduced folates and 360/460 nm for 10-HCO–PteGlu), a multiwavelength detector (290 nm) and Chemstation software (Rev A 10.02 [1757]). Folates were separated on an Aquasil C18 column (3 lm, 150   4.6 mm) In most foods, the folate forms H4folate, 5-CH3–H4folate and 10- HCO–PteGlu were quantified. The sum of these forms was expressed as folic acid in lg/100 g (Table 1). In cereals and legumes, spinach, green peppers and dried Jew’s mellow, 5-HCO–H4folate was masked, preventing accurate quantification. The highest folate content (633 lg/100 g) was found in dried Jew’s mellow due to its low water content, followed by legumes (150 lg/100 g for chick peas) and leafy vegetables (100 lg/100 g). In other foods the folate content ranged from 10 to 90 lg/100 g. With the exception of dried Jew’s mellow, which contained more than 80% 10-HCO–PteGlu, 5-
CH3–H4folate was the predominant folate form in all foods, amounting to approx. 50–80% in cereals and legumes and more than 90% in vegetables. Depending on the food type, H4folate or 10-HCO–PteGlu was the second predominant form. In general, the folate content in cereals and legumes determined by HPLC was lower than reported using the microbiological assay, which can be partly explained by lack of folate standards for all folate forms. This finding is in agreement with Ruggeri, Vahteristo, Aguzzi, Finglas, and Carnovale (1999), and Konings (1999), who reported folate contents to be 20–52% lower when determined by
HPLC. However, our data on folate content in cereals and legumes were also low compared with other HPLC data (Table 1), due to a lack of data for 5-HCO–H4folate. According to Rychlik, Englert, Kapfer, and Kirchhoff (2007), 5-HCO–H4folate amounts to 30% of the folate content in legumes. Pfeiffer, Rogers, and Gregory (1997) reported 29% of the folate content to be 5-HCO–H4folate in unfortified cereal grain products. For vegetables and fruits, our data are in agreement with those reported previously using microbiological or HPLC methods.</t>
  </si>
  <si>
    <t>pu150</t>
  </si>
  <si>
    <t>0300466</t>
  </si>
  <si>
    <t>0300467</t>
  </si>
  <si>
    <t>Kidney bean, seed, raw</t>
  </si>
  <si>
    <t>0300468</t>
  </si>
  <si>
    <t>0300469</t>
  </si>
  <si>
    <t>Faba bean, seed, canned</t>
  </si>
  <si>
    <t>0300470</t>
  </si>
  <si>
    <t>Egypt, Menofiya Governorate, local market</t>
  </si>
  <si>
    <t xml:space="preserve">Data expressed in DW basis by the author converted in FW basis. Data for vitamins expressed in microg/100g by the author converted in mg/100g. Phytic acid was determined according to the method of Wheeler and Ferrel (1971). Amino acids expressed in g/16g N converted in mg/100g. B-vitamins were determined microbiologically using Lactobacillus plantarum ATCC 8014 for niacin. </t>
  </si>
  <si>
    <t>pu154</t>
  </si>
  <si>
    <t>0300471</t>
  </si>
  <si>
    <t>Chickpea, seed, water-soaked, boiled, dried</t>
  </si>
  <si>
    <t>Chickpea seeds were soaked in distilled water (1:10, w/v) for 12 h at room temperature ( 25 1C). The soaked seeds were drained and rinsed three times with 600mL distilled water, then cooked by boiling: The rinsed soaked seeds were cooked in tap water (100 1C) in the ratio of 1:10 (w/v) on a hot plate until they became soft when felt between the fingers (90 min).</t>
  </si>
  <si>
    <t>0300472</t>
  </si>
  <si>
    <t>Chickpea, seed, water-soaked, autoclaved, dried</t>
  </si>
  <si>
    <t>Chickpea seeds were soaked in distilled water (1:10, w/v) for 12 h at room temperature ( 25 1C). The soaked seeds were drained and rinsed three times with 600mL distilled water, then cooked  by autoclaving: The rinsed soaked seeds were autoclaved using vertical autoclave (Systec, Model Systec V-150, Wettenberg, Germany) at 15 lb pressure (121 1C) in tap water (1:10, w/v) until 50% of the seeds were soft when felt between the fingers (35 min).</t>
  </si>
  <si>
    <t>0300473</t>
  </si>
  <si>
    <t>Chickpea, seed, water-soaked, microwaved, dried</t>
  </si>
  <si>
    <t>Chickpea seeds were soaked in distilled water (1:10, w/v) for 12 h at room temperature ( 25 1C). The soaked seeds were drained and rinsed three times with 600mL distilled water, then cooked by microwave cooking: The rinsed soaked seeds were placed in a glass beaker (Type Birex, England) with tap water (1:10, w/v), then cooked in a microwave oven (Goldstar, Model ER-50540, 2450 MHz, Egypt) on high for 15 min (about 50% of the seeds were soft when felt between the fingers). The cooked seeds were dried in an electric air draught oven (VEB MLW Medizinische, Gera¨ te, Berlin, Germany) at 50 1C for 20 h.</t>
  </si>
  <si>
    <t>0300474</t>
  </si>
  <si>
    <t>India, Mysore, Manasagangotri, local market</t>
  </si>
  <si>
    <t xml:space="preserve">Data expressed on DW basis by the author converted in FW. </t>
  </si>
  <si>
    <t>pu155</t>
  </si>
  <si>
    <t>0300475</t>
  </si>
  <si>
    <t>Chickpea, seed, water-soaked, pressure-cooked</t>
  </si>
  <si>
    <t>0300476</t>
  </si>
  <si>
    <t>Chickpea, seed, water-soaked, microwaved</t>
  </si>
  <si>
    <t>0300477</t>
  </si>
  <si>
    <t>Chickpea, seed, water-soaked, sprouted, raw</t>
  </si>
  <si>
    <t>Chickpeas were soaked for eight hours in glass-distilled water.</t>
  </si>
  <si>
    <t>0300478</t>
  </si>
  <si>
    <t>Chickpea, seed, water-soaked, sprouted, pressure-cooked</t>
  </si>
  <si>
    <t>Chickpeas were soaked for eight hours in glass-distilled water. Then, they were sprouted for 48 hours. Germinated grains were cooked by pressure-cooking for 10 min.</t>
  </si>
  <si>
    <t>0300479</t>
  </si>
  <si>
    <t>Chickpea, seed, water-soaked, sprouted, microwaved</t>
  </si>
  <si>
    <t>Chickpeas were soaked for eight hours in glass-distilled water. Then, they were sprouted for 48 hours. Germinated grains were cooked by microwave for 40 min.</t>
  </si>
  <si>
    <t>0300480</t>
  </si>
  <si>
    <t>Jordania</t>
  </si>
  <si>
    <t>Pea, seed, raw</t>
  </si>
  <si>
    <t>Data expressed on DW basis by the author converted in FW basis. Proximates were analyzed acording to (AOAC, 1984) methods.</t>
  </si>
  <si>
    <t>pu157</t>
  </si>
  <si>
    <t>0300481</t>
  </si>
  <si>
    <t>0300482</t>
  </si>
  <si>
    <t>0300483</t>
  </si>
  <si>
    <t>Chickpea, dehulled seed, raw</t>
  </si>
  <si>
    <t>Dehulling and separation of hulls from cotyledons were done as described previously (Sreerama, Neelam, Sashikala, &amp; Pratape, 2010), using a grain-testing device (Strong-Scott Ltd., Winnipeg, MB, Canada). The separated, dehulled cotyledons were ground using a coffee bean grinder, to obtain a fine powder that passed through a 60 mesh sieve. All samples were defatted by blending with hexane (1:5 w/v, 5 min, three times) in a Waring blender at ambient temperature and air-dried for 12 h. Defatted flours were vacuum-packed in polythene pouches and stored in the dark, at 4  C, until used.</t>
  </si>
  <si>
    <t xml:space="preserve">Data expressed on DW basis by the author converted in FW. Proximates were analyzed according to AOAC, 1990 methods. Colorimetric method was used to determine phytate content. </t>
  </si>
  <si>
    <t>pu158</t>
  </si>
  <si>
    <t>0300484</t>
  </si>
  <si>
    <t>Cowpea, dehulled seed, raw</t>
  </si>
  <si>
    <t>0300486</t>
  </si>
  <si>
    <t>Ethiopia, Sidama</t>
  </si>
  <si>
    <t>Baqyela, difin, dereq</t>
  </si>
  <si>
    <t>Broad beans, whole, dried, raw</t>
  </si>
  <si>
    <t>Vicia faba L.</t>
  </si>
  <si>
    <t>For the analysis of inositol hexa-(IP6) and penta-(IP5) phosphates, the HPLC procedure of Lehrfeld (1989), as modified by Hotz and Gibson (2001), was followed.</t>
  </si>
  <si>
    <t>phy1</t>
  </si>
  <si>
    <t>0300487</t>
  </si>
  <si>
    <t>Shimbra, diffn, dereq</t>
  </si>
  <si>
    <t>Chickpeas, whole, dried, raw</t>
  </si>
  <si>
    <t>0300488</t>
  </si>
  <si>
    <t>Adengwarrye</t>
  </si>
  <si>
    <t>Haricot beans, white, whole, sun-dried, raw</t>
  </si>
  <si>
    <t>Phaseolus adenguarre</t>
  </si>
  <si>
    <t>0300489</t>
  </si>
  <si>
    <t>Missir, difin, dereq</t>
  </si>
  <si>
    <t>Lentils, whole, sun-dried, raw</t>
  </si>
  <si>
    <t>Lens culinaris Med</t>
  </si>
  <si>
    <t>0300490</t>
  </si>
  <si>
    <t>Ater, diffn, dereq, nifro</t>
  </si>
  <si>
    <t>Peas, field, whole, sun-dried, raw</t>
  </si>
  <si>
    <t>0300492</t>
  </si>
  <si>
    <t xml:space="preserve">Indonesia, West Nusa Tenggara province, East Lombok District
</t>
  </si>
  <si>
    <t>Kacang hijau</t>
  </si>
  <si>
    <t>Mung bean, boiled</t>
  </si>
  <si>
    <t>Phaseolus radiatus</t>
  </si>
  <si>
    <t>IP fractions were analyzed using high-performance liquid chromatography (HPLC) by a modified method of Lehrfeld (1989).</t>
  </si>
  <si>
    <t>phy2</t>
  </si>
  <si>
    <t>0300493</t>
  </si>
  <si>
    <t>Mung bean flour, raw</t>
  </si>
  <si>
    <t>0300494</t>
  </si>
  <si>
    <t>Mung bean flour, porridge</t>
  </si>
  <si>
    <t>0300495</t>
  </si>
  <si>
    <t>United States of America, Washington DC area</t>
  </si>
  <si>
    <t xml:space="preserve">Kidney beans, canned, drained </t>
  </si>
  <si>
    <t xml:space="preserve">(Super Giant)  </t>
  </si>
  <si>
    <t>Data expressed in mg per g by the author converted in mg per 100g. Zinc content was not compiled because it was obtained frm USDA Handbook 8 (fresh basis was assumed according to zinc data)</t>
  </si>
  <si>
    <t>phy4</t>
  </si>
  <si>
    <t>0300496</t>
  </si>
  <si>
    <t xml:space="preserve">Chickpeas, canned, drained </t>
  </si>
  <si>
    <t>(Super Giant)</t>
  </si>
  <si>
    <t>0300497</t>
  </si>
  <si>
    <t>Sri Lanka</t>
  </si>
  <si>
    <t>Mung bean, raw</t>
  </si>
  <si>
    <t>Moisture determined in uncooked samples. The weighed out portions of raw ingredients were cooked before Zn, Fe and PA analyses.</t>
  </si>
  <si>
    <t>phy5</t>
  </si>
  <si>
    <t>0300498</t>
  </si>
  <si>
    <t>Chickpea, raw</t>
  </si>
  <si>
    <t>0300499</t>
  </si>
  <si>
    <t>Lentil, raw</t>
  </si>
  <si>
    <t>0300500</t>
  </si>
  <si>
    <t xml:space="preserve">India  </t>
  </si>
  <si>
    <t>Data expressed by the author in g per kg, converted in g per 100g for moisture and mg per 100g for phytate.</t>
  </si>
  <si>
    <t>phy6</t>
  </si>
  <si>
    <t>0300501</t>
  </si>
  <si>
    <t>0300502</t>
  </si>
  <si>
    <t>Chickpea, white, raw</t>
  </si>
  <si>
    <t>0300503</t>
  </si>
  <si>
    <t>0300504</t>
  </si>
  <si>
    <t>0300505</t>
  </si>
  <si>
    <t>0300506</t>
  </si>
  <si>
    <t>Ethiopia</t>
  </si>
  <si>
    <t>Shiro wo’t</t>
  </si>
  <si>
    <t xml:space="preserve">Ground pea, stew </t>
  </si>
  <si>
    <t>Stew prepared from ground legumes by roasting, decortication and grinding the grains, seasoning with spices and then cooking. Served with a main dish</t>
  </si>
  <si>
    <t>Data expressed by the author in % for PP, converted in mg</t>
  </si>
  <si>
    <t>phy40</t>
  </si>
  <si>
    <t>0300507</t>
  </si>
  <si>
    <t xml:space="preserve">Ground chick pea, stew </t>
  </si>
  <si>
    <t>0300508</t>
  </si>
  <si>
    <t xml:space="preserve">Ground grass pea, stew </t>
  </si>
  <si>
    <t>Lathyrus sativus L.</t>
  </si>
  <si>
    <t>0300509</t>
  </si>
  <si>
    <t xml:space="preserve">Broad bean, split, stew </t>
  </si>
  <si>
    <t>Stew prepared from split legumes by roasting, decortication and splitting the grains, seasoning with spices and then cooking. Served with a main dish</t>
  </si>
  <si>
    <t>0300510</t>
  </si>
  <si>
    <t xml:space="preserve">Broad bean and lentil, split, stew </t>
  </si>
  <si>
    <t>Vicia faba L./Lens culinarus L.</t>
  </si>
  <si>
    <t>0300511</t>
  </si>
  <si>
    <t>Lentil, split, stew</t>
  </si>
  <si>
    <t>Lens culinarus L.</t>
  </si>
  <si>
    <t>0300512</t>
  </si>
  <si>
    <t>Malawi</t>
  </si>
  <si>
    <t>Khobwe</t>
  </si>
  <si>
    <t>Cowpeas, boiled with salt</t>
  </si>
  <si>
    <t>Vigna unguiculata (L.) Walp.</t>
  </si>
  <si>
    <t>Boiled until soft in salted water</t>
  </si>
  <si>
    <t>phy80</t>
  </si>
  <si>
    <t>0300513</t>
  </si>
  <si>
    <t>Nandolo</t>
  </si>
  <si>
    <t>Pigeon Peas, dried</t>
  </si>
  <si>
    <t>Cajanus cajan (L.) Millsp.</t>
  </si>
  <si>
    <t>0300514</t>
  </si>
  <si>
    <t>Mkhugudzw &amp; pod</t>
  </si>
  <si>
    <t>Hyacinth bean, boiled with salt</t>
  </si>
  <si>
    <t>Lablab purpureus (L.) Sweet.</t>
  </si>
  <si>
    <t>0300515</t>
  </si>
  <si>
    <t>Ghana</t>
  </si>
  <si>
    <t>Cowpeas, stew</t>
  </si>
  <si>
    <t>With tomatoes, pepper, onion and salt. Palm oil.</t>
  </si>
  <si>
    <t>phy81</t>
  </si>
  <si>
    <t>0300516</t>
  </si>
  <si>
    <t xml:space="preserve">Beans, pinto and red, dried, raw </t>
  </si>
  <si>
    <t>phy32</t>
  </si>
  <si>
    <t>0300517</t>
  </si>
  <si>
    <t xml:space="preserve">Lentils, dried, raw </t>
  </si>
  <si>
    <t>0300518</t>
  </si>
  <si>
    <t>Chickpeas, dried, raw</t>
  </si>
  <si>
    <t>0300519</t>
  </si>
  <si>
    <t xml:space="preserve">Splitpeas, dried, raw </t>
  </si>
  <si>
    <t>0300520</t>
  </si>
  <si>
    <t>Beans, pinto and red, cooked, drained</t>
  </si>
  <si>
    <t>0300521</t>
  </si>
  <si>
    <t>Lentils, cooked whithout discarding the excessive water</t>
  </si>
  <si>
    <t>0300522</t>
  </si>
  <si>
    <t>Lentil, seed, water-soaked for 12 h, raw, dried</t>
  </si>
  <si>
    <t>Lentil’s seeds were soaked in distilled water (1:10, w/v) for 12 h at room temperature (25  C). The soaked seeds were drained and rinsed three times with 600 ml distilled water</t>
  </si>
  <si>
    <t>Data expressed by the author in g for AA, phytate, tannins and trypsin inhibitor , converted in mg</t>
  </si>
  <si>
    <t>phy34</t>
  </si>
  <si>
    <t>SD/FG</t>
  </si>
  <si>
    <t>0300523</t>
  </si>
  <si>
    <t>Lentil, seed, water-soaked for 12 h, boiled, dried</t>
  </si>
  <si>
    <t>The rinsed soaked seeds were cooked in tap water (100  C) in the ratio of 1:10 (w/v) on a hot plate until they became soft when felt between the fingers (90 min).</t>
  </si>
  <si>
    <t>0300524</t>
  </si>
  <si>
    <t>Lentil, seed, water-soaked for 12 h, autoclaved, dried</t>
  </si>
  <si>
    <t>0300525</t>
  </si>
  <si>
    <t>Lentil, seed, water-soaked for 12 h, microwave cooked, dried</t>
  </si>
  <si>
    <t>The rinsed soaked seeds were placed in a glass beaker with tap water (1:10 w/v), then cooked in a microwave oven on high for 15 min until they became soft when felt between the fingers. The cooked seeds were dried in an electric air draught oven at 50  C for 20 h.</t>
  </si>
  <si>
    <t>0300526</t>
  </si>
  <si>
    <t>Feijão Fradinho</t>
  </si>
  <si>
    <t>Cowpea, seeds, water-soaked, drained, boiled (50% water 50% seeds)</t>
  </si>
  <si>
    <t>pu224</t>
  </si>
  <si>
    <t>0300527</t>
  </si>
  <si>
    <t>0300528</t>
  </si>
  <si>
    <t>Grão-de-bico</t>
  </si>
  <si>
    <t>0300529</t>
  </si>
  <si>
    <t>Guandu</t>
  </si>
  <si>
    <t>Pigeon pea, seeds, raw</t>
  </si>
  <si>
    <t>Cajanus cajan L.</t>
  </si>
  <si>
    <t>0300530</t>
  </si>
  <si>
    <t>Lentilha</t>
  </si>
  <si>
    <t>Lentil, seeds, water-soaked, drained, boiled</t>
  </si>
  <si>
    <t>0300531</t>
  </si>
  <si>
    <t>0300532</t>
  </si>
  <si>
    <t>Tremoço</t>
  </si>
  <si>
    <t>Lupins, seeds, raw</t>
  </si>
  <si>
    <t>Lupinus albus L.</t>
  </si>
  <si>
    <t>0300533</t>
  </si>
  <si>
    <t>Lupins, seeds, canned</t>
  </si>
  <si>
    <t>[24.8]</t>
  </si>
  <si>
    <t>[49]</t>
  </si>
  <si>
    <t>[27.1]</t>
  </si>
  <si>
    <t>[46]</t>
  </si>
  <si>
    <t>[128]</t>
  </si>
  <si>
    <t>[45]</t>
  </si>
  <si>
    <t>&lt;5.0</t>
  </si>
  <si>
    <t>[117]</t>
  </si>
  <si>
    <t>[53]</t>
  </si>
  <si>
    <t>[72]</t>
  </si>
  <si>
    <t>[116]</t>
  </si>
  <si>
    <t>[26.7]</t>
  </si>
  <si>
    <t>[56]</t>
  </si>
  <si>
    <t>[358]</t>
  </si>
  <si>
    <t>[334]</t>
  </si>
  <si>
    <t>[422]</t>
  </si>
  <si>
    <t>[332]</t>
  </si>
  <si>
    <t>[312]</t>
  </si>
  <si>
    <t>&lt;1.0</t>
  </si>
  <si>
    <t>&lt;0.01</t>
  </si>
  <si>
    <t>&lt;20</t>
  </si>
  <si>
    <t>[39]</t>
  </si>
  <si>
    <t>[62.4]</t>
  </si>
  <si>
    <t>[30]</t>
  </si>
  <si>
    <t>[27.5]</t>
  </si>
  <si>
    <t>[54]</t>
  </si>
  <si>
    <t>[34.6]</t>
  </si>
  <si>
    <t>[62]</t>
  </si>
  <si>
    <t>[135]</t>
  </si>
  <si>
    <t>[108]</t>
  </si>
  <si>
    <t>[102]</t>
  </si>
  <si>
    <t>[106]</t>
  </si>
  <si>
    <t>[51]</t>
  </si>
  <si>
    <t>[76]</t>
  </si>
  <si>
    <t>[251]</t>
  </si>
  <si>
    <t>[2.09]</t>
  </si>
  <si>
    <t>[38]</t>
  </si>
  <si>
    <t xml:space="preserve"> </t>
  </si>
  <si>
    <t>[25]</t>
  </si>
  <si>
    <t>0902205</t>
  </si>
  <si>
    <t>France</t>
  </si>
  <si>
    <t>Sea bass, farmed, skinless fillet, raw</t>
  </si>
  <si>
    <t>fi244</t>
  </si>
  <si>
    <t>0902206</t>
  </si>
  <si>
    <t>Mollusc</t>
  </si>
  <si>
    <t>WHE</t>
  </si>
  <si>
    <t>Whelk, flesh, cooked</t>
  </si>
  <si>
    <t>Buccinum undatum</t>
  </si>
  <si>
    <t>Whelk</t>
  </si>
  <si>
    <t>0902207</t>
  </si>
  <si>
    <t>Atlantic cod, skinless fillet, raw</t>
  </si>
  <si>
    <t>0902208</t>
  </si>
  <si>
    <t>European squid, mantle flesh, raw</t>
  </si>
  <si>
    <t>0902209</t>
  </si>
  <si>
    <t>Common carp, farmed, skinless fillet, raw</t>
  </si>
  <si>
    <t>Cyprinus carpio carpio</t>
  </si>
  <si>
    <t>0902210</t>
  </si>
  <si>
    <t>Atlantic horse mackerel, lean, skinless fillet, raw</t>
  </si>
  <si>
    <t>0902211</t>
  </si>
  <si>
    <t>Atlantic horse mackerel, fat, skinless fillet, raw</t>
  </si>
  <si>
    <t>0902212</t>
  </si>
  <si>
    <t>Atlantic mackerel, flesh, preserved in white wine, drained</t>
  </si>
  <si>
    <t>0902213</t>
  </si>
  <si>
    <t>European pilchard, flesh, preserved in olive oil, drained</t>
  </si>
  <si>
    <t>European pilchard(=Sardine)</t>
  </si>
  <si>
    <t>0902214</t>
  </si>
  <si>
    <t>European pilchard, flesh, preserved in vegetable oil (except olive oil), drained</t>
  </si>
  <si>
    <t>0902215</t>
  </si>
  <si>
    <t>Unknown; samples taken from French whole-sale traders/dealers</t>
  </si>
  <si>
    <t>CPR</t>
  </si>
  <si>
    <t>Common prawn, flesh, cooked</t>
  </si>
  <si>
    <t>Palaemon serratus</t>
  </si>
  <si>
    <t>Common prawn</t>
  </si>
  <si>
    <t>0902216</t>
  </si>
  <si>
    <t>PNB</t>
  </si>
  <si>
    <t>Redspotted shrimp, flesh, cooked</t>
  </si>
  <si>
    <t>Penaeus brasiliensis</t>
  </si>
  <si>
    <t>Redspotted shrimp</t>
  </si>
  <si>
    <t>0902217</t>
  </si>
  <si>
    <t>Giant tiger prawn, flesh, cooked</t>
  </si>
  <si>
    <t>0902218</t>
  </si>
  <si>
    <t>Whiteleg shrimp, flesh, cooked</t>
  </si>
  <si>
    <t>0902219</t>
  </si>
  <si>
    <t>Gilthead seabream, farmed, fillet, raw</t>
  </si>
  <si>
    <t>0902220</t>
  </si>
  <si>
    <t>BRB</t>
  </si>
  <si>
    <t>Black seabream, skinless fillet, raw</t>
  </si>
  <si>
    <t>Spondyliosoma cantharus</t>
  </si>
  <si>
    <t>Black seabream</t>
  </si>
  <si>
    <t>0902221</t>
  </si>
  <si>
    <t>0902222</t>
  </si>
  <si>
    <t>Roundnose grenadier, skinless fillet, raw</t>
  </si>
  <si>
    <t>0902223</t>
  </si>
  <si>
    <t>Atlantic herring, skinless fillet, fat, raw</t>
  </si>
  <si>
    <t>0902224</t>
  </si>
  <si>
    <t>Atlantic herring, skinless fillet, lean, raw</t>
  </si>
  <si>
    <t>0902225</t>
  </si>
  <si>
    <t>GRN</t>
  </si>
  <si>
    <t>Blue grenadier, skinless fillet, raw, frozen</t>
  </si>
  <si>
    <t>Macruronus novaezelandiae</t>
  </si>
  <si>
    <t>Blue grenadier</t>
  </si>
  <si>
    <t>0902226</t>
  </si>
  <si>
    <t>France, samples taken from main production site</t>
  </si>
  <si>
    <t>Pacific cupped oyster, flesh, raw</t>
  </si>
  <si>
    <t>0902227</t>
  </si>
  <si>
    <t>Norway lobster, flesh, cooked</t>
  </si>
  <si>
    <t>Norway lobster</t>
  </si>
  <si>
    <t>0902228</t>
  </si>
  <si>
    <t>Saithe(=Pollack), skinless fillet, raw</t>
  </si>
  <si>
    <t>Saithe(=Pollock)</t>
  </si>
  <si>
    <t>0902229</t>
  </si>
  <si>
    <t>BLI</t>
  </si>
  <si>
    <t>Blue ling, skinless fillet, raw</t>
  </si>
  <si>
    <t>Molva dypterigia</t>
  </si>
  <si>
    <t>Blue ling</t>
  </si>
  <si>
    <t>Molva dypterygia</t>
  </si>
  <si>
    <t>0902230</t>
  </si>
  <si>
    <t>ANK</t>
  </si>
  <si>
    <t>Blackbellied angler, skinless fillet, raw</t>
  </si>
  <si>
    <t>Lophius budegassa</t>
  </si>
  <si>
    <t>Blackbellied angler</t>
  </si>
  <si>
    <t>0902231</t>
  </si>
  <si>
    <t>Atlantic mackerel, skinless fillet, raw</t>
  </si>
  <si>
    <t>0902232</t>
  </si>
  <si>
    <t>Whiting, skinless fillet, raw</t>
  </si>
  <si>
    <t>0902233</t>
  </si>
  <si>
    <t>Blue mussel, flesh, cooked</t>
  </si>
  <si>
    <t>0902234</t>
  </si>
  <si>
    <t>MGS</t>
  </si>
  <si>
    <t>Mullet, skinless fillet, raw</t>
  </si>
  <si>
    <t>Mugil spp (mugil cephalus)</t>
  </si>
  <si>
    <t>Mullets</t>
  </si>
  <si>
    <t>Mugil spp</t>
  </si>
  <si>
    <t>0902235</t>
  </si>
  <si>
    <t>Vietnam; samples taken from French whole-sale traders/dealers</t>
  </si>
  <si>
    <t>Striped catfish, farmed, skinless fillet, raw, frozen</t>
  </si>
  <si>
    <t>Pangasius hypophtalmus</t>
  </si>
  <si>
    <t>0902236</t>
  </si>
  <si>
    <t>NIP</t>
  </si>
  <si>
    <t>Nile perch, skinless fillet, raw, frozen</t>
  </si>
  <si>
    <t>Lates niloticus</t>
  </si>
  <si>
    <t>Nile perch</t>
  </si>
  <si>
    <t>0902237</t>
  </si>
  <si>
    <t>PLE</t>
  </si>
  <si>
    <t>European plaice, skinless fillet, raw</t>
  </si>
  <si>
    <t>Pleuronectes platessa</t>
  </si>
  <si>
    <t>European plaice</t>
  </si>
  <si>
    <t>0902238</t>
  </si>
  <si>
    <t>Ray, skinless fillet, raw</t>
  </si>
  <si>
    <t>0902239</t>
  </si>
  <si>
    <t>Surmullet, skinless fillet, raw</t>
  </si>
  <si>
    <t>0902240</t>
  </si>
  <si>
    <t>SYC</t>
  </si>
  <si>
    <t>Small-spotted catshark, flesh, raw</t>
  </si>
  <si>
    <t>Scyliorhinus canicula</t>
  </si>
  <si>
    <t>Small-spotted catshark</t>
  </si>
  <si>
    <t>0902241</t>
  </si>
  <si>
    <t>Chile; samples taken from French whole-sale traders/dealers</t>
  </si>
  <si>
    <t>Atlantic salmon, farmed, skinless fillet, raw, frozen</t>
  </si>
  <si>
    <t>0902242</t>
  </si>
  <si>
    <t>Norway, Ecosse</t>
  </si>
  <si>
    <t>Atlantic salmon, farmed, skinless fillet, raw</t>
  </si>
  <si>
    <t>0902243</t>
  </si>
  <si>
    <t>REG</t>
  </si>
  <si>
    <t>Golden redfish, skinless fillet, raw</t>
  </si>
  <si>
    <t>Sebastes marinus</t>
  </si>
  <si>
    <t>Golden redfish</t>
  </si>
  <si>
    <t>0902244</t>
  </si>
  <si>
    <t>Common sole, skinless fillet, raw</t>
  </si>
  <si>
    <t>0902245</t>
  </si>
  <si>
    <t>Pakistan, SÃ©nÃ©gal, Vietnam</t>
  </si>
  <si>
    <t>Tonguesole, farmed, skinless fillet, raw, frozen</t>
  </si>
  <si>
    <t>0902246</t>
  </si>
  <si>
    <t>Great Atlantic scallop, flesh with corail (roe), raw</t>
  </si>
  <si>
    <t>0902247</t>
  </si>
  <si>
    <t>Great Atlantic scallop, flesh, raw</t>
  </si>
  <si>
    <t>0902248</t>
  </si>
  <si>
    <t>Rainbow trout, skinless fillet, smoked</t>
  </si>
  <si>
    <t>0902249</t>
  </si>
  <si>
    <t>BIB</t>
  </si>
  <si>
    <t>Pouting(=Bib), skinless fillet, raw</t>
  </si>
  <si>
    <t>Trisopterus luscus</t>
  </si>
  <si>
    <t>Pouting(=Bib)</t>
  </si>
  <si>
    <t>0902250</t>
  </si>
  <si>
    <t>Albacore, flesh (loin, lean), raw</t>
  </si>
  <si>
    <t>0902251</t>
  </si>
  <si>
    <t>Chine, Pays-Bas; samples taken from French whole-sale traders/dealers</t>
  </si>
  <si>
    <t>Nile tilapia, farmed, skinless fillet, raw, frozen</t>
  </si>
  <si>
    <t>Oreochromis niloticus niloticus</t>
  </si>
  <si>
    <t>0902252</t>
  </si>
  <si>
    <t>0902253</t>
  </si>
  <si>
    <t>Rainbow trout, farmed, skinless fillet portion, raw</t>
  </si>
  <si>
    <t>0902254</t>
  </si>
  <si>
    <t>Turbot, farmed, skinless fillet (with subcutaneous fat), raw</t>
  </si>
  <si>
    <t>0902255</t>
  </si>
  <si>
    <t>Atlantique Nord-Ouest (Canada, USA)</t>
  </si>
  <si>
    <t>SCA</t>
  </si>
  <si>
    <t>American sea scallop, flesh, raw, frozen</t>
  </si>
  <si>
    <t>Placopecten magellanicus</t>
  </si>
  <si>
    <t>American sea scallop</t>
  </si>
  <si>
    <t>0902256</t>
  </si>
  <si>
    <t>Panga fish, fillet, raw</t>
  </si>
  <si>
    <t>fish samples were imported from Vietnam to Spain, acqured as deep frozen or rather fres fillet from different supermarkets in Valencia during winter 2001</t>
  </si>
  <si>
    <t>fi279</t>
  </si>
  <si>
    <t>0902257</t>
  </si>
  <si>
    <t>Pangasius, farmed, fillet, raw</t>
  </si>
  <si>
    <t>Jul-Nov 2011</t>
  </si>
  <si>
    <t>farm-made diet: rice bran, boiled rice and mustard oil cake</t>
  </si>
  <si>
    <t>fi281</t>
  </si>
  <si>
    <t>0902258</t>
  </si>
  <si>
    <t>Ål, fersk</t>
  </si>
  <si>
    <t>Eel, fresh</t>
  </si>
  <si>
    <t>fi446</t>
  </si>
  <si>
    <t>0902259</t>
  </si>
  <si>
    <t>Ål, røget</t>
  </si>
  <si>
    <t>Eel, smoked</t>
  </si>
  <si>
    <t>0902260</t>
  </si>
  <si>
    <t>Ansjovis</t>
  </si>
  <si>
    <t>Anchovy, pickled, canned</t>
  </si>
  <si>
    <t>Assumed that food is canned product.</t>
  </si>
  <si>
    <t>0902261</t>
  </si>
  <si>
    <t>Fiskebolle</t>
  </si>
  <si>
    <t>Fish ball</t>
  </si>
  <si>
    <t>0902262</t>
  </si>
  <si>
    <t>Fiskefars</t>
  </si>
  <si>
    <t>Fish forcemeat</t>
  </si>
  <si>
    <t>0902263</t>
  </si>
  <si>
    <t>Fiskefrikadelle</t>
  </si>
  <si>
    <t>Fish cake</t>
  </si>
  <si>
    <t>0902264</t>
  </si>
  <si>
    <t>Gaffelbidder</t>
  </si>
  <si>
    <t>Herring, pickled</t>
  </si>
  <si>
    <t>0902265</t>
  </si>
  <si>
    <t>Havkat</t>
  </si>
  <si>
    <t>Catfish</t>
  </si>
  <si>
    <t>0902266</t>
  </si>
  <si>
    <t>Helleflynder</t>
  </si>
  <si>
    <t>Halibut, fresh</t>
  </si>
  <si>
    <t>0902267</t>
  </si>
  <si>
    <t>Hellefisk, røget</t>
  </si>
  <si>
    <t>Halibut, smoked</t>
  </si>
  <si>
    <t>0902268</t>
  </si>
  <si>
    <t>Hornfisk</t>
  </si>
  <si>
    <t>Garfish</t>
  </si>
  <si>
    <t>0902269</t>
  </si>
  <si>
    <t>Laks, fersk</t>
  </si>
  <si>
    <t>Salmon, fresh</t>
  </si>
  <si>
    <t>0902270</t>
  </si>
  <si>
    <t>Laks, røget</t>
  </si>
  <si>
    <t>0902271</t>
  </si>
  <si>
    <t>Makrel, røget</t>
  </si>
  <si>
    <t>0902272</t>
  </si>
  <si>
    <t>Makrel, kons.</t>
  </si>
  <si>
    <t>Mackerel, fillet, canned</t>
  </si>
  <si>
    <t>0902273</t>
  </si>
  <si>
    <t>Reje</t>
  </si>
  <si>
    <t>Shrimps</t>
  </si>
  <si>
    <t>0902274</t>
  </si>
  <si>
    <t>Rødspætte</t>
  </si>
  <si>
    <t>Plaice</t>
  </si>
  <si>
    <t>0902275</t>
  </si>
  <si>
    <t>Sardin i olie</t>
  </si>
  <si>
    <t>Sardine, in oil</t>
  </si>
  <si>
    <t>0902276</t>
  </si>
  <si>
    <t>Sardin i tomat</t>
  </si>
  <si>
    <t>Sardine, in tomato</t>
  </si>
  <si>
    <t>0902277</t>
  </si>
  <si>
    <t>Sild, fersk</t>
  </si>
  <si>
    <t>Herring, fresh</t>
  </si>
  <si>
    <t>0902278</t>
  </si>
  <si>
    <t>Sild, marineret</t>
  </si>
  <si>
    <t>Herring, marinated</t>
  </si>
  <si>
    <t>0902279</t>
  </si>
  <si>
    <t>Sild, røget</t>
  </si>
  <si>
    <t>0902280</t>
  </si>
  <si>
    <t>Sild, spege-</t>
  </si>
  <si>
    <t>Herring, salted</t>
  </si>
  <si>
    <t>0902281</t>
  </si>
  <si>
    <t>Skrubbe</t>
  </si>
  <si>
    <t>Flounder</t>
  </si>
  <si>
    <t>0902282</t>
  </si>
  <si>
    <t>Cod</t>
  </si>
  <si>
    <t>0902283</t>
  </si>
  <si>
    <t>Klipfisk</t>
  </si>
  <si>
    <t>Split, cod</t>
  </si>
  <si>
    <t>0902284</t>
  </si>
  <si>
    <t>Torskelever, kon.</t>
  </si>
  <si>
    <t>Cod liver, canned</t>
  </si>
  <si>
    <t>0902285</t>
  </si>
  <si>
    <t>Torskerogn</t>
  </si>
  <si>
    <t>Cod roe</t>
  </si>
  <si>
    <t>0902286</t>
  </si>
  <si>
    <t>Tun i olie</t>
  </si>
  <si>
    <t>Tuna, canned in oil</t>
  </si>
  <si>
    <t>0902287</t>
  </si>
  <si>
    <t>Tun i tomat</t>
  </si>
  <si>
    <t>Tuna, canned in tomato</t>
  </si>
  <si>
    <t xml:space="preserve"> &lt;0,1</t>
  </si>
  <si>
    <t>&lt;0,1</t>
  </si>
  <si>
    <t>&lt;2</t>
  </si>
  <si>
    <t>&lt;0,5</t>
  </si>
  <si>
    <t>&lt;0,04</t>
  </si>
  <si>
    <t>&lt;0.04</t>
  </si>
  <si>
    <t>&lt;0,16</t>
  </si>
  <si>
    <t xml:space="preserve"> &lt;0,04</t>
  </si>
  <si>
    <t xml:space="preserve"> &lt;0,16</t>
  </si>
  <si>
    <t xml:space="preserve"> &lt;0,5</t>
  </si>
  <si>
    <t xml:space="preserve"> &lt;2</t>
  </si>
  <si>
    <t>&lt;.0,1</t>
  </si>
  <si>
    <t>&lt; 0,1</t>
  </si>
  <si>
    <t>&lt;0.0068</t>
  </si>
  <si>
    <t>&lt;7</t>
  </si>
  <si>
    <t>Abebe, Y., Bogale, A., Hambidge, K. M., Stoecker, B. J., Bailey, K., &amp; Gibson, R. S. (2007). Phytate, zinc, iron and calcium content of selected raw and prepared foods consumed in rural Sidama, Southern Ethiopia, and implications for bioavailability. Journal of Food Composition and Analysis, 20(3), 161-168.</t>
  </si>
  <si>
    <t>Chan, S. S., Ferguson, E. L., Bailey, K., Fahmida, U., Harper, T. B., &amp; Gibson, R. S. (2007). The concentrations of iron, calcium, zinc and phytate in cereals and legumes habitually consumed by infants living in East Lombok, Indonesia. Journal of Food Composition and Analysis, 20(7), 609-617.</t>
  </si>
  <si>
    <t>Roohani, N., Hurrell, R., Wegmueller, R., &amp; Schulin, R. (2012). Zinc and phytic acid in major foods consumed by a rural and a suburban population in central Iran. Journal of food composition and analysis, 28(1), 8-15.</t>
  </si>
  <si>
    <t>Harland, B. F., Smikle-Williams, S., &amp; Oberleas, D. (2004). High performance liquid chromatography analysis of phytate (IP6) in selected foods. Journal of Food Composition and Analysis, 17(2), 227-233.</t>
  </si>
  <si>
    <t>Karunaratne, A. M., Amerasinghe, P. H., Ramanujam, V. S., Sandstead, H. H., &amp; Perera, P. A. J. (2008). Zinc, iron and phytic acid levels of some popular foods consumed by rural children in Sri Lanka. Journal of Food Composition and Analysis, 21(6), 481-488.</t>
  </si>
  <si>
    <t>Khokhar, S., &amp; Fenwick, G. R. (1994). Phytate content of Indian foods and intakes by vegetarian Indians of Hisar Region, Haryana State. Journal of Agricultural and Food Chemistry, 42(11), 2440-2444.</t>
  </si>
  <si>
    <t>Lestingi, A., Bovera, F., de Giorgio, D., Ventrella, D., Tateo, A. (2011). Effect of tillage system on seed yield, chemical composition and nutritive value of horse bean (Vicia faba L. Minor) grown under Mediterranean conditions. Journal of Food, Agriculture and Environment 9(1), 228-235. http://www.scopus.com/inward/record.url?eid=2-s2.0-80755143237&amp;partnerID=40&amp;md5=b173f7861c487ae0ad86f87704579237</t>
  </si>
  <si>
    <t>Siddhuraju, P., Osoniyi, O., Makkar, H.P.S., Becker, K. (2002). Effect of soaking and ionising radiation on various antinutritional factors of seeds from different species of an unconventional legume, Sesbania and a common legume, green gram (Vigna radiata). Food Chemistry 79(3), 273-281. http://www.scopus.com/inward/record.url?eid=2-s2.0-0036876497&amp;partnerID=40&amp;md5=5ce51a297c16dabb44dbe4cb8ad00575</t>
  </si>
  <si>
    <t>Pal, M., Brahmachary, R.L., Ghosh, M. 2010. Comparative studies on physicochemical and biochemical characteristics of scented and non-scented strains of Mung beans (vigna radiata) of Indian origin. Legume Research 33(1), 1-9. http://www.scopus.com/inward/record.url?eid=2-s2.0-77954286089&amp;partnerID=40&amp;md5=65ee8a627f3a358c434860da4392ebf1</t>
  </si>
  <si>
    <t>Boschin G., Arnoldi A. (2011). Legumes are valuable sources of tocopherols. Food Chemistry 127(3), 1199-1203.  http://www.scopus.com/inward/record.url?eid=2-s2.0-79952535211&amp;partnerID=40&amp;md5=0d00375e6cf4133ab67ceccfb2b3a862</t>
  </si>
  <si>
    <t>Kalidass C., Mohan V.R. (2012). Nutritional composition and antinutritional factors of little-known species of Vigna. Tropical and Subtropical Agroecosystems 15(3), 525-538. http://www.scopus.com/inward/record.url?eid=2-s2.0-84879012146&amp;partnerID=40&amp;md5=a81f2fd82de95f5d14e93cbdc5cdb7e5</t>
  </si>
  <si>
    <t>Vadivel V., Janardhanan K. (2005). Nutritional and antinutritional characteristics of seven South Indian wild legumes. Plant Foods for Human Nutrition 60(2), 69-75. http://www.scopus.com/inward/record.url?eid=2-s2.0-22144480678&amp;partnerID=40&amp;md5=107fae72ed645e1efe92a4042127b423</t>
  </si>
  <si>
    <t>Ajah P.O., Madubuike F.N. (1997). The proximate composition of some tropical legume seeds grown in two states in Nigeria. Food Chemistry 59(3), 361-365. http://www.scopus.com/inward/record.url?eid=2-s2.0-0030981912&amp;partnerID=40&amp;md5=7777a3baa17ffc5efb383d7f89c77e12</t>
  </si>
  <si>
    <t>Siddhuraju P., Becker K. (2001). Species/variety differences in biochemical composition and nutritional value of Indian tribal legumes of the genus Canavalia. Die Nahrung 45(4), 224-233. http://www.scopus.com/inward/record.url?eid=2-s2.0-0035432562&amp;partnerID=40&amp;md5=f849493bf60bbc3bbac66f4a720ee716</t>
  </si>
  <si>
    <t>Grains &amp; Legumes Nutrition Council. Nutrient Database of Legumes produced in Australia (pilot study results)</t>
  </si>
  <si>
    <t>Girish T.K., Pratape V.M., Prasada Rao U.J.S. (2012). Nutrient distribution, phenolic acid composition, antioxidant and alpha-glucosidase inhibitory potentials of black gram (Vigna mungo L.) and its milled by-products. Food Research International 46(1), 370-377. http://www.scopus.com/inward/record.url?eid=2-s2.0-84856564943&amp;partnerID=40&amp;md5=1d69eac17b01516bef4bc850ca451f95</t>
  </si>
  <si>
    <t>Kumaraguru Vasagam K.P., Rajkumar M. (2011) Beneficial influences of germination and subsequent autoclaving of grain legumes on proximate composition, antinutritional factors and apparent digestibility in black tiger shrimp, Penaeus monodon Fabricius. Aquaculture Nutrition 17(2), e188-e195. http://www.scopus.com/inward/record.url?eid=2-s2.0-79952517435&amp;partnerID=40&amp;md5=1ca234140c4c195572b5cb999a537807</t>
  </si>
  <si>
    <t>Mamatha B.S., Sangeetha R.K., Baskaran V. (2011). Provitamin-A and xanthophyll carotenoids in vegetables and food grains of nutritional and medicinal importance. International Journal of Food Science and Technology 46(2), 315-323. http://www.scopus.com/inward/record.url?eid=2-s2.0-78651365591&amp;partnerID=40&amp;md5=caa85cb6126c5e9f27f2965e238b8b91</t>
  </si>
  <si>
    <t>Ghazali H.M., Cheng S.C. (1991). The effect of germination of the physico-chemical properties of black gram (Vigna mungo L.). Food Chemistry 41(1), 99-106. http://www.scopus.com/inward/record.url?eid=2-s2.0-0025878606&amp;partnerID=40&amp;md5=24ad91938572d283715ad5f771d82d74</t>
  </si>
  <si>
    <t>Álvarez Salas L.M., Turbay Ceballos S. (2009). Flask The bean (Phaseolus coccineus) and marvel (Phaedranassa sp.) two aspects Ethnobotany food plants of origin American in Eastern Antioquia, Colombia [El fríjol petaco (Phaseolus coccineus) y la maravilla (Phaedranassa sp.): Aspectos etnobotánicos de dos plantas alimenticias de origen Americano en el Oriente Antioqueño, Colombia]. Agroalimentaria 15(29), 101-113. http://www.scopus.com/inward/record.url?eid=2-s2.0-77950550656&amp;partnerID=40&amp;md5=80f7f3a68df3e81cb5ab5ef12add6536</t>
  </si>
  <si>
    <t>Negi A., Boora P., Khetarpaul N. (2001). Starch and protein digestibility of newly released moth bean cultivars: Effect of soaking, dehulling, germination and pressure cooking. Nahrung - Food 45(4), 251-254. http://www.scopus.com/inward/record.url?eid=2-s2.0-0042868840&amp;partnerID=40&amp;md5=05aeaa6583ae4d291855a493a73d139a</t>
  </si>
  <si>
    <t>Gouveia C.S.S., Freitas G., Brito J.H., Slaski J.J., Carvalho M.A.A.P. (2014). Nutritional and Mineral Variability in 52 Accessions of Common Bean Varieties (Phaseolus vulgaris L.) from Madeira Island. Agricultural Sciences 5, 317-329.</t>
  </si>
  <si>
    <t>House, J. D. (2011). Protein Quality Evaluation of Cooked Canadian Pulses.</t>
  </si>
  <si>
    <t>Ghavidel, R.A., Prakash, J. (2007). The impact of germination and dehulling on nutrients, antinutrients, in vitro iron and calcium bioavailability and in vitro starch and protein digestibility of some legume seeds. LWT - Food Science and Technology 40(7), 1292-1299. http://www.scopus.com/inward/record.url?eid=2-s2.0-34247255888&amp;partnerID=40&amp;md5=d2520742b249a2471cc12fd055d7fdcb</t>
  </si>
  <si>
    <t>Iwatani, Y., Arcot, J., Shrestha, A.K. (2003). Determination of folate contents in some Australian vegetables. Journal of Food Composition and Analysis 16(1), 37-48. http://www.scopus.com/inward/record.url?eid=2-s2.0-0037300416&amp;partnerID=40&amp;md5=cf419d857902de1ec503aec926288d98</t>
  </si>
  <si>
    <t>Nzewi Daniel, Egbuonu Anthony C. Effect of boiling and roasting on the proximate properties of asparagus bean (Vigna Sesquipedalis). African Journal of Biotechnology Vol. 10(54), pp. 11239-11244, 19 September, 2011</t>
  </si>
  <si>
    <t>Ade-Omowaye, B.I.O,Tucker, G.A. and Smetanska, I. Nutritional potential of nine underexploited legumes in Southwest Nigeria. International Food Research Journal 22(2): 798-806 (2015)</t>
  </si>
  <si>
    <t>M. O. Aremu, O. Olaofe, S. K. Basu, G. Abdulazeez, and S. N. Acharya. Processed cranberry bean (Phaseolus coccineus L.) seed flour for the African diet. CANADIAN JOURNAL OF PLANT SCIENCE.  09/2010; 90(5):719-728.</t>
  </si>
  <si>
    <t>Aliu, S., Rusinovci, I., Gashi, B., Peter Kaul, H., Rozman, L., Fetahu, S. (2014). Genetic diversity for mineral content and photosynthetic pigments in local bean (Phaseolus vulgaris L.) populations. Journal of Food, Agriculture &amp; Environment Vol.12 (2): 6 3 5 - 6 3 9 . 2 0 1  http://www.scopus.com/inward/record.url?eid=2-s2.0-84903723659&amp;partnerID=40&amp;md5=894ec39147835fa8117ab8e10856f92a</t>
  </si>
  <si>
    <t>De Almeida Costa G.E., Da Silva Queiroz-Monici K., Pissini Machado Reis S.M., De Oliveira A.C. (2006). Chemical composition, dietary fibre and resistant starch contents of raw and cooked pea, common bean, chickpea and lentil legumes. Food Chemistry 94 327–330. http://www.scopus.com/inward/record.url?eid=2-s2.0-23044449912&amp;partnerID=40&amp;md5=279a18ee8c278fb85315160dbdd69f42</t>
  </si>
  <si>
    <t>Osorio-Díaz, P., Bello-Pérez, L.A., Agama-Acevedo, E., Vargas-Torres, A., Tovar, J., Paredes-López, O. (2002). In vitro digestibility and resistant starch content of some industrialized commercial beans (Phaseolus vulgaris L.). Food Chemistry 78 (2002) 333–337. http://www.scopus.com/inward/record.url?eid=2-s2.0-0036345215&amp;partnerID=40&amp;md5=853edfd7930c465131c09090094ff7bc</t>
  </si>
  <si>
    <t>Fasoyiro S.B., Ajibade S.R., Omole A.J., Adeniyan O.N., Farinde E.O. (2006). Proximate, minerals and antinutritional factors of some underutilized grain legumes in south-western Nigeria. Nutrition and Food Science. 36 (1) 18–23. http://www.scopus.com/inward/record.url?eid=2-s2.0-33644865463&amp;partnerID=40&amp;md5=09e66ec10304fb094c317d4aad389880</t>
  </si>
  <si>
    <t>Ali, A., Al-Saady, N.A., Waly, M.I., Bhatt, N., Al-Subhi, A.M., Khan, A.J. (2013). Evaluation of indigenous Omani legumes for their nutritional quality, phytochemical composition and antioxidant properties. International Journal of Postharvest Technology and Innovation. 3(4): 333–346. http://www.scopus.com/inward/record.url?eid=2-s2.0-84898642235&amp;partnerID=40&amp;md5=50ad04018c404f47711fdbcb8296d8e3</t>
  </si>
  <si>
    <t>Demir, B., Bilgiçli, N., Elgün, A., Demir, M.K. (2010). The effect of partial substitution of wheat flour with chickpea flour on the technological, nutritional and sensory properties of couscous. Journal of Food Quality. 33(6) 728–741. http://www.scopus.com/inward/record.url?eid=2-s2.0-78650058112&amp;partnerID=40&amp;md5=394610722b25897d9e51e8c2953abd3b</t>
  </si>
  <si>
    <t>Demir, B., Bilgiçli, N., Elgün, A., Demir, M.K. (2010). Effects of chickpea flours and whole egg on selected properties of erite, turkish noodle. Food Science and Technology Research. 16 (6), 557 – 564. http://www.scopus.com/inward/record.url?eid=2-s2.0-78651515330&amp;partnerID=40&amp;md5=b8e6f267920ad084f6a2cccf3410c05a</t>
  </si>
  <si>
    <t>Hefni, M., Öhrvik, V., Tabekha, M., Witthöft, C. (2010). Folate content in foods commonly consumed in Egypt. Food Chemistry. 121 (2) 540–545. http://www.scopus.com/inward/record.url?eid=2-s2.0-76749142946&amp;partnerID=40&amp;md5=c64b97c56dade00b93adb83271ccc54b</t>
  </si>
  <si>
    <t>Alajaji, S.A., El-Adawy, T.A. (2006). Nutritional composition of chickpea (Cicer arietinum L.) as affected by microwave cooking and other traditional cooking methods. Journal of Food Composition and Analysis. 19 (8) 806–812. http://www.scopus.com/inward/record.url?eid=2-s2.0-33748064379&amp;partnerID=40&amp;md5=a719be0f9d0fdc0076b4a1b16ad846e1</t>
  </si>
  <si>
    <t>Khatoon, N., Prakash, J. (2006). Nutrient retention in microwave cooked germinated legumes. Food Chemistry. 97 (1) 115–121. http://www.scopus.com/inward/record.url?eid=2-s2.0-28844483399&amp;partnerID=40&amp;md5=8d68f95fdcd9f6c7eba6cc3548a9a94f</t>
  </si>
  <si>
    <t>Ereifej, K.I, Haddad, S.G (2000). Chemical composition of selected Jordanian cereals and legumes as compared with the FAO, Moroccan, East Asian and Latin American tables for use in the Middle East. Trends in Food Science and Technology. 11 (9-Oct) 374-378. http://www.scopus.com/inward/record.url?eid=2-s2.0-0034633079&amp;partnerID=40&amp;md5=b0f50f0c62d8debb649d2b586c9b646b</t>
  </si>
  <si>
    <t>Sreerama, Y.N., Sashikala, V.B., Pratape, V.M., Singh, V. (2012). Nutrients and antinutrients in cowpea and horse gram flours in comparison to chickpea flour: Evaluation of their flour functionality. Food Chemistry. 131 (2) 462–468. http://www.scopus.com/inward/record.url?eid=2-s2.0-80054906272&amp;partnerID=40&amp;md5=64e95bf65f9e818c89addd935adf73aa</t>
  </si>
  <si>
    <t xml:space="preserve">Hefni ME, Shalaby MT, Witthöft CM. (2014). Folate content in processed legume foods commonly consumed in Egypt. LWT - Food Science and Technology 57, 337-343. </t>
  </si>
  <si>
    <t>Soris P.T., Mohan V.R. (2011). Chemical analysis and nutritional assessment of two less known pulses of genus Vigna. Tropical and Subtropical Agroecosystems 14(2), 473-484. http://www.scopus.com/inward/record.url?eid=2-s2.0-84859460396&amp;partnerID=40&amp;md5=c6b329d87dc03829938c0ae76d7d7278</t>
  </si>
  <si>
    <t>Batista K.A., Prudêncio S.H., Fernandes K.F. (2010). Changes in the biochemical and functional properties of the extruded hard-to-cook cowpea (Vigna unguiculata L. Walp). International Journal of Food Science and Technology 45(4), 794-799. http://www.scopus.com/inward/record.url?eid=2-s2.0-77955632061&amp;partnerID=40&amp;md5=e2ce912e971522077d23eeebb79beec4</t>
  </si>
  <si>
    <t>Rubasinghege G.R.S., Paranagama P., Abeywickrama K. (2006). Physicochemical changes of stored cowpea, Vigna unguiculata, treated with selected essential oils to control cowpea bruchid, Callosobruchus maculatus (F.). Journal of Food, Agriculture and Environment 4, 41-44.  http://www.scopus.com/inward/record.url?eid=2-s2.0-33845427455&amp;partnerID=40&amp;md5=766406c447eda2f08e80c2d201e29f8c</t>
  </si>
  <si>
    <t>Thangadurai D. (2005). Chemical composition and nutritional potential of Vigna unguiculata SSP. Cylindrica (fabaceae). Journal of Food Biochemistry 29(1), 88-98. http://www.scopus.com/inward/record.url?eid=2-s2.0-19644380287&amp;partnerID=40&amp;md5=7088b80a77597a8e524667f0db78278c</t>
  </si>
  <si>
    <t>Kerr W.L., Ward C.D.W., McWatters K.H., Resurreccion A.V.A. (2000). Effect of milling and particle size on functionality and physicochemical properties of cowpea flour. Cereal Chemistry 77(2), 213-219. http://www.scopus.com/inward/record.url?eid=2-s2.0-0034100999&amp;partnerID=40&amp;md5=41eac3fddff848bc8110aa412fe106b9</t>
  </si>
  <si>
    <t>Olaofe O., Umar Y.O., Adediran G.O. (1993). The effect of nematicides on the nutritive value and functional properties of cowpea seeds (Vigna unguiculata L. Walp). Food Chemistry 46(4), 337-341. http://www.scopus.com/inward/record.url?eid=2-s2.0-0027394673&amp;partnerID=40&amp;md5=0f7e9e31ece75562689df18d4b6ed9bf</t>
  </si>
  <si>
    <t>Giami S.Y. (1993). Effect of processing on the proximate composition and functional properties of cowpea (Vigna unguiculata) flour. Food Chemistry 47(2), 153-158. http://www.scopus.com/inward/record.url?eid=2-s2.0-0027215429&amp;partnerID=40&amp;md5=307305dd7e2c657719362b734283287b</t>
  </si>
  <si>
    <t>H.I. Ragab, C. Kijora, K.A. Abdel Ati and J. Danier. (2010). Effect of Traditional Processing on the Nutritional Value of Some Legumes Seeds Produced in Sudan for Poultry Feeding. International Journal of Poultry Science 9(2), 198-204.</t>
  </si>
  <si>
    <t>Renna M., Gasmi-Boubaker A., Lussiana C., Battaglini L.M., Belfayez K., Fortina R. (2014). Fatty acid composition of the seed oils of selected Vicia L. Taxa from Tunisia. Italian Journal of Animal Science 13(2), 308-316. http://www.scopus.com/inward/record.url?eid=2-s2.0-84899154707&amp;partnerID=40&amp;md5=55c3f3cc9bdd09c9096ccf8eca2746f0</t>
  </si>
  <si>
    <t>Ramos-Morales E., Sanz-Sampelayo M.R., Molina-Alcaide E. (2010). Nutritive evaluation of legume seeds for ruminant feeding. Journal of Animal Physiology and Animal Nutrition 94(1), 55-64. http://www.scopus.com/inward/record.url?eid=2-s2.0-74049094022&amp;partnerID=40&amp;md5=db6110e136ecbf3037ea6d6a5f3a5989</t>
  </si>
  <si>
    <t>Lazarte C.E., Carlsson N., Almgren A., Sandberg A., Granfeldt Y. (2015). Phytate, zinc, iron and calcium content of common Bolivian food, and implications for mineral bioavailability. Journal of Food Composition and Analysis 39, 111-119.</t>
  </si>
  <si>
    <t>Tabela brasileira de composição de alimentos / NEPA – UNICAMP.- 4. ed. rev. e ampl. - Campinas: NEPAUNICAMP, 2011. 161 p. Available in: http://www.unicamp.br/nepa/taco/contar/taco_4_edicao_ampliada_e_revisada.pdf?arquivo=taco_4_versao_ampliada_e_revisada.pdf</t>
  </si>
  <si>
    <t>Lab reports provided by Pulses Canada.</t>
  </si>
  <si>
    <t>Khatoon, N., Prakash, J. (2004). Nutritional quality of microwave-cooked and pressure-cooked legumes. International Journal of Food Sciences and Nutrition 55(6), 441-448. http://www.scopus.com/inward/record.url?eid=2-s2.0-11344288945&amp;partnerID=40&amp;md5=c9833179142ccddb82c8f079e4b87955</t>
  </si>
  <si>
    <t>Uzun A., Gücer S., Acikgoz E. (2011). Common Vetch (Vicia sativa L.) Germplasm: Correlations of Crude Protein and Mineral Content to Seed Traits. Plant Foods for Human Nutrition 66(3), 254-260. http://www.scopus.com/inward/record.url?eid=2-s2.0-80051788243&amp;partnerID=40&amp;md5=64f70c37e6348c81911fc1562d8e75f8</t>
  </si>
  <si>
    <t>Carbonaro M., Nardini M., Maselli P., Nucara A. (2015). Chemico-physical and nutritional properties of traditional legumes (lentil, Lens culinaris L., and grass pea, Lathyrus sativus L.) from organic agriculture: an explorative study. Organic Agriculture 5(3), 179-187. http://www.scopus.com/inward/record.url?eid=2-s2.0-84941133541&amp;partnerID=40&amp;md5=f5ba61e274991233387f1c6347f9dc5a</t>
  </si>
  <si>
    <t>Ukhun M.E. (1986). Effects of storage and processing on the nutritive value of certain Nigerian foods. Experientia 42(8), 948-950. http://www.scopus.com/inward/record.url?eid=2-s2.0-0023050176&amp;partnerID=40&amp;md5=965866a57f29a6e84e18017cba17ed9c</t>
  </si>
  <si>
    <t>Akpapunam M.A., Achinewhu S.C. (1985). Effects of cooking, germination and fermentation on the chemical composition of Nigerian Cowpea (Vigna unguiculata). Qualitas Plantarum Plant Foods for Human Nutrition 35(4), 453-458. http://www.scopus.com/inward/record.url?eid=2-s2.0-0000002817&amp;partnerID=40&amp;md5=f8722e221da5735949e17ded7bf8da8a</t>
  </si>
  <si>
    <t>Gopala Krishna A.G., Prabhakar J.V., Aitzetmüller K. (1997). Tocopherol and fatty acid composition of some Indian pulses. JAOCS, Journal of the American Oil Chemists' Society 74(12), 1603-1606. http://www.scopus.com/inward/record.url?eid=2-s2.0-0031377877&amp;partnerID=40&amp;md5=7b12bb39d54227dc24d88108c0d4cb9b</t>
  </si>
  <si>
    <t>Sreerama, Y.N., Neelam, D.A., Sashikala, V.B., Pratape, V.M. (2010). Distribution of nutrients and antinutrients in milled fractions of chickpea and horse gram: Seed coat phenolics and their distinct modes of enzyme inhibition. Journal of Agricultural and Food Chemistry 58(7), 4322-4330. http://www.scopus.com/inward/record.url?eid=2-s2.0-77950634126&amp;partnerID=40&amp;md5=4a1a0bbdeaa32c592fa660fe31e7ab8a</t>
  </si>
  <si>
    <t>Sotelo, A., Flores, F., Hernández, M. (1987). Chemical composition and nutritional value of Mexican varieties of chickpea (Cicer arietinum L.).  Plant Foods for Human Nutrition 37(4), 299-306. http://www.scopus.com/inward/record.url?eid=2-s2.0-0023556610&amp;partnerID=40&amp;md5=862642d467a9ed30f9468a69552ee92f</t>
  </si>
  <si>
    <t>Sarmento, A., Barros, L., Fernandes, A., Carvalho, A.M., Ferreira, I.C. (2014). Journal of the Science of Food and Agriculture Valorization of traditional foods: Nutritional and bioactive properties of Cicer arietinum L. and Lathyrus sativus L. pulses. http://www.scopus.com/inward/record.url?eid=2-s2.0-84901383092&amp;partnerID=40&amp;md5=e27f42a19b2d130a0607b2593cdaa10d</t>
  </si>
  <si>
    <t xml:space="preserve">Ladjal Ettoumi Y., Chibane M. (2015). Some physicochemical and functional properties of pea, chickpea and lentil whole flours. International Food Research Journal 22(3), 987-996. http://www.scopus.com/inward/record.url?eid=2-s2.0-84930245135&amp;partnerID=40&amp;md5=6764e3e9892a38cce6894ed99882f8cb </t>
  </si>
  <si>
    <t>Nagmani B., Prakash J. (1997). Functional properties of thermally treated legume flours. International Journal of Food Sciences and Nutrition 48(3), 205-214. http://www.scopus.com/inward/record.url?eid=2-s2.0-0031007428&amp;partnerID=40&amp;md5=ccd15e5bbd6683a56ce750bd20999ddd</t>
  </si>
  <si>
    <t>Arinathan V., Mohan V.R., De Britto A.J. (2003). Chemical composition of certain tribal pulses in South India. International Journal of Food Sciences and Nutrition 53(3), 209-217. http://www.scopus.com/inward/record.url?eid=2-s2.0-0038050994&amp;partnerID=40&amp;md5=33d1849205f62404fbccdf1d3845d718</t>
  </si>
  <si>
    <t>Kalogeropoulos, N., Chiou, A., Ioannou, M., Karathanos, V.T., Hassapidou, M., Andrikopoulos, N.K. (2010). Nutritional evaluation and bioactive microconstituents (phytosterols, tocopherols, polyphenols, triterpenic acids) in cooked dry legumes usually consumed in the Mediterranean countries. Food Chemistry 121(3), 682-690. http://www.scopus.com/inward/record.url?eid=2-s2.0-77649188786&amp;partnerID=40&amp;md5=5128de0c58adfb8649b8154de8c60901</t>
  </si>
  <si>
    <t>Caprioli, G., Giusti, F., Ballini, R., Sagratini, G., Vila-Donat, P., Vittori, S., Fiorini, D. (2016). Lipid nutritional value of legumes: Evaluation of different extraction methods and determination of fatty acid composition. Food Chemistry 192, 965-971. http://www.scopus.com/inward/record.url?eid=2-s2.0-84938409358&amp;partnerID=40&amp;md5=a347556e5dc6598853ad0082897c7142</t>
  </si>
  <si>
    <t>Ferruzzi, G., Pistoia, A., Balestri, G., Casarosa, L., Poli, P. (2009). Effect of different processing methods on the nutritional characteristics and tannin content of fababean seed (Vicia faba minor). Italian Journal of Animal Science 8(Suppl. 2), 298-300. http://www.scopus.com/inward/record.url?eid=2-s2.0-80051558310&amp;partnerID=40&amp;md5=5f5cbe9743177df61ae3379322af0c64</t>
  </si>
  <si>
    <t>Kandlakunta, B., Rajendran, A., Thingnganing, L. (2008). Carotene content of some common (cereals, pulses, vegetables, spices and condiments) and unconventional sources of plant origin. Food Chemistry 106(1), 85-89. http://www.scopus.com/inward/record.url?eid=2-s2.0-34548356951&amp;partnerID=40&amp;md5=e9842327812a39e948a61a415fae3906</t>
  </si>
  <si>
    <t>Haciseferoǧullari, H., Gezer, I., Bahtiyarca, Y., Mengeş, H.O. (2003). Determination of some chemical and physical properties of Sakiz faba bean (Vicia faba L. Var. major). Journal of Food Engineering 60(4), 475-479. http://www.scopus.com/inward/record.url?eid=2-s2.0-0042562109&amp;partnerID=40&amp;md5=4db7e5480ccd3b142e30a30a9d47f19d</t>
  </si>
  <si>
    <t>Sika, M., Terrab, A., Swan, P.B., Hegarty, P.V.J. (1995). Composition of Selected Moroccan Cereals and Legumes: Comparison with the FAO Table for Use in Africa. Journal of Food Composition and Analysis 8(1), 62-70. http://www.scopus.com/inward/record.url?eid=2-s2.0-0002006675&amp;partnerID=40&amp;md5=c5151c9902f29e05028da2815545faf7</t>
  </si>
  <si>
    <t>Curiel, J.A., Coda, R., Centomani, I., Summo, C., Gobbetti, M., Rizzello, C.G. (2015). Exploitation of the nutritional and functional characteristics of traditional Italian legumes: The potential of sourdough fermentation. International Journal of Food Microbiology 196, 51-61. http://www.scopus.com/inward/record.url?eid=2-s2.0-84916908865&amp;partnerID=40&amp;md5=41fe7f13d4069e27f23fac272504a970</t>
  </si>
  <si>
    <t>Khattab, R.Y., Arntfield, S.D., Nyachoti, C.M. (2009). Nutritional quality of legume seeds as affected by some physical treatments, Part 1: Protein quality evaluation. LWT - Food Science and Technology 42(6), 1107-1112. http://www.scopus.com/inward/record.url?eid=2-s2.0-62449133726&amp;partnerID=40&amp;md5=f7cc4f7b9ee68f1f8d7863abab2a288e</t>
  </si>
  <si>
    <t>pu275</t>
  </si>
  <si>
    <t>Meiners CR, Derise NL, Lau HC, Crews MG, Ritchey SJ, Murphy EW. (1976). Proximate composition and yield of raw and cooked mature dry legumes.  Journal of Agricultural and Food Chemistry 24(6), 1122-1126. http://www.scopus.com/inward/record.url?eid=2-s2.0-0017018689&amp;partnerID=40&amp;md5=ceb93a94f123b96ece68686524b6b9ee</t>
  </si>
  <si>
    <t>pu276</t>
  </si>
  <si>
    <t>Meiners CR, Derise NL, Lau HC, Crews MG, Ritchey SJ, Murphy EW. (1976). The Content of Nine Mineral Elements in Raw arid Cooked Mature Dry Legumes. Journal of Agricultural and Food Chemistry 24(6), 1126-1130.</t>
  </si>
  <si>
    <t>Khalil J.K., Sawaya W.N., Al-mohammad H.M. (1986). Effects of experimental cooking on the yield and proximate composition of three selected legumes. Journal of Food Science 51(1), 233-234. http://www.scopus.com/inward/record.url?eid=2-s2.0-0038451885&amp;partnerID=40&amp;md5=d081fae989096758a13b2c9affe76421</t>
  </si>
  <si>
    <t>Pôle AQUIMER. (2007). Nutritional contents of aquatic products project – &lt;www.nutraqua.com&gt;. Composition nutritionnelle des produits aquatiques. Retrieved from &lt;http://www.nutraqua.com/en/&gt;.</t>
  </si>
  <si>
    <t>Ruiz-de-Cenzano, M., Beser, U., Cervera, M.L., de la Guardia M. (2013) Fast determination of fish mineral profile.Application to Vietnamese panga fish. Ecotoxicology and Environmental Safety 95: 195-201.</t>
  </si>
  <si>
    <t>Syeda, M.-A.-N., MD Delwer H., Amirul I. (2012). The study of fillet proximate composition, growth performance and survival rate of striped catfish (Pangasius hypophthalmus) fed with diets containing different amounts of alpha-tocopherol (vitamin E). J. Bio-Sci. 20: 67-74.</t>
  </si>
  <si>
    <t>Søndergaard H. (1984) Aminosyreindholdet i danske levnedsmidler (the Amino Acid content of Danish Foods). Publikation nr. 98. Statens Levnedsmiddelsinstitut, 1984. WWW: http://toolbox.foodcomp.info/References/AminoAcids/DOC00153.pdf</t>
  </si>
  <si>
    <t>FA 18:3 n-3 trans</t>
  </si>
  <si>
    <t>PHENAC(mg)</t>
  </si>
  <si>
    <t>POLYPHENT(mg)</t>
  </si>
  <si>
    <t>PROANTCYA(mg)</t>
  </si>
  <si>
    <t>DOPN(mg)</t>
  </si>
  <si>
    <t>phenolic acids, total</t>
  </si>
  <si>
    <t>total polyphenolics</t>
  </si>
  <si>
    <t>proanthocyanidins, total</t>
  </si>
  <si>
    <t>dopamine</t>
  </si>
  <si>
    <t>cyanide</t>
  </si>
  <si>
    <t>niacin equivalents from tryptophan</t>
  </si>
  <si>
    <t>SW/SL</t>
  </si>
  <si>
    <t>RdV/FG</t>
  </si>
  <si>
    <r>
      <t>4 foods collected and poole</t>
    </r>
    <r>
      <rPr>
        <sz val="10"/>
        <color theme="1"/>
        <rFont val="Calibri (Corpo)"/>
      </rPr>
      <t>d; tagname for phytate was updated on version 2.0</t>
    </r>
  </si>
  <si>
    <r>
      <t>PSACNSS and PSACNSI determined by Englyst method</t>
    </r>
    <r>
      <rPr>
        <sz val="10"/>
        <color theme="1"/>
        <rFont val="Calibri (Corpo)"/>
      </rPr>
      <t>; tagname for phytate was updated on version 2.0</t>
    </r>
  </si>
  <si>
    <r>
      <t>1 sample collected and pooled;</t>
    </r>
    <r>
      <rPr>
        <sz val="10"/>
        <color theme="1"/>
        <rFont val="Calibri (Corpo)"/>
      </rPr>
      <t xml:space="preserve"> tagname for phytate was updated on version 2.0</t>
    </r>
  </si>
  <si>
    <r>
      <t>data are described on DM basis according to the author</t>
    </r>
    <r>
      <rPr>
        <sz val="10"/>
        <color theme="1"/>
        <rFont val="Calibri (Corpo)"/>
      </rPr>
      <t>; tagname for phytate was updated on version 2.0</t>
    </r>
  </si>
  <si>
    <r>
      <t>data are described on DM basis according to the author - converted to FW</t>
    </r>
    <r>
      <rPr>
        <sz val="10"/>
        <color theme="1"/>
        <rFont val="Calibri (Corpo)"/>
      </rPr>
      <t>; tagname for phytate was updated on version 2.0</t>
    </r>
  </si>
  <si>
    <r>
      <t>Regnbu</t>
    </r>
    <r>
      <rPr>
        <sz val="11"/>
        <color theme="1"/>
        <rFont val="Calibri"/>
        <family val="2"/>
      </rPr>
      <t>ø</t>
    </r>
    <r>
      <rPr>
        <sz val="10"/>
        <color theme="1"/>
        <rFont val="Calibri"/>
        <family val="2"/>
      </rPr>
      <t>rret</t>
    </r>
  </si>
  <si>
    <r>
      <t>Hefnawy, T. H. (2011). Effect of processing methods on nutritional composition and anti-nutritional factors in lentils (Lens culinaris). </t>
    </r>
    <r>
      <rPr>
        <i/>
        <sz val="10"/>
        <color theme="1"/>
        <rFont val="Arial"/>
        <family val="2"/>
      </rPr>
      <t>Annals of Agricultural Sciences</t>
    </r>
    <r>
      <rPr>
        <sz val="10"/>
        <color theme="1"/>
        <rFont val="Arial"/>
        <family val="2"/>
      </rPr>
      <t>, </t>
    </r>
    <r>
      <rPr>
        <i/>
        <sz val="10"/>
        <color theme="1"/>
        <rFont val="Arial"/>
        <family val="2"/>
      </rPr>
      <t>56</t>
    </r>
    <r>
      <rPr>
        <sz val="10"/>
        <color theme="1"/>
        <rFont val="Arial"/>
        <family val="2"/>
      </rPr>
      <t>(2), 57-61.</t>
    </r>
  </si>
  <si>
    <r>
      <t>Umeta, M., West, C. E., &amp; Fufa, H. (2005). Content of zinc, iron, calcium and their absorption inhibitors in foods commonly consumed in Ethiopia. </t>
    </r>
    <r>
      <rPr>
        <i/>
        <sz val="10"/>
        <color theme="1"/>
        <rFont val="Arial"/>
        <family val="2"/>
      </rPr>
      <t>Journal of Food Composition and Analysis</t>
    </r>
    <r>
      <rPr>
        <sz val="10"/>
        <color theme="1"/>
        <rFont val="Arial"/>
        <family val="2"/>
      </rPr>
      <t>, </t>
    </r>
    <r>
      <rPr>
        <i/>
        <sz val="10"/>
        <color theme="1"/>
        <rFont val="Arial"/>
        <family val="2"/>
      </rPr>
      <t>18</t>
    </r>
    <r>
      <rPr>
        <sz val="10"/>
        <color theme="1"/>
        <rFont val="Arial"/>
        <family val="2"/>
      </rPr>
      <t>(8), 803-817.</t>
    </r>
  </si>
  <si>
    <r>
      <t>Ferguson, E. L., Gibson, R. S., Thompson, L. U., Ounpuu, S., &amp; Berry, M. (1988). Phytate, zinc, and calcium contents of 30 East African foods and their calculated phytate: Zn, Ca: phytate, and [Ca][phytate]/[Zn] molar ratios.</t>
    </r>
    <r>
      <rPr>
        <i/>
        <sz val="11"/>
        <color theme="1"/>
        <rFont val="Arial"/>
        <family val="2"/>
      </rPr>
      <t>Journal of Food Composition and Analysis</t>
    </r>
    <r>
      <rPr>
        <sz val="11"/>
        <color theme="1"/>
        <rFont val="Arial"/>
        <family val="2"/>
      </rPr>
      <t>, </t>
    </r>
    <r>
      <rPr>
        <i/>
        <sz val="11"/>
        <color theme="1"/>
        <rFont val="Arial"/>
        <family val="2"/>
      </rPr>
      <t>1</t>
    </r>
    <r>
      <rPr>
        <sz val="11"/>
        <color theme="1"/>
        <rFont val="Arial"/>
        <family val="2"/>
      </rPr>
      <t>(4), 316-325.</t>
    </r>
  </si>
  <si>
    <r>
      <t>Ferguson, E. L., Gibson, R. S., Opare-Obisaw, C., Osei-Opare, F., Stephen, A. M., Lehrfeld, J., &amp; Thompson, L. U. (1993). The zinc, calcium, copper, manganese, nonstarch polysaccharide and phytate content of seventy-eight locally grown and prepared African foods. </t>
    </r>
    <r>
      <rPr>
        <i/>
        <sz val="10"/>
        <color theme="1"/>
        <rFont val="Arial"/>
        <family val="2"/>
      </rPr>
      <t>Journal of Food Composition and Analysis</t>
    </r>
    <r>
      <rPr>
        <sz val="10"/>
        <color theme="1"/>
        <rFont val="Arial"/>
        <family val="2"/>
      </rPr>
      <t>, </t>
    </r>
    <r>
      <rPr>
        <i/>
        <sz val="10"/>
        <color theme="1"/>
        <rFont val="Arial"/>
        <family val="2"/>
      </rPr>
      <t>6</t>
    </r>
    <r>
      <rPr>
        <sz val="10"/>
        <color theme="1"/>
        <rFont val="Arial"/>
        <family val="2"/>
      </rPr>
      <t>(1), 87-99.</t>
    </r>
  </si>
  <si>
    <r>
      <t>Moongngarm, A.</t>
    </r>
    <r>
      <rPr>
        <sz val="11"/>
        <color theme="1"/>
        <rFont val="Calibri"/>
        <family val="2"/>
      </rPr>
      <t xml:space="preserve"> (2013). Chemical compositions and resistant starch content in starchy foods. American Journal of Agricultural and Biological Science 8(2), 107-113.</t>
    </r>
  </si>
  <si>
    <t>Amino acids, total, aromatic</t>
  </si>
  <si>
    <t>CYS_A_MET</t>
  </si>
  <si>
    <t>Cystine + methionine</t>
  </si>
  <si>
    <t>PHE_A_TYR</t>
  </si>
  <si>
    <t>Phenylalanine + tyrosine</t>
  </si>
  <si>
    <t>F26D0</t>
  </si>
  <si>
    <t>Fatty acid 26:0</t>
  </si>
  <si>
    <t>F14D1C</t>
  </si>
  <si>
    <t>F14D1T</t>
  </si>
  <si>
    <t>Fatty acid 14:1 cis</t>
  </si>
  <si>
    <t>Fatty acid 14:1 trans</t>
  </si>
  <si>
    <t>F15D1C</t>
  </si>
  <si>
    <t>Fatty acid 15:1 cis</t>
  </si>
  <si>
    <t>F16D1CN9</t>
  </si>
  <si>
    <t>Fatty acid 16:1 cis n-9</t>
  </si>
  <si>
    <t>F16D1T</t>
  </si>
  <si>
    <t>F16D1C</t>
  </si>
  <si>
    <t>Fatty acid 16: 1 trans</t>
  </si>
  <si>
    <t>Fatty acid 16: 1 cis</t>
  </si>
  <si>
    <t>F17D1C</t>
  </si>
  <si>
    <t>Fatty acid 17:1 cis</t>
  </si>
  <si>
    <t>F18D1C</t>
  </si>
  <si>
    <t>Fatty acid 18:1 cis</t>
  </si>
  <si>
    <t>F20D1C</t>
  </si>
  <si>
    <t>Fatty acid 20:1 cis</t>
  </si>
  <si>
    <t>F20D1CN9</t>
  </si>
  <si>
    <t>Fatty acid 20:1 cis n-9</t>
  </si>
  <si>
    <t>F22D1C</t>
  </si>
  <si>
    <t>Fatty acid 22:1 cis</t>
  </si>
  <si>
    <t>F24D1C</t>
  </si>
  <si>
    <t>Fatty acid 24:1 cis</t>
  </si>
  <si>
    <t>F18D2TCON</t>
  </si>
  <si>
    <t>Fatty acid 18:2 conjugated cis, trans, position unknown</t>
  </si>
  <si>
    <t>F20D2CN6</t>
  </si>
  <si>
    <t>Fatty acid 20:2 cis n-6</t>
  </si>
  <si>
    <t>FAN9</t>
  </si>
  <si>
    <t>Fatty acid, total n-9</t>
  </si>
  <si>
    <t>FAESS</t>
  </si>
  <si>
    <t>Fatty acids, total essential</t>
  </si>
  <si>
    <t>FRUS</t>
  </si>
  <si>
    <t>TRES</t>
  </si>
  <si>
    <t>Threlose</t>
  </si>
  <si>
    <t>Oligosaccharides</t>
  </si>
  <si>
    <t>RAFS</t>
  </si>
  <si>
    <t>STAS</t>
  </si>
  <si>
    <t>OLSAC</t>
  </si>
  <si>
    <t>VERS</t>
  </si>
  <si>
    <t>Stachyose</t>
  </si>
  <si>
    <t>Oligosaccharides, total available</t>
  </si>
  <si>
    <t>Verbascose</t>
  </si>
  <si>
    <t>STARCHAVLDF</t>
  </si>
  <si>
    <t>Starch, available; calculated by difference (total starch minus resistant starch)</t>
  </si>
  <si>
    <t>Polysaccharides, non-starch, water-insoluble</t>
  </si>
  <si>
    <t>Polysaccharides, non-starch, water-soluble</t>
  </si>
  <si>
    <t>Starch, total</t>
  </si>
  <si>
    <t>Starch, total, expression unknown</t>
  </si>
  <si>
    <t>Starch, resistant</t>
  </si>
  <si>
    <t>STARES3</t>
  </si>
  <si>
    <t>Starch, resistant RS3</t>
  </si>
  <si>
    <t>NSP</t>
  </si>
  <si>
    <t>Fibre, water-insoluble</t>
  </si>
  <si>
    <t>Fibre, water-soluble</t>
  </si>
  <si>
    <t>Fibre, total, insoluble and soluble dietary; determined by enzymatic- gravimetric method and liquid chromatography (AOAC 2011.25)</t>
  </si>
  <si>
    <t>FIBTGLCS</t>
  </si>
  <si>
    <t>GLUCNB</t>
  </si>
  <si>
    <t>HEMCEL</t>
  </si>
  <si>
    <t>INULIN</t>
  </si>
  <si>
    <t>Betaglucan</t>
  </si>
  <si>
    <t>Hemicellulose</t>
  </si>
  <si>
    <t>Inulin</t>
  </si>
  <si>
    <t>MALAC</t>
  </si>
  <si>
    <t>Malic acid</t>
  </si>
  <si>
    <t>phytic acid, including all inositol phosphates based on phytate phosphorus estimated by indirect precipitation</t>
  </si>
  <si>
    <t>phytic acid, including all inositol phosphates based on phytate phosphorus estimated by direct precipitation</t>
  </si>
  <si>
    <t>phytic acid, calc. from phytate phosphorus, anion exchange method.</t>
  </si>
  <si>
    <t>phytic acid, including all inositol phosphates based on phytate phosphorus estimated by AOAC 986.11 method</t>
  </si>
  <si>
    <t>phytic acid, calc. from phytate phosphorus</t>
  </si>
  <si>
    <t>phytic acid, including all inositol phosphates based on phytate phosphorus; precipitation method unknown</t>
  </si>
  <si>
    <t>phytate phosphorus, method unknown or variable</t>
  </si>
  <si>
    <t>conv. fact. phosphorus</t>
  </si>
  <si>
    <t>conversion factor to calculate total phytic acid from phosphorus</t>
  </si>
  <si>
    <t>Inositol triphosphate</t>
  </si>
  <si>
    <t>Inositol tetraphosphate</t>
  </si>
  <si>
    <t>Inositol pentaphosphate</t>
  </si>
  <si>
    <t>Inositol hexaphosphate</t>
  </si>
  <si>
    <t>IP5_A_IP6(mg)</t>
  </si>
  <si>
    <t>sum of IP5 and IP6</t>
  </si>
  <si>
    <t>sum of inositol penta and hexaphosphate</t>
  </si>
  <si>
    <t>sum of IP4, IP5 and IP6</t>
  </si>
  <si>
    <t>sum of inositol tetra, penta and hexaphosphate</t>
  </si>
  <si>
    <t>IPSUM(mg)</t>
  </si>
  <si>
    <t>total inositol phosphates, calculated by sum of inositol tri, tetra, penta and hexaphosphate</t>
  </si>
  <si>
    <t>PHYT-(mg)</t>
  </si>
  <si>
    <t>phytic acid, unk.</t>
  </si>
  <si>
    <t>inositol phosphates, method unknown or variable; expressed as phytic acid</t>
  </si>
  <si>
    <t>B</t>
  </si>
  <si>
    <t>LI</t>
  </si>
  <si>
    <t>ZEA</t>
  </si>
  <si>
    <t>Zeaxanthin</t>
  </si>
  <si>
    <t>IU</t>
  </si>
  <si>
    <t>beta-tocopherol</t>
  </si>
  <si>
    <t>beta-tocopherol+gamma-tocopherol</t>
  </si>
  <si>
    <t>beta-tocotrienol</t>
  </si>
  <si>
    <t>gamma-tocotrienol</t>
  </si>
  <si>
    <t>TOCPHB</t>
  </si>
  <si>
    <t>TOCPHG</t>
  </si>
  <si>
    <t>TOCPHD</t>
  </si>
  <si>
    <t>TOCTRG</t>
  </si>
  <si>
    <t>TOCPHB_A_TOCPHG</t>
  </si>
  <si>
    <t>TOCTRA</t>
  </si>
  <si>
    <t>TOCTRB</t>
  </si>
  <si>
    <t>TOCTRD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</si>
</sst>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0"/>
      <color theme="1"/>
      <name val="Arial"/>
      <family val="2"/>
    </font>
    <font>
      <b/>
      <sz val="9"/>
      <color indexed="81"/>
      <name val="Tahoma"/>
      <family val="2"/>
    </font>
    <font>
      <sz val="9"/>
      <color indexed="81"/>
      <name val="Tahoma"/>
      <family val="2"/>
    </font>
    <font>
      <sz val="10"/>
      <color theme="1"/>
      <name val="Arial"/>
      <family val="2"/>
    </font>
    <font>
      <u/>
      <sz val="8"/>
      <color theme="10"/>
      <name val="Arial"/>
      <family val="2"/>
    </font>
    <font>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i/>
      <sz val="10"/>
      <color theme="1"/>
      <name val="Calibri"/>
      <family val="2"/>
      <scheme val="minor"/>
    </font>
    <font>
      <sz val="10"/>
      <name val="Calibri"/>
      <family val="2"/>
      <scheme val="minor"/>
    </font>
    <font>
      <b/>
      <sz val="10"/>
      <name val="Calibri"/>
      <family val="2"/>
      <scheme val="minor"/>
    </font>
    <font>
      <sz val="10"/>
      <color rgb="FFFF0000"/>
      <name val="Calibri"/>
      <family val="2"/>
      <scheme val="minor"/>
    </font>
    <font>
      <sz val="11"/>
      <color theme="1"/>
      <name val="Calibri"/>
      <family val="2"/>
    </font>
    <font>
      <sz val="10"/>
      <color theme="1"/>
      <name val="Calibri"/>
      <family val="2"/>
    </font>
    <font>
      <sz val="36"/>
      <color rgb="FFFF0000"/>
      <name val="Arial"/>
      <family val="2"/>
    </font>
    <font>
      <b/>
      <sz val="10"/>
      <color rgb="FFFF0000"/>
      <name val="Calibri"/>
      <family val="2"/>
      <scheme val="minor"/>
    </font>
    <font>
      <u/>
      <sz val="10"/>
      <color theme="11"/>
      <name val="Arial"/>
      <family val="2"/>
    </font>
    <font>
      <sz val="10"/>
      <color theme="1"/>
      <name val="Calibri (Corpo)"/>
    </font>
    <font>
      <sz val="11"/>
      <color theme="1"/>
      <name val="Arial"/>
      <family val="2"/>
    </font>
    <font>
      <i/>
      <sz val="10"/>
      <color theme="1"/>
      <name val="Arial"/>
      <family val="2"/>
    </font>
    <font>
      <i/>
      <sz val="11"/>
      <color theme="1"/>
      <name val="Arial"/>
      <family val="2"/>
    </font>
    <font>
      <sz val="10"/>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6">
    <xf numFmtId="0" fontId="0" fillId="0" borderId="0"/>
    <xf numFmtId="0" fontId="4" fillId="0" borderId="0" applyNumberFormat="0" applyFill="0" applyBorder="0" applyAlignment="0" applyProtection="0">
      <alignment vertical="top"/>
      <protection locked="0"/>
    </xf>
    <xf numFmtId="0" fontId="5" fillId="0" borderId="0"/>
    <xf numFmtId="0" fontId="3" fillId="0" borderId="0"/>
    <xf numFmtId="0" fontId="17" fillId="0" borderId="0" applyNumberFormat="0" applyFill="0" applyBorder="0" applyAlignment="0" applyProtection="0"/>
    <xf numFmtId="0" fontId="17" fillId="0" borderId="0" applyNumberFormat="0" applyFill="0" applyBorder="0" applyAlignment="0" applyProtection="0"/>
  </cellStyleXfs>
  <cellXfs count="64">
    <xf numFmtId="0" fontId="0" fillId="0" borderId="0" xfId="0"/>
    <xf numFmtId="0" fontId="6" fillId="0" borderId="0" xfId="0" applyFont="1"/>
    <xf numFmtId="0" fontId="7" fillId="0" borderId="0" xfId="0" applyFont="1"/>
    <xf numFmtId="0" fontId="8" fillId="0" borderId="0" xfId="0" applyFont="1"/>
    <xf numFmtId="0" fontId="7" fillId="0" borderId="0" xfId="0" applyFont="1" applyAlignment="1">
      <alignment horizontal="center" vertical="top" wrapText="1"/>
    </xf>
    <xf numFmtId="0" fontId="6" fillId="0" borderId="0" xfId="0" applyFont="1" applyAlignment="1">
      <alignment horizontal="center" vertical="top" wrapText="1"/>
    </xf>
    <xf numFmtId="164" fontId="6" fillId="0" borderId="0" xfId="0" applyNumberFormat="1" applyFont="1"/>
    <xf numFmtId="0" fontId="9" fillId="0" borderId="0" xfId="0" applyFont="1"/>
    <xf numFmtId="0" fontId="7" fillId="0" borderId="0" xfId="0" applyFont="1" applyAlignment="1">
      <alignment wrapText="1"/>
    </xf>
    <xf numFmtId="0" fontId="0" fillId="2" borderId="0" xfId="0" applyFill="1"/>
    <xf numFmtId="49" fontId="10" fillId="0" borderId="0" xfId="0" applyNumberFormat="1" applyFont="1"/>
    <xf numFmtId="0" fontId="10" fillId="0" borderId="0" xfId="0" applyFont="1"/>
    <xf numFmtId="1" fontId="10" fillId="0" borderId="0" xfId="0" applyNumberFormat="1" applyFont="1"/>
    <xf numFmtId="0" fontId="10" fillId="0" borderId="0" xfId="0" applyFont="1" applyAlignment="1">
      <alignment horizontal="right"/>
    </xf>
    <xf numFmtId="0" fontId="11" fillId="0" borderId="0" xfId="0" applyFont="1" applyAlignment="1">
      <alignment horizontal="center" vertical="top" wrapText="1"/>
    </xf>
    <xf numFmtId="49" fontId="6" fillId="0" borderId="0" xfId="0" applyNumberFormat="1" applyFont="1"/>
    <xf numFmtId="0" fontId="10" fillId="0" borderId="0" xfId="2" applyFont="1" applyAlignment="1">
      <alignment horizontal="center" vertical="top" wrapText="1"/>
    </xf>
    <xf numFmtId="0" fontId="6" fillId="0" borderId="0" xfId="0" applyFont="1" applyAlignment="1">
      <alignment horizontal="right"/>
    </xf>
    <xf numFmtId="49" fontId="6" fillId="0" borderId="0" xfId="0" applyNumberFormat="1" applyFont="1" applyAlignment="1">
      <alignment horizontal="right"/>
    </xf>
    <xf numFmtId="0" fontId="6" fillId="0" borderId="0" xfId="0" applyFont="1" applyAlignment="1">
      <alignment horizontal="left"/>
    </xf>
    <xf numFmtId="0" fontId="10" fillId="0" borderId="0" xfId="0" applyFont="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0" fontId="13" fillId="0" borderId="0" xfId="0" applyFont="1"/>
    <xf numFmtId="0" fontId="7" fillId="0" borderId="0" xfId="2" applyFont="1" applyAlignment="1">
      <alignment horizontal="center" vertical="top" wrapText="1"/>
    </xf>
    <xf numFmtId="0" fontId="6" fillId="0" borderId="0" xfId="2" applyFont="1" applyAlignment="1">
      <alignment horizontal="center" vertical="top" wrapText="1"/>
    </xf>
    <xf numFmtId="0" fontId="7" fillId="0" borderId="0" xfId="0" applyFont="1" applyAlignment="1">
      <alignment horizontal="center" vertical="top"/>
    </xf>
    <xf numFmtId="0" fontId="7" fillId="0" borderId="0" xfId="0" applyFont="1" applyAlignment="1">
      <alignment vertical="top" wrapText="1"/>
    </xf>
    <xf numFmtId="0" fontId="6" fillId="0" borderId="0" xfId="0" applyFont="1" applyAlignment="1">
      <alignment vertical="top" wrapText="1"/>
    </xf>
    <xf numFmtId="0" fontId="6" fillId="3" borderId="0" xfId="0" applyFont="1" applyFill="1" applyAlignment="1">
      <alignment horizontal="center" vertical="top" wrapText="1"/>
    </xf>
    <xf numFmtId="0" fontId="6" fillId="0" borderId="0" xfId="0" applyFont="1" applyAlignment="1">
      <alignment wrapText="1"/>
    </xf>
    <xf numFmtId="0" fontId="6" fillId="0" borderId="0" xfId="0" applyFont="1" applyAlignment="1">
      <alignment horizontal="left" vertical="center"/>
    </xf>
    <xf numFmtId="0" fontId="14" fillId="0" borderId="0" xfId="0" applyFont="1"/>
    <xf numFmtId="2" fontId="6" fillId="0" borderId="0" xfId="0" applyNumberFormat="1" applyFont="1"/>
    <xf numFmtId="0" fontId="15" fillId="2" borderId="0" xfId="0" applyFont="1" applyFill="1"/>
    <xf numFmtId="0" fontId="7" fillId="0" borderId="0" xfId="0" applyFont="1" applyAlignment="1">
      <alignment horizontal="right" vertical="top" wrapText="1"/>
    </xf>
    <xf numFmtId="0" fontId="6" fillId="0" borderId="0" xfId="0" applyFont="1" applyAlignment="1">
      <alignment horizontal="right" vertical="top" wrapText="1"/>
    </xf>
    <xf numFmtId="0" fontId="6" fillId="3" borderId="0" xfId="0" applyFont="1" applyFill="1" applyAlignment="1">
      <alignment horizontal="right" vertical="top" wrapText="1"/>
    </xf>
    <xf numFmtId="164" fontId="6" fillId="0" borderId="0" xfId="0" applyNumberFormat="1" applyFont="1" applyAlignment="1">
      <alignment horizontal="right"/>
    </xf>
    <xf numFmtId="0" fontId="6" fillId="4" borderId="0" xfId="2" applyFont="1" applyFill="1"/>
    <xf numFmtId="1" fontId="7" fillId="0" borderId="0" xfId="0" applyNumberFormat="1" applyFont="1" applyAlignment="1">
      <alignment horizontal="center" vertical="top" wrapText="1"/>
    </xf>
    <xf numFmtId="1" fontId="6" fillId="0" borderId="0" xfId="0" applyNumberFormat="1" applyFont="1" applyAlignment="1">
      <alignment horizontal="center" vertical="top" wrapText="1"/>
    </xf>
    <xf numFmtId="1" fontId="6" fillId="0" borderId="0" xfId="0" applyNumberFormat="1" applyFont="1" applyAlignment="1">
      <alignment horizontal="right"/>
    </xf>
    <xf numFmtId="1" fontId="6" fillId="0" borderId="0" xfId="0" applyNumberFormat="1" applyFont="1" applyAlignment="1">
      <alignment horizontal="right" vertical="top" wrapText="1"/>
    </xf>
    <xf numFmtId="1" fontId="6" fillId="0" borderId="0" xfId="0" applyNumberFormat="1" applyFont="1"/>
    <xf numFmtId="0" fontId="12" fillId="0" borderId="0" xfId="0" applyFont="1" applyAlignment="1">
      <alignment wrapText="1"/>
    </xf>
    <xf numFmtId="0" fontId="16" fillId="0" borderId="0" xfId="0" applyFont="1" applyAlignment="1">
      <alignment wrapText="1"/>
    </xf>
    <xf numFmtId="49" fontId="7" fillId="0" borderId="0" xfId="0" applyNumberFormat="1" applyFont="1" applyAlignment="1">
      <alignment horizontal="center" vertical="top" wrapText="1"/>
    </xf>
    <xf numFmtId="0" fontId="7" fillId="0" borderId="0" xfId="0" applyFont="1" applyAlignment="1">
      <alignment vertical="top"/>
    </xf>
    <xf numFmtId="49" fontId="6" fillId="0" borderId="0" xfId="0" applyNumberFormat="1" applyFont="1" applyAlignment="1">
      <alignment horizontal="center"/>
    </xf>
    <xf numFmtId="165" fontId="6" fillId="0" borderId="0" xfId="0" applyNumberFormat="1" applyFont="1"/>
    <xf numFmtId="0" fontId="5" fillId="0" borderId="0" xfId="0" applyFont="1" applyAlignment="1">
      <alignment horizontal="center" vertical="top" wrapText="1"/>
    </xf>
    <xf numFmtId="14" fontId="6" fillId="0" borderId="0" xfId="0" applyNumberFormat="1" applyFont="1" applyAlignment="1">
      <alignment horizontal="center" vertical="top"/>
    </xf>
    <xf numFmtId="2" fontId="6" fillId="0" borderId="0" xfId="0" applyNumberFormat="1" applyFont="1" applyAlignment="1">
      <alignment horizontal="right"/>
    </xf>
    <xf numFmtId="164" fontId="6" fillId="0" borderId="0" xfId="0" applyNumberFormat="1" applyFont="1" applyAlignment="1">
      <alignment horizontal="center" vertical="top" wrapText="1"/>
    </xf>
    <xf numFmtId="0" fontId="7" fillId="2" borderId="0" xfId="0" applyFont="1" applyFill="1" applyAlignment="1">
      <alignment vertical="top"/>
    </xf>
    <xf numFmtId="0" fontId="0" fillId="0" borderId="0" xfId="0" applyAlignment="1">
      <alignment vertical="top"/>
    </xf>
    <xf numFmtId="0" fontId="7" fillId="2" borderId="0" xfId="0" applyFont="1" applyFill="1" applyAlignment="1">
      <alignment vertical="top" wrapText="1"/>
    </xf>
    <xf numFmtId="0" fontId="6" fillId="0" borderId="0" xfId="1" applyFont="1" applyFill="1" applyAlignment="1" applyProtection="1"/>
    <xf numFmtId="0" fontId="5" fillId="0" borderId="0" xfId="0" applyFont="1"/>
    <xf numFmtId="0" fontId="5" fillId="0" borderId="0" xfId="0" applyFont="1" applyAlignment="1">
      <alignment horizontal="left"/>
    </xf>
    <xf numFmtId="0" fontId="19" fillId="0" borderId="0" xfId="0" applyFont="1"/>
    <xf numFmtId="0" fontId="0" fillId="0" borderId="0" xfId="0" applyAlignment="1">
      <alignment horizontal="left"/>
    </xf>
    <xf numFmtId="0" fontId="22" fillId="0" borderId="0" xfId="0" applyFont="1"/>
  </cellXfs>
  <cellStyles count="6">
    <cellStyle name="Followed Hyperlink" xfId="4" builtinId="9" hidden="1"/>
    <cellStyle name="Followed Hyperlink" xfId="5" builtinId="9" hidden="1"/>
    <cellStyle name="Hyperlink" xfId="1" builtinId="8"/>
    <cellStyle name="Normal" xfId="0" builtinId="0"/>
    <cellStyle name="Normal 2" xfId="3" xr:uid="{00000000-0005-0000-0000-000004000000}"/>
    <cellStyle name="Normal 3" xfId="2" xr:uid="{00000000-0005-0000-0000-000005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50800</xdr:rowOff>
    </xdr:from>
    <xdr:to>
      <xdr:col>7</xdr:col>
      <xdr:colOff>635000</xdr:colOff>
      <xdr:row>42</xdr:row>
      <xdr:rowOff>114300</xdr:rowOff>
    </xdr:to>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srcRect l="5210" t="6176" r="5714" b="24584"/>
        <a:stretch/>
      </xdr:blipFill>
      <xdr:spPr>
        <a:xfrm>
          <a:off x="38100" y="50800"/>
          <a:ext cx="6731000" cy="7404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H3"/>
  <sheetViews>
    <sheetView workbookViewId="0">
      <selection activeCell="S1" sqref="S1"/>
    </sheetView>
  </sheetViews>
  <sheetFormatPr baseColWidth="10" defaultColWidth="11.5" defaultRowHeight="13" x14ac:dyDescent="0.15"/>
  <cols>
    <col min="1" max="16384" width="11.5" style="9"/>
  </cols>
  <sheetData>
    <row r="3" spans="8:8" ht="45" x14ac:dyDescent="0.45">
      <c r="H3" s="34"/>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O5"/>
  <sheetViews>
    <sheetView zoomScale="130" zoomScaleNormal="130" zoomScalePageLayoutView="130" workbookViewId="0">
      <pane ySplit="3" topLeftCell="A4" activePane="bottomLeft" state="frozen"/>
      <selection pane="bottomLeft"/>
    </sheetView>
  </sheetViews>
  <sheetFormatPr baseColWidth="10" defaultColWidth="11.5" defaultRowHeight="14" x14ac:dyDescent="0.2"/>
  <cols>
    <col min="1" max="16384" width="11.5" style="1"/>
  </cols>
  <sheetData>
    <row r="1" spans="1:249" s="4" customFormat="1" ht="58.5" customHeight="1" x14ac:dyDescent="0.15">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1068</v>
      </c>
      <c r="P1" s="4" t="s">
        <v>243</v>
      </c>
      <c r="Q1" s="4" t="s">
        <v>244</v>
      </c>
      <c r="R1" s="4" t="s">
        <v>6774</v>
      </c>
      <c r="S1" s="4" t="s">
        <v>1069</v>
      </c>
      <c r="T1" s="4" t="s">
        <v>73</v>
      </c>
      <c r="U1" s="4" t="s">
        <v>74</v>
      </c>
      <c r="V1" s="4" t="s">
        <v>1070</v>
      </c>
      <c r="W1" s="4" t="s">
        <v>6193</v>
      </c>
      <c r="X1" s="4" t="s">
        <v>246</v>
      </c>
      <c r="Y1" s="4" t="s">
        <v>1072</v>
      </c>
      <c r="Z1" s="4" t="s">
        <v>76</v>
      </c>
      <c r="AA1" s="4" t="s">
        <v>77</v>
      </c>
      <c r="AB1" s="4" t="s">
        <v>1073</v>
      </c>
      <c r="AC1" s="4" t="s">
        <v>1074</v>
      </c>
      <c r="AD1" s="4" t="s">
        <v>1075</v>
      </c>
      <c r="AE1" s="4" t="s">
        <v>79</v>
      </c>
      <c r="AF1" s="4" t="s">
        <v>80</v>
      </c>
      <c r="AG1" s="4" t="s">
        <v>247</v>
      </c>
      <c r="AH1" s="24" t="s">
        <v>1077</v>
      </c>
      <c r="AI1" s="4" t="s">
        <v>6200</v>
      </c>
      <c r="AJ1" s="4" t="s">
        <v>6201</v>
      </c>
      <c r="AK1" s="4" t="s">
        <v>6202</v>
      </c>
      <c r="AL1" s="4" t="s">
        <v>82</v>
      </c>
      <c r="AM1" s="4" t="s">
        <v>83</v>
      </c>
      <c r="AN1" s="4" t="s">
        <v>6205</v>
      </c>
      <c r="AO1" s="4" t="s">
        <v>6245</v>
      </c>
      <c r="AP1" s="4" t="s">
        <v>84</v>
      </c>
      <c r="AQ1" s="4" t="s">
        <v>85</v>
      </c>
      <c r="AR1" s="4" t="s">
        <v>1081</v>
      </c>
      <c r="AS1" s="4" t="s">
        <v>250</v>
      </c>
      <c r="AT1" s="4" t="s">
        <v>1082</v>
      </c>
      <c r="AU1" s="4" t="s">
        <v>86</v>
      </c>
      <c r="AV1" s="4" t="s">
        <v>87</v>
      </c>
      <c r="AW1" s="14" t="s">
        <v>7564</v>
      </c>
      <c r="AX1" s="4" t="s">
        <v>1083</v>
      </c>
      <c r="AY1" s="4" t="s">
        <v>88</v>
      </c>
      <c r="AZ1" s="4" t="s">
        <v>89</v>
      </c>
      <c r="BA1" s="4" t="s">
        <v>251</v>
      </c>
      <c r="BB1" s="4" t="s">
        <v>1084</v>
      </c>
      <c r="BC1" s="4" t="s">
        <v>90</v>
      </c>
      <c r="BD1" s="4" t="s">
        <v>1086</v>
      </c>
      <c r="BE1" s="4" t="s">
        <v>91</v>
      </c>
      <c r="BF1" s="4" t="s">
        <v>1088</v>
      </c>
      <c r="BG1" s="4" t="s">
        <v>1089</v>
      </c>
      <c r="BH1" s="4" t="s">
        <v>6795</v>
      </c>
      <c r="BI1" s="4" t="s">
        <v>92</v>
      </c>
      <c r="BJ1" s="4" t="s">
        <v>1092</v>
      </c>
      <c r="BK1" s="4" t="s">
        <v>1079</v>
      </c>
      <c r="BL1" s="4" t="s">
        <v>1093</v>
      </c>
      <c r="BM1" s="4" t="s">
        <v>252</v>
      </c>
      <c r="BN1" s="4" t="s">
        <v>1096</v>
      </c>
      <c r="BO1" s="4" t="s">
        <v>253</v>
      </c>
      <c r="BP1" s="4" t="s">
        <v>1098</v>
      </c>
      <c r="BQ1" s="4" t="s">
        <v>6804</v>
      </c>
      <c r="BR1" s="4" t="s">
        <v>1099</v>
      </c>
      <c r="BS1" s="4" t="s">
        <v>1100</v>
      </c>
      <c r="BT1" s="4" t="s">
        <v>6805</v>
      </c>
      <c r="BU1" s="4" t="s">
        <v>1097</v>
      </c>
      <c r="BV1" s="4" t="s">
        <v>6209</v>
      </c>
      <c r="BW1" s="4" t="s">
        <v>6210</v>
      </c>
      <c r="BX1" s="4" t="s">
        <v>1101</v>
      </c>
      <c r="BY1" s="4" t="s">
        <v>256</v>
      </c>
      <c r="BZ1" s="4" t="s">
        <v>257</v>
      </c>
      <c r="CA1" s="4" t="s">
        <v>7158</v>
      </c>
      <c r="CB1" s="4" t="s">
        <v>258</v>
      </c>
      <c r="CC1" s="4" t="s">
        <v>6214</v>
      </c>
      <c r="CD1" s="4" t="s">
        <v>6215</v>
      </c>
      <c r="CE1" s="4" t="s">
        <v>6817</v>
      </c>
      <c r="CF1" s="4" t="s">
        <v>6586</v>
      </c>
      <c r="CG1" s="4" t="s">
        <v>6818</v>
      </c>
      <c r="CH1" s="4" t="s">
        <v>6217</v>
      </c>
      <c r="CI1" s="4" t="s">
        <v>1105</v>
      </c>
      <c r="CJ1" s="4" t="s">
        <v>6819</v>
      </c>
      <c r="CK1" s="4" t="s">
        <v>6820</v>
      </c>
      <c r="CL1" s="4" t="s">
        <v>1104</v>
      </c>
      <c r="CM1" s="4" t="s">
        <v>1110</v>
      </c>
      <c r="CN1" s="4" t="s">
        <v>93</v>
      </c>
      <c r="CO1" s="4" t="s">
        <v>94</v>
      </c>
      <c r="CP1" s="4" t="s">
        <v>6832</v>
      </c>
      <c r="CQ1" s="4" t="s">
        <v>1106</v>
      </c>
      <c r="CR1" s="4" t="s">
        <v>95</v>
      </c>
      <c r="CS1" s="4" t="s">
        <v>1107</v>
      </c>
      <c r="CT1" s="4" t="s">
        <v>1109</v>
      </c>
      <c r="CU1" s="4" t="s">
        <v>261</v>
      </c>
      <c r="CV1" s="4" t="s">
        <v>6835</v>
      </c>
      <c r="CW1" s="4" t="s">
        <v>1113</v>
      </c>
      <c r="CX1" s="4" t="s">
        <v>262</v>
      </c>
      <c r="CY1" s="4" t="s">
        <v>265</v>
      </c>
      <c r="CZ1" s="4" t="s">
        <v>1125</v>
      </c>
      <c r="DA1" s="4" t="s">
        <v>6836</v>
      </c>
      <c r="DB1" s="4" t="s">
        <v>1127</v>
      </c>
      <c r="DC1" s="4" t="s">
        <v>5155</v>
      </c>
      <c r="DD1" s="4" t="s">
        <v>5156</v>
      </c>
      <c r="DE1" s="4" t="s">
        <v>5157</v>
      </c>
      <c r="DF1" s="14" t="s">
        <v>78</v>
      </c>
      <c r="DG1" s="14" t="s">
        <v>5162</v>
      </c>
      <c r="DH1" s="14" t="s">
        <v>5163</v>
      </c>
      <c r="DI1" s="14" t="s">
        <v>5165</v>
      </c>
      <c r="DJ1" s="14" t="s">
        <v>112</v>
      </c>
      <c r="DK1" s="14" t="s">
        <v>113</v>
      </c>
      <c r="DL1" s="14" t="s">
        <v>114</v>
      </c>
      <c r="DM1" s="14" t="s">
        <v>115</v>
      </c>
      <c r="DN1" s="14" t="s">
        <v>5168</v>
      </c>
      <c r="DO1" s="14" t="s">
        <v>6837</v>
      </c>
      <c r="DP1" s="14" t="s">
        <v>116</v>
      </c>
      <c r="DQ1" s="14" t="s">
        <v>117</v>
      </c>
      <c r="DR1" s="14" t="s">
        <v>5171</v>
      </c>
      <c r="DS1" s="14" t="s">
        <v>5172</v>
      </c>
      <c r="DT1" s="14" t="s">
        <v>118</v>
      </c>
      <c r="DU1" s="14" t="s">
        <v>5173</v>
      </c>
      <c r="DV1" s="14" t="s">
        <v>119</v>
      </c>
      <c r="DW1" s="14" t="s">
        <v>120</v>
      </c>
      <c r="DX1" s="14" t="s">
        <v>121</v>
      </c>
      <c r="DY1" s="14" t="s">
        <v>5174</v>
      </c>
      <c r="DZ1" s="14" t="s">
        <v>122</v>
      </c>
      <c r="EA1" s="14" t="s">
        <v>5175</v>
      </c>
      <c r="EB1" s="14" t="s">
        <v>5176</v>
      </c>
      <c r="EC1" s="14" t="s">
        <v>5177</v>
      </c>
      <c r="ED1" s="14" t="s">
        <v>6838</v>
      </c>
      <c r="EE1" s="14" t="s">
        <v>5178</v>
      </c>
      <c r="EF1" s="14" t="s">
        <v>5180</v>
      </c>
      <c r="EG1" s="14" t="s">
        <v>6839</v>
      </c>
      <c r="EH1" s="14" t="s">
        <v>5183</v>
      </c>
      <c r="EI1" s="14" t="s">
        <v>5185</v>
      </c>
      <c r="EJ1" s="14" t="s">
        <v>6840</v>
      </c>
      <c r="EK1" s="14" t="s">
        <v>5186</v>
      </c>
      <c r="EL1" s="14" t="s">
        <v>5187</v>
      </c>
      <c r="EM1" s="14" t="s">
        <v>6841</v>
      </c>
      <c r="EN1" s="14" t="s">
        <v>123</v>
      </c>
      <c r="EO1" s="14" t="s">
        <v>6842</v>
      </c>
      <c r="EP1" s="14" t="s">
        <v>6843</v>
      </c>
      <c r="EQ1" s="14" t="s">
        <v>6844</v>
      </c>
      <c r="ER1" s="14" t="s">
        <v>5190</v>
      </c>
      <c r="ES1" s="14" t="s">
        <v>5192</v>
      </c>
      <c r="ET1" s="14" t="s">
        <v>5194</v>
      </c>
      <c r="EU1" s="14" t="s">
        <v>7407</v>
      </c>
      <c r="EV1" s="14" t="s">
        <v>5195</v>
      </c>
      <c r="EW1" s="14" t="s">
        <v>5196</v>
      </c>
      <c r="EX1" s="14" t="s">
        <v>5197</v>
      </c>
      <c r="EY1" s="14" t="s">
        <v>6845</v>
      </c>
      <c r="EZ1" s="14" t="s">
        <v>5198</v>
      </c>
      <c r="FA1" s="14" t="s">
        <v>6846</v>
      </c>
      <c r="FB1" s="14" t="s">
        <v>5199</v>
      </c>
      <c r="FC1" s="14" t="s">
        <v>6847</v>
      </c>
      <c r="FD1" s="14" t="s">
        <v>6848</v>
      </c>
      <c r="FE1" s="14" t="s">
        <v>6849</v>
      </c>
      <c r="FF1" s="14" t="s">
        <v>6850</v>
      </c>
      <c r="FG1" s="14" t="s">
        <v>6851</v>
      </c>
      <c r="FH1" s="14" t="s">
        <v>6852</v>
      </c>
      <c r="FI1" s="14" t="s">
        <v>6853</v>
      </c>
      <c r="FJ1" s="14" t="s">
        <v>5201</v>
      </c>
      <c r="FK1" s="14" t="s">
        <v>124</v>
      </c>
      <c r="FL1" s="14" t="s">
        <v>5204</v>
      </c>
      <c r="FM1" s="14" t="s">
        <v>6854</v>
      </c>
      <c r="FN1" s="14" t="s">
        <v>5206</v>
      </c>
      <c r="FO1" s="14" t="s">
        <v>125</v>
      </c>
      <c r="FP1" s="14" t="s">
        <v>126</v>
      </c>
      <c r="FQ1" s="14" t="s">
        <v>6855</v>
      </c>
      <c r="FR1" s="14" t="s">
        <v>127</v>
      </c>
      <c r="FS1" s="14" t="s">
        <v>5215</v>
      </c>
      <c r="FT1" s="14" t="s">
        <v>6856</v>
      </c>
      <c r="FU1" s="14" t="s">
        <v>5217</v>
      </c>
      <c r="FV1" s="14" t="s">
        <v>5219</v>
      </c>
      <c r="FW1" s="14" t="s">
        <v>6857</v>
      </c>
      <c r="FX1" s="14" t="s">
        <v>5220</v>
      </c>
      <c r="FY1" s="14" t="s">
        <v>6858</v>
      </c>
      <c r="FZ1" s="14" t="s">
        <v>129</v>
      </c>
      <c r="GA1" s="14" t="s">
        <v>5225</v>
      </c>
      <c r="GB1" s="14" t="s">
        <v>130</v>
      </c>
      <c r="GC1" s="14" t="s">
        <v>6859</v>
      </c>
      <c r="GD1" s="14" t="s">
        <v>5227</v>
      </c>
      <c r="GE1" s="14" t="s">
        <v>5232</v>
      </c>
      <c r="GF1" s="14" t="s">
        <v>5233</v>
      </c>
      <c r="GG1" s="14" t="s">
        <v>5235</v>
      </c>
      <c r="GH1" s="14" t="s">
        <v>5237</v>
      </c>
      <c r="GI1" s="14" t="s">
        <v>132</v>
      </c>
      <c r="GJ1" s="26" t="s">
        <v>5241</v>
      </c>
      <c r="GK1" s="14" t="s">
        <v>5239</v>
      </c>
      <c r="GL1" s="14" t="s">
        <v>5240</v>
      </c>
      <c r="GM1" s="14" t="s">
        <v>5242</v>
      </c>
      <c r="GN1" s="14" t="s">
        <v>5243</v>
      </c>
      <c r="GO1" s="14" t="s">
        <v>6860</v>
      </c>
      <c r="GP1" s="14" t="s">
        <v>5248</v>
      </c>
      <c r="GQ1" s="14" t="s">
        <v>5251</v>
      </c>
      <c r="GR1" s="14" t="s">
        <v>5252</v>
      </c>
      <c r="GS1" s="14" t="s">
        <v>5253</v>
      </c>
      <c r="GT1" s="14" t="s">
        <v>5254</v>
      </c>
      <c r="GU1" s="14" t="s">
        <v>5255</v>
      </c>
      <c r="GV1" s="14" t="s">
        <v>5258</v>
      </c>
      <c r="GW1" s="14" t="s">
        <v>5259</v>
      </c>
      <c r="GX1" s="14" t="s">
        <v>5264</v>
      </c>
      <c r="GY1" s="14" t="s">
        <v>5268</v>
      </c>
      <c r="GZ1" s="14" t="s">
        <v>5266</v>
      </c>
      <c r="HA1" s="14" t="s">
        <v>5267</v>
      </c>
      <c r="HB1" s="14" t="s">
        <v>6861</v>
      </c>
      <c r="HC1" s="14" t="s">
        <v>6862</v>
      </c>
      <c r="HD1" s="14" t="s">
        <v>6863</v>
      </c>
      <c r="HE1" s="4" t="s">
        <v>6864</v>
      </c>
      <c r="HF1" s="14" t="s">
        <v>6865</v>
      </c>
      <c r="HG1" s="14" t="s">
        <v>6866</v>
      </c>
      <c r="HH1" s="14" t="s">
        <v>151</v>
      </c>
      <c r="HI1" s="14" t="s">
        <v>1124</v>
      </c>
      <c r="HJ1" s="14" t="s">
        <v>1116</v>
      </c>
      <c r="HK1" s="14" t="s">
        <v>1115</v>
      </c>
      <c r="HL1" s="14" t="s">
        <v>1117</v>
      </c>
      <c r="HM1" s="14" t="s">
        <v>133</v>
      </c>
      <c r="HN1" s="14" t="s">
        <v>134</v>
      </c>
      <c r="HO1" s="14" t="s">
        <v>135</v>
      </c>
      <c r="HP1" s="14" t="s">
        <v>267</v>
      </c>
      <c r="HQ1" s="14" t="s">
        <v>136</v>
      </c>
      <c r="HR1" s="14" t="s">
        <v>6867</v>
      </c>
      <c r="HS1" s="14" t="s">
        <v>1118</v>
      </c>
      <c r="HT1" s="14" t="s">
        <v>137</v>
      </c>
      <c r="HU1" s="14" t="s">
        <v>138</v>
      </c>
      <c r="HV1" s="14" t="s">
        <v>139</v>
      </c>
      <c r="HW1" s="14" t="s">
        <v>140</v>
      </c>
      <c r="HX1" s="14" t="s">
        <v>141</v>
      </c>
      <c r="HY1" s="14" t="s">
        <v>142</v>
      </c>
      <c r="HZ1" s="14" t="s">
        <v>143</v>
      </c>
      <c r="IA1" s="14" t="s">
        <v>6868</v>
      </c>
      <c r="IB1" s="14" t="s">
        <v>144</v>
      </c>
      <c r="IC1" s="14" t="s">
        <v>145</v>
      </c>
      <c r="ID1" s="14" t="s">
        <v>146</v>
      </c>
      <c r="IE1" s="14" t="s">
        <v>1121</v>
      </c>
      <c r="IF1" s="14" t="s">
        <v>147</v>
      </c>
      <c r="IG1" s="14" t="s">
        <v>148</v>
      </c>
      <c r="IH1" s="14" t="s">
        <v>149</v>
      </c>
      <c r="II1" s="14" t="s">
        <v>150</v>
      </c>
      <c r="IJ1" s="14" t="s">
        <v>6869</v>
      </c>
      <c r="IK1" s="14" t="s">
        <v>6870</v>
      </c>
      <c r="IL1" s="14" t="s">
        <v>6871</v>
      </c>
      <c r="IM1" s="14" t="s">
        <v>1129</v>
      </c>
      <c r="IN1" s="14" t="s">
        <v>1128</v>
      </c>
      <c r="IO1" s="14" t="s">
        <v>6872</v>
      </c>
    </row>
    <row r="2" spans="1:249" ht="58.5" customHeight="1" x14ac:dyDescent="0.2">
      <c r="A2" s="5"/>
      <c r="B2" s="5" t="s">
        <v>152</v>
      </c>
      <c r="C2" s="5"/>
      <c r="D2" s="5"/>
      <c r="E2" s="5" t="s">
        <v>153</v>
      </c>
      <c r="F2" s="5"/>
      <c r="G2" s="5" t="s">
        <v>154</v>
      </c>
      <c r="H2" s="5" t="s">
        <v>155</v>
      </c>
      <c r="I2" s="5" t="s">
        <v>14</v>
      </c>
      <c r="J2" s="5"/>
      <c r="K2" s="5"/>
      <c r="L2" s="5"/>
      <c r="M2" s="5"/>
      <c r="N2" s="5"/>
      <c r="O2" s="5" t="s">
        <v>6777</v>
      </c>
      <c r="P2" s="5" t="s">
        <v>6689</v>
      </c>
      <c r="Q2" s="5" t="s">
        <v>6775</v>
      </c>
      <c r="R2" s="5" t="s">
        <v>6776</v>
      </c>
      <c r="S2" s="20" t="s">
        <v>6689</v>
      </c>
      <c r="T2" s="20" t="s">
        <v>6690</v>
      </c>
      <c r="U2" s="20" t="s">
        <v>276</v>
      </c>
      <c r="V2" s="5" t="s">
        <v>6778</v>
      </c>
      <c r="W2" s="20" t="s">
        <v>6691</v>
      </c>
      <c r="X2" s="20" t="s">
        <v>6692</v>
      </c>
      <c r="Y2" s="20" t="s">
        <v>6693</v>
      </c>
      <c r="Z2" s="20" t="s">
        <v>6694</v>
      </c>
      <c r="AA2" s="20" t="s">
        <v>6695</v>
      </c>
      <c r="AB2" s="20" t="s">
        <v>6779</v>
      </c>
      <c r="AC2" s="20" t="s">
        <v>6780</v>
      </c>
      <c r="AD2" s="16" t="s">
        <v>6781</v>
      </c>
      <c r="AE2" s="20" t="s">
        <v>6696</v>
      </c>
      <c r="AF2" s="20" t="s">
        <v>6697</v>
      </c>
      <c r="AG2" s="20" t="s">
        <v>6782</v>
      </c>
      <c r="AH2" s="25" t="s">
        <v>6783</v>
      </c>
      <c r="AI2" s="20" t="s">
        <v>6784</v>
      </c>
      <c r="AJ2" s="5" t="s">
        <v>6785</v>
      </c>
      <c r="AK2" s="5" t="s">
        <v>6770</v>
      </c>
      <c r="AL2" s="20" t="s">
        <v>6700</v>
      </c>
      <c r="AM2" s="20" t="s">
        <v>6786</v>
      </c>
      <c r="AN2" s="5" t="s">
        <v>6787</v>
      </c>
      <c r="AO2" s="5" t="s">
        <v>6788</v>
      </c>
      <c r="AP2" s="20" t="s">
        <v>6701</v>
      </c>
      <c r="AQ2" s="20" t="s">
        <v>6702</v>
      </c>
      <c r="AR2" s="5" t="s">
        <v>6789</v>
      </c>
      <c r="AS2" s="20" t="s">
        <v>6790</v>
      </c>
      <c r="AT2" s="5" t="s">
        <v>6791</v>
      </c>
      <c r="AU2" s="20" t="s">
        <v>6703</v>
      </c>
      <c r="AV2" s="20" t="s">
        <v>6704</v>
      </c>
      <c r="AW2" s="20"/>
      <c r="AX2" s="5" t="s">
        <v>6792</v>
      </c>
      <c r="AY2" s="20" t="s">
        <v>6705</v>
      </c>
      <c r="AZ2" s="20" t="s">
        <v>6706</v>
      </c>
      <c r="BA2" s="20" t="s">
        <v>6707</v>
      </c>
      <c r="BB2" s="5" t="s">
        <v>6793</v>
      </c>
      <c r="BC2" s="20" t="s">
        <v>6708</v>
      </c>
      <c r="BD2" s="5" t="s">
        <v>6794</v>
      </c>
      <c r="BE2" s="20" t="s">
        <v>6709</v>
      </c>
      <c r="BF2" s="5" t="s">
        <v>6796</v>
      </c>
      <c r="BG2" s="5" t="s">
        <v>6797</v>
      </c>
      <c r="BH2" s="5" t="s">
        <v>6798</v>
      </c>
      <c r="BI2" s="20" t="s">
        <v>6710</v>
      </c>
      <c r="BJ2" s="5" t="s">
        <v>6799</v>
      </c>
      <c r="BK2" s="5" t="s">
        <v>6800</v>
      </c>
      <c r="BL2" s="5" t="s">
        <v>6801</v>
      </c>
      <c r="BM2" s="5" t="s">
        <v>6802</v>
      </c>
      <c r="BN2" s="5" t="s">
        <v>6803</v>
      </c>
      <c r="BO2" s="20" t="s">
        <v>6806</v>
      </c>
      <c r="BP2" s="5" t="s">
        <v>6807</v>
      </c>
      <c r="BQ2" s="5" t="s">
        <v>6808</v>
      </c>
      <c r="BR2" s="5" t="s">
        <v>1170</v>
      </c>
      <c r="BS2" s="5" t="s">
        <v>6809</v>
      </c>
      <c r="BT2" s="5" t="s">
        <v>6810</v>
      </c>
      <c r="BU2" s="5" t="s">
        <v>6811</v>
      </c>
      <c r="BV2" s="5" t="s">
        <v>6812</v>
      </c>
      <c r="BW2" s="5" t="s">
        <v>6813</v>
      </c>
      <c r="BX2" s="5" t="s">
        <v>6814</v>
      </c>
      <c r="BY2" s="5" t="s">
        <v>6815</v>
      </c>
      <c r="BZ2" s="5" t="s">
        <v>6816</v>
      </c>
      <c r="CA2" s="5" t="s">
        <v>6821</v>
      </c>
      <c r="CB2" s="5" t="s">
        <v>6822</v>
      </c>
      <c r="CC2" s="5" t="s">
        <v>6823</v>
      </c>
      <c r="CD2" s="5" t="s">
        <v>6824</v>
      </c>
      <c r="CE2" s="5" t="s">
        <v>6825</v>
      </c>
      <c r="CF2" s="5" t="s">
        <v>6826</v>
      </c>
      <c r="CG2" s="5" t="s">
        <v>6827</v>
      </c>
      <c r="CH2" s="5" t="s">
        <v>6828</v>
      </c>
      <c r="CI2" s="20" t="s">
        <v>6828</v>
      </c>
      <c r="CJ2" s="5" t="s">
        <v>6829</v>
      </c>
      <c r="CK2" s="5" t="s">
        <v>6830</v>
      </c>
      <c r="CL2" s="5" t="s">
        <v>6830</v>
      </c>
      <c r="CM2" s="5" t="s">
        <v>6831</v>
      </c>
      <c r="CN2" s="20" t="s">
        <v>6711</v>
      </c>
      <c r="CO2" s="20" t="s">
        <v>6712</v>
      </c>
      <c r="CP2" s="5" t="s">
        <v>6833</v>
      </c>
      <c r="CQ2" s="5" t="s">
        <v>6834</v>
      </c>
      <c r="CR2" s="20" t="s">
        <v>6713</v>
      </c>
      <c r="CS2" s="5" t="s">
        <v>6873</v>
      </c>
      <c r="CT2" s="5" t="s">
        <v>6874</v>
      </c>
      <c r="CU2" s="5" t="s">
        <v>6875</v>
      </c>
      <c r="CV2" s="5" t="s">
        <v>6876</v>
      </c>
      <c r="CW2" s="5" t="s">
        <v>6877</v>
      </c>
      <c r="CX2" s="5" t="s">
        <v>6714</v>
      </c>
      <c r="CY2" s="5" t="s">
        <v>6878</v>
      </c>
      <c r="CZ2" s="5" t="s">
        <v>6879</v>
      </c>
      <c r="DA2" s="5" t="s">
        <v>6880</v>
      </c>
      <c r="DB2" s="5" t="s">
        <v>6881</v>
      </c>
      <c r="DC2" s="5" t="s">
        <v>6882</v>
      </c>
      <c r="DD2" s="5" t="s">
        <v>6883</v>
      </c>
      <c r="DE2" s="5" t="s">
        <v>6884</v>
      </c>
      <c r="DF2" s="20" t="s">
        <v>6781</v>
      </c>
      <c r="DG2" s="20" t="s">
        <v>6885</v>
      </c>
      <c r="DH2" s="20" t="s">
        <v>6886</v>
      </c>
      <c r="DI2" s="20" t="s">
        <v>6887</v>
      </c>
      <c r="DJ2" s="20" t="s">
        <v>6734</v>
      </c>
      <c r="DK2" s="20" t="s">
        <v>6735</v>
      </c>
      <c r="DL2" s="20" t="s">
        <v>6736</v>
      </c>
      <c r="DM2" s="20" t="s">
        <v>6737</v>
      </c>
      <c r="DN2" s="20" t="s">
        <v>6888</v>
      </c>
      <c r="DO2" s="20" t="s">
        <v>6889</v>
      </c>
      <c r="DP2" s="20" t="s">
        <v>6716</v>
      </c>
      <c r="DQ2" s="20" t="s">
        <v>6738</v>
      </c>
      <c r="DR2" s="20" t="s">
        <v>6890</v>
      </c>
      <c r="DS2" s="20" t="s">
        <v>6891</v>
      </c>
      <c r="DT2" s="20" t="s">
        <v>6717</v>
      </c>
      <c r="DU2" s="20" t="s">
        <v>6892</v>
      </c>
      <c r="DV2" s="20" t="s">
        <v>6739</v>
      </c>
      <c r="DW2" s="20" t="s">
        <v>6740</v>
      </c>
      <c r="DX2" s="20" t="s">
        <v>6741</v>
      </c>
      <c r="DY2" s="20" t="s">
        <v>6893</v>
      </c>
      <c r="DZ2" s="20" t="s">
        <v>6742</v>
      </c>
      <c r="EA2" s="20" t="s">
        <v>6894</v>
      </c>
      <c r="EB2" s="20" t="s">
        <v>6895</v>
      </c>
      <c r="EC2" s="20" t="s">
        <v>6896</v>
      </c>
      <c r="ED2" s="20" t="s">
        <v>6897</v>
      </c>
      <c r="EE2" s="20" t="s">
        <v>6898</v>
      </c>
      <c r="EF2" s="20" t="s">
        <v>6899</v>
      </c>
      <c r="EG2" s="20" t="s">
        <v>6900</v>
      </c>
      <c r="EH2" s="20" t="s">
        <v>6901</v>
      </c>
      <c r="EI2" s="20" t="s">
        <v>6902</v>
      </c>
      <c r="EJ2" s="20" t="s">
        <v>6903</v>
      </c>
      <c r="EK2" s="20" t="s">
        <v>6904</v>
      </c>
      <c r="EL2" s="20" t="s">
        <v>6905</v>
      </c>
      <c r="EM2" s="20" t="s">
        <v>6906</v>
      </c>
      <c r="EN2" s="20" t="s">
        <v>6743</v>
      </c>
      <c r="EO2" s="20" t="s">
        <v>6907</v>
      </c>
      <c r="EP2" s="20" t="s">
        <v>6908</v>
      </c>
      <c r="EQ2" s="20" t="s">
        <v>6909</v>
      </c>
      <c r="ER2" s="20" t="s">
        <v>6910</v>
      </c>
      <c r="ES2" s="20" t="s">
        <v>6911</v>
      </c>
      <c r="ET2" s="20" t="s">
        <v>6912</v>
      </c>
      <c r="EU2" s="20" t="s">
        <v>6913</v>
      </c>
      <c r="EV2" s="20" t="s">
        <v>6914</v>
      </c>
      <c r="EW2" s="20" t="s">
        <v>6915</v>
      </c>
      <c r="EX2" s="20" t="s">
        <v>6916</v>
      </c>
      <c r="EY2" s="20" t="s">
        <v>6917</v>
      </c>
      <c r="EZ2" s="20" t="s">
        <v>6918</v>
      </c>
      <c r="FA2" s="20" t="s">
        <v>6919</v>
      </c>
      <c r="FB2" s="20" t="s">
        <v>6920</v>
      </c>
      <c r="FC2" s="20" t="s">
        <v>6921</v>
      </c>
      <c r="FD2" s="20" t="s">
        <v>6922</v>
      </c>
      <c r="FE2" s="20" t="s">
        <v>6923</v>
      </c>
      <c r="FF2" s="20" t="s">
        <v>6924</v>
      </c>
      <c r="FG2" s="20" t="s">
        <v>6925</v>
      </c>
      <c r="FH2" s="20" t="s">
        <v>6926</v>
      </c>
      <c r="FI2" s="20" t="s">
        <v>6927</v>
      </c>
      <c r="FJ2" s="20" t="s">
        <v>6928</v>
      </c>
      <c r="FK2" s="20" t="s">
        <v>6718</v>
      </c>
      <c r="FL2" s="20" t="s">
        <v>6929</v>
      </c>
      <c r="FM2" s="20" t="s">
        <v>6930</v>
      </c>
      <c r="FN2" s="20" t="s">
        <v>6931</v>
      </c>
      <c r="FO2" s="20" t="s">
        <v>6744</v>
      </c>
      <c r="FP2" s="20" t="s">
        <v>6745</v>
      </c>
      <c r="FQ2" s="20" t="s">
        <v>6932</v>
      </c>
      <c r="FR2" s="20" t="s">
        <v>6746</v>
      </c>
      <c r="FS2" s="20" t="s">
        <v>6933</v>
      </c>
      <c r="FT2" s="20" t="s">
        <v>6934</v>
      </c>
      <c r="FU2" s="20" t="s">
        <v>6935</v>
      </c>
      <c r="FV2" s="20" t="s">
        <v>6936</v>
      </c>
      <c r="FW2" s="20" t="s">
        <v>6937</v>
      </c>
      <c r="FX2" s="20" t="s">
        <v>6938</v>
      </c>
      <c r="FY2" s="20" t="s">
        <v>6939</v>
      </c>
      <c r="FZ2" s="20" t="s">
        <v>6719</v>
      </c>
      <c r="GA2" s="20" t="s">
        <v>6940</v>
      </c>
      <c r="GB2" s="20" t="s">
        <v>6748</v>
      </c>
      <c r="GC2" s="20" t="s">
        <v>6941</v>
      </c>
      <c r="GD2" s="20" t="s">
        <v>6942</v>
      </c>
      <c r="GE2" s="20" t="s">
        <v>6943</v>
      </c>
      <c r="GF2" s="20" t="s">
        <v>6944</v>
      </c>
      <c r="GG2" s="20" t="s">
        <v>6945</v>
      </c>
      <c r="GH2" s="20" t="s">
        <v>6946</v>
      </c>
      <c r="GI2" s="20" t="s">
        <v>6720</v>
      </c>
      <c r="GJ2" s="20" t="s">
        <v>6947</v>
      </c>
      <c r="GK2" s="20" t="s">
        <v>6948</v>
      </c>
      <c r="GL2" s="20" t="s">
        <v>6949</v>
      </c>
      <c r="GM2" s="20" t="s">
        <v>6950</v>
      </c>
      <c r="GN2" s="20" t="s">
        <v>6951</v>
      </c>
      <c r="GO2" s="20" t="s">
        <v>6952</v>
      </c>
      <c r="GP2" s="20" t="s">
        <v>6953</v>
      </c>
      <c r="GQ2" s="20" t="s">
        <v>6954</v>
      </c>
      <c r="GR2" s="20" t="s">
        <v>6955</v>
      </c>
      <c r="GS2" s="20" t="s">
        <v>6956</v>
      </c>
      <c r="GT2" s="20" t="s">
        <v>6957</v>
      </c>
      <c r="GU2" s="20" t="s">
        <v>6958</v>
      </c>
      <c r="GV2" s="20" t="s">
        <v>6959</v>
      </c>
      <c r="GW2" s="20" t="s">
        <v>6960</v>
      </c>
      <c r="GX2" s="20" t="s">
        <v>6961</v>
      </c>
      <c r="GY2" s="20" t="s">
        <v>6962</v>
      </c>
      <c r="GZ2" s="20" t="s">
        <v>6963</v>
      </c>
      <c r="HA2" s="20" t="s">
        <v>6964</v>
      </c>
      <c r="HB2" s="20" t="s">
        <v>6965</v>
      </c>
      <c r="HC2" s="20" t="s">
        <v>6966</v>
      </c>
      <c r="HD2" s="20" t="s">
        <v>6967</v>
      </c>
      <c r="HE2" s="5" t="s">
        <v>6968</v>
      </c>
      <c r="HF2" s="20" t="s">
        <v>6969</v>
      </c>
      <c r="HG2" s="20" t="s">
        <v>6970</v>
      </c>
      <c r="HH2" s="20" t="s">
        <v>6768</v>
      </c>
      <c r="HI2" s="5" t="s">
        <v>6971</v>
      </c>
      <c r="HJ2" s="20" t="s">
        <v>6972</v>
      </c>
      <c r="HK2" s="20" t="s">
        <v>6973</v>
      </c>
      <c r="HL2" s="20" t="s">
        <v>6974</v>
      </c>
      <c r="HM2" s="20" t="s">
        <v>6750</v>
      </c>
      <c r="HN2" s="20" t="s">
        <v>6751</v>
      </c>
      <c r="HO2" s="20" t="s">
        <v>6752</v>
      </c>
      <c r="HP2" s="20" t="s">
        <v>6769</v>
      </c>
      <c r="HQ2" s="20" t="s">
        <v>6753</v>
      </c>
      <c r="HR2" s="20" t="s">
        <v>6975</v>
      </c>
      <c r="HS2" s="20" t="s">
        <v>6976</v>
      </c>
      <c r="HT2" s="20" t="s">
        <v>6754</v>
      </c>
      <c r="HU2" s="20" t="s">
        <v>6755</v>
      </c>
      <c r="HV2" s="20" t="s">
        <v>6756</v>
      </c>
      <c r="HW2" s="20" t="s">
        <v>6757</v>
      </c>
      <c r="HX2" s="20" t="s">
        <v>6758</v>
      </c>
      <c r="HY2" s="20" t="s">
        <v>6759</v>
      </c>
      <c r="HZ2" s="20" t="s">
        <v>6760</v>
      </c>
      <c r="IA2" s="20" t="s">
        <v>6977</v>
      </c>
      <c r="IB2" s="20" t="s">
        <v>6761</v>
      </c>
      <c r="IC2" s="20" t="s">
        <v>6762</v>
      </c>
      <c r="ID2" s="20" t="s">
        <v>6763</v>
      </c>
      <c r="IE2" s="20" t="s">
        <v>6978</v>
      </c>
      <c r="IF2" s="20" t="s">
        <v>6764</v>
      </c>
      <c r="IG2" s="20" t="s">
        <v>6765</v>
      </c>
      <c r="IH2" s="20" t="s">
        <v>6766</v>
      </c>
      <c r="II2" s="20" t="s">
        <v>6767</v>
      </c>
      <c r="IJ2" s="20" t="s">
        <v>6979</v>
      </c>
      <c r="IK2" s="20" t="s">
        <v>6980</v>
      </c>
      <c r="IL2" s="20" t="s">
        <v>6981</v>
      </c>
      <c r="IM2" s="20" t="s">
        <v>6982</v>
      </c>
      <c r="IN2" s="20" t="s">
        <v>6983</v>
      </c>
      <c r="IO2" s="20" t="s">
        <v>6984</v>
      </c>
    </row>
    <row r="3" spans="1:249" s="29" customFormat="1" ht="58.5" hidden="1" customHeight="1" x14ac:dyDescent="0.15">
      <c r="O3" s="29" t="str">
        <f t="shared" ref="O3:S3" si="0">IF(COUNTA(O4:O65536)=0,"","07")</f>
        <v/>
      </c>
      <c r="P3" s="29" t="str">
        <f t="shared" si="0"/>
        <v/>
      </c>
      <c r="Q3" s="29" t="str">
        <f t="shared" si="0"/>
        <v/>
      </c>
      <c r="R3" s="29" t="str">
        <f t="shared" si="0"/>
        <v/>
      </c>
      <c r="S3" s="29" t="str">
        <f t="shared" si="0"/>
        <v/>
      </c>
      <c r="T3" s="29" t="str">
        <f>IF(COUNTA(T4:T65536)=0,"","07")</f>
        <v>07</v>
      </c>
      <c r="U3" s="29" t="str">
        <f t="shared" ref="U3:CF3" si="1">IF(COUNTA(U4:U65536)=0,"","07")</f>
        <v/>
      </c>
      <c r="V3" s="29" t="str">
        <f t="shared" si="1"/>
        <v/>
      </c>
      <c r="W3" s="29" t="str">
        <f t="shared" si="1"/>
        <v/>
      </c>
      <c r="X3" s="29" t="str">
        <f t="shared" si="1"/>
        <v/>
      </c>
      <c r="Y3" s="29" t="str">
        <f t="shared" si="1"/>
        <v/>
      </c>
      <c r="Z3" s="29" t="str">
        <f t="shared" si="1"/>
        <v/>
      </c>
      <c r="AA3" s="29" t="str">
        <f t="shared" si="1"/>
        <v/>
      </c>
      <c r="AB3" s="29" t="str">
        <f t="shared" si="1"/>
        <v/>
      </c>
      <c r="AC3" s="29" t="str">
        <f t="shared" si="1"/>
        <v/>
      </c>
      <c r="AD3" s="29" t="str">
        <f t="shared" si="1"/>
        <v/>
      </c>
      <c r="AE3" s="29" t="str">
        <f t="shared" si="1"/>
        <v/>
      </c>
      <c r="AF3" s="29" t="str">
        <f t="shared" si="1"/>
        <v/>
      </c>
      <c r="AG3" s="29" t="str">
        <f t="shared" si="1"/>
        <v/>
      </c>
      <c r="AH3" s="29" t="str">
        <f t="shared" si="1"/>
        <v/>
      </c>
      <c r="AI3" s="29" t="str">
        <f t="shared" si="1"/>
        <v/>
      </c>
      <c r="AJ3" s="29" t="str">
        <f t="shared" si="1"/>
        <v/>
      </c>
      <c r="AK3" s="29" t="str">
        <f t="shared" si="1"/>
        <v/>
      </c>
      <c r="AL3" s="29" t="str">
        <f t="shared" si="1"/>
        <v/>
      </c>
      <c r="AM3" s="29" t="str">
        <f t="shared" si="1"/>
        <v/>
      </c>
      <c r="AN3" s="29" t="str">
        <f t="shared" si="1"/>
        <v/>
      </c>
      <c r="AO3" s="29" t="str">
        <f t="shared" si="1"/>
        <v/>
      </c>
      <c r="AP3" s="29" t="str">
        <f t="shared" si="1"/>
        <v/>
      </c>
      <c r="AQ3" s="29" t="str">
        <f t="shared" si="1"/>
        <v>07</v>
      </c>
      <c r="AR3" s="29" t="str">
        <f t="shared" si="1"/>
        <v/>
      </c>
      <c r="AS3" s="29" t="str">
        <f t="shared" si="1"/>
        <v/>
      </c>
      <c r="AT3" s="29" t="str">
        <f t="shared" si="1"/>
        <v/>
      </c>
      <c r="AU3" s="29" t="str">
        <f t="shared" si="1"/>
        <v>07</v>
      </c>
      <c r="AV3" s="29" t="str">
        <f t="shared" si="1"/>
        <v/>
      </c>
      <c r="AW3" s="29" t="str">
        <f t="shared" si="1"/>
        <v/>
      </c>
      <c r="AX3" s="29" t="str">
        <f t="shared" si="1"/>
        <v/>
      </c>
      <c r="AY3" s="29" t="str">
        <f t="shared" si="1"/>
        <v>07</v>
      </c>
      <c r="AZ3" s="29" t="str">
        <f t="shared" si="1"/>
        <v>07</v>
      </c>
      <c r="BA3" s="29" t="str">
        <f t="shared" si="1"/>
        <v>07</v>
      </c>
      <c r="BB3" s="29" t="str">
        <f t="shared" si="1"/>
        <v/>
      </c>
      <c r="BC3" s="29" t="str">
        <f t="shared" si="1"/>
        <v>07</v>
      </c>
      <c r="BD3" s="29" t="str">
        <f t="shared" si="1"/>
        <v/>
      </c>
      <c r="BE3" s="29" t="str">
        <f t="shared" si="1"/>
        <v>07</v>
      </c>
      <c r="BF3" s="29" t="str">
        <f t="shared" si="1"/>
        <v/>
      </c>
      <c r="BG3" s="29" t="str">
        <f t="shared" si="1"/>
        <v/>
      </c>
      <c r="BH3" s="29" t="str">
        <f t="shared" si="1"/>
        <v/>
      </c>
      <c r="BI3" s="29" t="str">
        <f t="shared" si="1"/>
        <v>07</v>
      </c>
      <c r="BJ3" s="29" t="str">
        <f t="shared" si="1"/>
        <v/>
      </c>
      <c r="BK3" s="29" t="str">
        <f t="shared" si="1"/>
        <v/>
      </c>
      <c r="BL3" s="29" t="str">
        <f t="shared" si="1"/>
        <v/>
      </c>
      <c r="BM3" s="29" t="str">
        <f t="shared" si="1"/>
        <v/>
      </c>
      <c r="BN3" s="29" t="str">
        <f t="shared" si="1"/>
        <v/>
      </c>
      <c r="BO3" s="29" t="str">
        <f t="shared" si="1"/>
        <v/>
      </c>
      <c r="BP3" s="29" t="str">
        <f t="shared" si="1"/>
        <v/>
      </c>
      <c r="BQ3" s="29" t="str">
        <f t="shared" si="1"/>
        <v/>
      </c>
      <c r="BR3" s="29" t="str">
        <f t="shared" si="1"/>
        <v/>
      </c>
      <c r="BS3" s="29" t="str">
        <f t="shared" si="1"/>
        <v/>
      </c>
      <c r="BT3" s="29" t="str">
        <f t="shared" si="1"/>
        <v/>
      </c>
      <c r="BU3" s="29" t="str">
        <f t="shared" si="1"/>
        <v/>
      </c>
      <c r="BV3" s="29" t="str">
        <f t="shared" si="1"/>
        <v/>
      </c>
      <c r="BW3" s="29" t="str">
        <f t="shared" si="1"/>
        <v/>
      </c>
      <c r="BX3" s="29" t="str">
        <f t="shared" si="1"/>
        <v/>
      </c>
      <c r="BY3" s="29" t="str">
        <f t="shared" si="1"/>
        <v/>
      </c>
      <c r="BZ3" s="29" t="str">
        <f t="shared" si="1"/>
        <v/>
      </c>
      <c r="CA3" s="29" t="str">
        <f t="shared" si="1"/>
        <v/>
      </c>
      <c r="CB3" s="29" t="str">
        <f t="shared" si="1"/>
        <v/>
      </c>
      <c r="CC3" s="29" t="str">
        <f t="shared" si="1"/>
        <v/>
      </c>
      <c r="CD3" s="29" t="str">
        <f t="shared" si="1"/>
        <v/>
      </c>
      <c r="CE3" s="29" t="str">
        <f t="shared" si="1"/>
        <v/>
      </c>
      <c r="CF3" s="29" t="str">
        <f t="shared" si="1"/>
        <v/>
      </c>
      <c r="CG3" s="29" t="str">
        <f t="shared" ref="CG3:ER3" si="2">IF(COUNTA(CG4:CG65536)=0,"","07")</f>
        <v/>
      </c>
      <c r="CH3" s="29" t="str">
        <f t="shared" si="2"/>
        <v/>
      </c>
      <c r="CI3" s="29" t="str">
        <f t="shared" si="2"/>
        <v/>
      </c>
      <c r="CJ3" s="29" t="str">
        <f t="shared" si="2"/>
        <v/>
      </c>
      <c r="CK3" s="29" t="str">
        <f t="shared" si="2"/>
        <v/>
      </c>
      <c r="CL3" s="29" t="str">
        <f t="shared" si="2"/>
        <v/>
      </c>
      <c r="CM3" s="29" t="str">
        <f t="shared" si="2"/>
        <v/>
      </c>
      <c r="CN3" s="29" t="str">
        <f t="shared" si="2"/>
        <v/>
      </c>
      <c r="CO3" s="29" t="str">
        <f t="shared" si="2"/>
        <v/>
      </c>
      <c r="CP3" s="29" t="str">
        <f t="shared" si="2"/>
        <v/>
      </c>
      <c r="CQ3" s="29" t="str">
        <f t="shared" si="2"/>
        <v/>
      </c>
      <c r="CR3" s="29" t="str">
        <f t="shared" si="2"/>
        <v/>
      </c>
      <c r="CS3" s="29" t="str">
        <f t="shared" si="2"/>
        <v/>
      </c>
      <c r="CT3" s="29" t="str">
        <f t="shared" si="2"/>
        <v/>
      </c>
      <c r="CU3" s="29" t="str">
        <f t="shared" si="2"/>
        <v/>
      </c>
      <c r="CV3" s="29" t="str">
        <f t="shared" si="2"/>
        <v/>
      </c>
      <c r="CW3" s="29" t="str">
        <f t="shared" si="2"/>
        <v/>
      </c>
      <c r="CX3" s="29" t="str">
        <f t="shared" si="2"/>
        <v/>
      </c>
      <c r="CY3" s="29" t="str">
        <f t="shared" si="2"/>
        <v/>
      </c>
      <c r="CZ3" s="29" t="str">
        <f t="shared" si="2"/>
        <v/>
      </c>
      <c r="DA3" s="29" t="str">
        <f t="shared" si="2"/>
        <v/>
      </c>
      <c r="DB3" s="29" t="str">
        <f t="shared" si="2"/>
        <v/>
      </c>
      <c r="DC3" s="29" t="str">
        <f t="shared" si="2"/>
        <v/>
      </c>
      <c r="DD3" s="29" t="str">
        <f t="shared" si="2"/>
        <v/>
      </c>
      <c r="DE3" s="29" t="str">
        <f t="shared" si="2"/>
        <v/>
      </c>
      <c r="DF3" s="29" t="str">
        <f t="shared" si="2"/>
        <v/>
      </c>
      <c r="DG3" s="29" t="str">
        <f t="shared" si="2"/>
        <v/>
      </c>
      <c r="DH3" s="29" t="str">
        <f t="shared" si="2"/>
        <v/>
      </c>
      <c r="DI3" s="29" t="str">
        <f t="shared" si="2"/>
        <v/>
      </c>
      <c r="DJ3" s="29" t="str">
        <f t="shared" si="2"/>
        <v/>
      </c>
      <c r="DK3" s="29" t="str">
        <f t="shared" si="2"/>
        <v/>
      </c>
      <c r="DL3" s="29" t="str">
        <f t="shared" si="2"/>
        <v/>
      </c>
      <c r="DM3" s="29" t="str">
        <f t="shared" si="2"/>
        <v/>
      </c>
      <c r="DN3" s="29" t="str">
        <f t="shared" si="2"/>
        <v/>
      </c>
      <c r="DO3" s="29" t="str">
        <f t="shared" si="2"/>
        <v/>
      </c>
      <c r="DP3" s="29" t="str">
        <f t="shared" si="2"/>
        <v/>
      </c>
      <c r="DQ3" s="29" t="str">
        <f t="shared" si="2"/>
        <v/>
      </c>
      <c r="DR3" s="29" t="str">
        <f t="shared" si="2"/>
        <v/>
      </c>
      <c r="DS3" s="29" t="str">
        <f t="shared" si="2"/>
        <v/>
      </c>
      <c r="DT3" s="29" t="str">
        <f t="shared" si="2"/>
        <v/>
      </c>
      <c r="DU3" s="29" t="str">
        <f t="shared" si="2"/>
        <v/>
      </c>
      <c r="DV3" s="29" t="str">
        <f t="shared" si="2"/>
        <v/>
      </c>
      <c r="DW3" s="29" t="str">
        <f t="shared" si="2"/>
        <v/>
      </c>
      <c r="DX3" s="29" t="str">
        <f t="shared" si="2"/>
        <v/>
      </c>
      <c r="DY3" s="29" t="str">
        <f t="shared" si="2"/>
        <v/>
      </c>
      <c r="DZ3" s="29" t="str">
        <f t="shared" si="2"/>
        <v/>
      </c>
      <c r="EA3" s="29" t="str">
        <f t="shared" si="2"/>
        <v/>
      </c>
      <c r="EB3" s="29" t="str">
        <f t="shared" si="2"/>
        <v/>
      </c>
      <c r="EC3" s="29" t="str">
        <f t="shared" si="2"/>
        <v/>
      </c>
      <c r="ED3" s="29" t="str">
        <f t="shared" si="2"/>
        <v/>
      </c>
      <c r="EE3" s="29" t="str">
        <f t="shared" si="2"/>
        <v/>
      </c>
      <c r="EF3" s="29" t="str">
        <f t="shared" si="2"/>
        <v/>
      </c>
      <c r="EG3" s="29" t="str">
        <f t="shared" si="2"/>
        <v/>
      </c>
      <c r="EH3" s="29" t="str">
        <f t="shared" si="2"/>
        <v/>
      </c>
      <c r="EI3" s="29" t="str">
        <f t="shared" si="2"/>
        <v/>
      </c>
      <c r="EJ3" s="29" t="str">
        <f t="shared" si="2"/>
        <v/>
      </c>
      <c r="EK3" s="29" t="str">
        <f t="shared" si="2"/>
        <v/>
      </c>
      <c r="EL3" s="29" t="str">
        <f t="shared" si="2"/>
        <v/>
      </c>
      <c r="EM3" s="29" t="str">
        <f t="shared" si="2"/>
        <v/>
      </c>
      <c r="EN3" s="29" t="str">
        <f t="shared" si="2"/>
        <v/>
      </c>
      <c r="EO3" s="29" t="str">
        <f t="shared" si="2"/>
        <v/>
      </c>
      <c r="EP3" s="29" t="str">
        <f t="shared" si="2"/>
        <v/>
      </c>
      <c r="EQ3" s="29" t="str">
        <f t="shared" si="2"/>
        <v/>
      </c>
      <c r="ER3" s="29" t="str">
        <f t="shared" si="2"/>
        <v/>
      </c>
      <c r="ES3" s="29" t="str">
        <f t="shared" ref="ES3:HD3" si="3">IF(COUNTA(ES4:ES65536)=0,"","07")</f>
        <v/>
      </c>
      <c r="ET3" s="29" t="str">
        <f t="shared" si="3"/>
        <v/>
      </c>
      <c r="EU3" s="29" t="str">
        <f t="shared" si="3"/>
        <v/>
      </c>
      <c r="EV3" s="29" t="str">
        <f t="shared" si="3"/>
        <v/>
      </c>
      <c r="EW3" s="29" t="str">
        <f t="shared" si="3"/>
        <v/>
      </c>
      <c r="EX3" s="29" t="str">
        <f t="shared" si="3"/>
        <v/>
      </c>
      <c r="EY3" s="29" t="str">
        <f t="shared" si="3"/>
        <v/>
      </c>
      <c r="EZ3" s="29" t="str">
        <f t="shared" si="3"/>
        <v/>
      </c>
      <c r="FA3" s="29" t="str">
        <f t="shared" si="3"/>
        <v/>
      </c>
      <c r="FB3" s="29" t="str">
        <f t="shared" si="3"/>
        <v/>
      </c>
      <c r="FC3" s="29" t="str">
        <f t="shared" si="3"/>
        <v/>
      </c>
      <c r="FD3" s="29" t="str">
        <f t="shared" si="3"/>
        <v/>
      </c>
      <c r="FE3" s="29" t="str">
        <f t="shared" si="3"/>
        <v/>
      </c>
      <c r="FF3" s="29" t="str">
        <f t="shared" si="3"/>
        <v/>
      </c>
      <c r="FG3" s="29" t="str">
        <f t="shared" si="3"/>
        <v/>
      </c>
      <c r="FH3" s="29" t="str">
        <f t="shared" si="3"/>
        <v/>
      </c>
      <c r="FI3" s="29" t="str">
        <f t="shared" si="3"/>
        <v/>
      </c>
      <c r="FJ3" s="29" t="str">
        <f t="shared" si="3"/>
        <v/>
      </c>
      <c r="FK3" s="29" t="str">
        <f t="shared" si="3"/>
        <v/>
      </c>
      <c r="FL3" s="29" t="str">
        <f t="shared" si="3"/>
        <v/>
      </c>
      <c r="FM3" s="29" t="str">
        <f t="shared" si="3"/>
        <v/>
      </c>
      <c r="FN3" s="29" t="str">
        <f t="shared" si="3"/>
        <v/>
      </c>
      <c r="FO3" s="29" t="str">
        <f t="shared" si="3"/>
        <v/>
      </c>
      <c r="FP3" s="29" t="str">
        <f t="shared" si="3"/>
        <v/>
      </c>
      <c r="FQ3" s="29" t="str">
        <f t="shared" si="3"/>
        <v/>
      </c>
      <c r="FR3" s="29" t="str">
        <f t="shared" si="3"/>
        <v/>
      </c>
      <c r="FS3" s="29" t="str">
        <f t="shared" si="3"/>
        <v/>
      </c>
      <c r="FT3" s="29" t="str">
        <f t="shared" si="3"/>
        <v/>
      </c>
      <c r="FU3" s="29" t="str">
        <f t="shared" si="3"/>
        <v/>
      </c>
      <c r="FV3" s="29" t="str">
        <f t="shared" si="3"/>
        <v/>
      </c>
      <c r="FW3" s="29" t="str">
        <f t="shared" si="3"/>
        <v/>
      </c>
      <c r="FX3" s="29" t="str">
        <f t="shared" si="3"/>
        <v/>
      </c>
      <c r="FY3" s="29" t="str">
        <f t="shared" si="3"/>
        <v/>
      </c>
      <c r="FZ3" s="29" t="str">
        <f t="shared" si="3"/>
        <v/>
      </c>
      <c r="GA3" s="29" t="str">
        <f t="shared" si="3"/>
        <v/>
      </c>
      <c r="GB3" s="29" t="str">
        <f t="shared" si="3"/>
        <v/>
      </c>
      <c r="GC3" s="29" t="str">
        <f t="shared" si="3"/>
        <v/>
      </c>
      <c r="GD3" s="29" t="str">
        <f t="shared" si="3"/>
        <v/>
      </c>
      <c r="GE3" s="29" t="str">
        <f t="shared" si="3"/>
        <v/>
      </c>
      <c r="GF3" s="29" t="str">
        <f t="shared" si="3"/>
        <v/>
      </c>
      <c r="GG3" s="29" t="str">
        <f t="shared" si="3"/>
        <v/>
      </c>
      <c r="GH3" s="29" t="str">
        <f t="shared" si="3"/>
        <v/>
      </c>
      <c r="GI3" s="29" t="str">
        <f t="shared" si="3"/>
        <v/>
      </c>
      <c r="GJ3" s="29" t="str">
        <f t="shared" si="3"/>
        <v/>
      </c>
      <c r="GK3" s="29" t="str">
        <f t="shared" si="3"/>
        <v/>
      </c>
      <c r="GL3" s="29" t="str">
        <f t="shared" si="3"/>
        <v/>
      </c>
      <c r="GM3" s="29" t="str">
        <f t="shared" si="3"/>
        <v/>
      </c>
      <c r="GN3" s="29" t="str">
        <f t="shared" si="3"/>
        <v/>
      </c>
      <c r="GO3" s="29" t="str">
        <f t="shared" si="3"/>
        <v/>
      </c>
      <c r="GP3" s="29" t="str">
        <f t="shared" si="3"/>
        <v/>
      </c>
      <c r="GQ3" s="29" t="str">
        <f t="shared" si="3"/>
        <v/>
      </c>
      <c r="GR3" s="29" t="str">
        <f t="shared" si="3"/>
        <v/>
      </c>
      <c r="GS3" s="29" t="str">
        <f t="shared" si="3"/>
        <v/>
      </c>
      <c r="GT3" s="29" t="str">
        <f t="shared" si="3"/>
        <v/>
      </c>
      <c r="GU3" s="29" t="str">
        <f t="shared" si="3"/>
        <v/>
      </c>
      <c r="GV3" s="29" t="str">
        <f t="shared" si="3"/>
        <v/>
      </c>
      <c r="GW3" s="29" t="str">
        <f t="shared" si="3"/>
        <v/>
      </c>
      <c r="GX3" s="29" t="str">
        <f t="shared" si="3"/>
        <v/>
      </c>
      <c r="GY3" s="29" t="str">
        <f t="shared" si="3"/>
        <v/>
      </c>
      <c r="GZ3" s="29" t="str">
        <f t="shared" si="3"/>
        <v/>
      </c>
      <c r="HA3" s="29" t="str">
        <f t="shared" si="3"/>
        <v/>
      </c>
      <c r="HB3" s="29" t="str">
        <f t="shared" si="3"/>
        <v/>
      </c>
      <c r="HC3" s="29" t="str">
        <f t="shared" si="3"/>
        <v/>
      </c>
      <c r="HD3" s="29" t="str">
        <f t="shared" si="3"/>
        <v/>
      </c>
      <c r="HE3" s="29" t="str">
        <f t="shared" ref="HE3:HW3" si="4">IF(COUNTA(HE4:HE65536)=0,"","07")</f>
        <v/>
      </c>
      <c r="HF3" s="29" t="str">
        <f t="shared" si="4"/>
        <v/>
      </c>
      <c r="HG3" s="29" t="str">
        <f t="shared" si="4"/>
        <v/>
      </c>
      <c r="HH3" s="29" t="str">
        <f t="shared" si="4"/>
        <v/>
      </c>
      <c r="HI3" s="29" t="str">
        <f t="shared" si="4"/>
        <v/>
      </c>
      <c r="HJ3" s="29" t="str">
        <f t="shared" si="4"/>
        <v/>
      </c>
      <c r="HK3" s="29" t="str">
        <f t="shared" si="4"/>
        <v/>
      </c>
      <c r="HL3" s="29" t="str">
        <f t="shared" si="4"/>
        <v/>
      </c>
      <c r="HM3" s="29" t="str">
        <f t="shared" si="4"/>
        <v/>
      </c>
      <c r="HN3" s="29" t="str">
        <f t="shared" si="4"/>
        <v/>
      </c>
      <c r="HO3" s="29" t="str">
        <f t="shared" si="4"/>
        <v/>
      </c>
      <c r="HP3" s="29" t="str">
        <f t="shared" si="4"/>
        <v/>
      </c>
      <c r="HQ3" s="29" t="str">
        <f t="shared" si="4"/>
        <v/>
      </c>
      <c r="HR3" s="29" t="str">
        <f t="shared" si="4"/>
        <v/>
      </c>
      <c r="HS3" s="29" t="str">
        <f t="shared" si="4"/>
        <v/>
      </c>
      <c r="HT3" s="29" t="str">
        <f t="shared" si="4"/>
        <v/>
      </c>
      <c r="HU3" s="29" t="str">
        <f t="shared" si="4"/>
        <v/>
      </c>
      <c r="HV3" s="29" t="str">
        <f t="shared" si="4"/>
        <v/>
      </c>
      <c r="HW3" s="29" t="str">
        <f t="shared" si="4"/>
        <v/>
      </c>
      <c r="HX3" s="29" t="str">
        <f t="shared" ref="HX3:IG3" si="5">IF(COUNTA(HX4:HX65536)=0,"","07")</f>
        <v/>
      </c>
      <c r="HY3" s="29" t="str">
        <f t="shared" si="5"/>
        <v/>
      </c>
      <c r="HZ3" s="29" t="str">
        <f t="shared" si="5"/>
        <v/>
      </c>
      <c r="IA3" s="29" t="str">
        <f t="shared" si="5"/>
        <v/>
      </c>
      <c r="IB3" s="29" t="str">
        <f t="shared" si="5"/>
        <v/>
      </c>
      <c r="IC3" s="29" t="str">
        <f t="shared" si="5"/>
        <v/>
      </c>
      <c r="ID3" s="29" t="str">
        <f t="shared" si="5"/>
        <v/>
      </c>
      <c r="IE3" s="29" t="str">
        <f t="shared" si="5"/>
        <v/>
      </c>
      <c r="IF3" s="29" t="str">
        <f t="shared" si="5"/>
        <v/>
      </c>
      <c r="IG3" s="29" t="str">
        <f t="shared" si="5"/>
        <v/>
      </c>
      <c r="IH3" s="29" t="str">
        <f t="shared" ref="IH3:IO3" si="6">IF(COUNTA(IH4:IH65536)=0,"","07")</f>
        <v/>
      </c>
      <c r="II3" s="29" t="str">
        <f t="shared" si="6"/>
        <v/>
      </c>
      <c r="IJ3" s="29" t="str">
        <f t="shared" si="6"/>
        <v/>
      </c>
      <c r="IK3" s="29" t="str">
        <f t="shared" si="6"/>
        <v/>
      </c>
      <c r="IL3" s="29" t="str">
        <f t="shared" si="6"/>
        <v/>
      </c>
      <c r="IM3" s="29" t="str">
        <f t="shared" si="6"/>
        <v/>
      </c>
      <c r="IN3" s="29" t="str">
        <f t="shared" si="6"/>
        <v/>
      </c>
      <c r="IO3" s="29" t="str">
        <f t="shared" si="6"/>
        <v/>
      </c>
    </row>
    <row r="4" spans="1:249" s="11" customFormat="1" x14ac:dyDescent="0.2">
      <c r="A4" s="10" t="s">
        <v>7552</v>
      </c>
      <c r="B4" s="11" t="s">
        <v>6176</v>
      </c>
      <c r="D4" s="11" t="s">
        <v>6358</v>
      </c>
      <c r="E4" s="11" t="s">
        <v>11</v>
      </c>
      <c r="G4" s="11" t="s">
        <v>6179</v>
      </c>
      <c r="J4" s="11" t="s">
        <v>6773</v>
      </c>
      <c r="K4" s="11">
        <v>1989</v>
      </c>
      <c r="L4" s="13" t="s">
        <v>6181</v>
      </c>
      <c r="M4" s="13" t="s">
        <v>6182</v>
      </c>
      <c r="N4" s="11">
        <v>1.1000000000000001</v>
      </c>
      <c r="T4" s="11">
        <v>50</v>
      </c>
      <c r="AQ4" s="13">
        <v>90</v>
      </c>
      <c r="AR4" s="13"/>
      <c r="AS4" s="13"/>
      <c r="AT4" s="13"/>
      <c r="AU4" s="11">
        <v>3</v>
      </c>
      <c r="AY4" s="11">
        <v>545</v>
      </c>
      <c r="AZ4" s="12">
        <v>62</v>
      </c>
      <c r="BA4" s="11">
        <v>1.46</v>
      </c>
      <c r="BB4" s="12"/>
      <c r="BC4" s="11">
        <v>55</v>
      </c>
      <c r="BE4" s="11">
        <v>424</v>
      </c>
      <c r="BI4" s="11">
        <v>8.4</v>
      </c>
    </row>
    <row r="5" spans="1:249" s="11" customFormat="1" x14ac:dyDescent="0.2">
      <c r="A5" s="10" t="s">
        <v>7553</v>
      </c>
      <c r="B5" s="11" t="s">
        <v>6248</v>
      </c>
      <c r="D5" s="11" t="s">
        <v>6359</v>
      </c>
      <c r="E5" s="11" t="s">
        <v>7</v>
      </c>
      <c r="G5" s="11" t="s">
        <v>6179</v>
      </c>
      <c r="J5" s="11" t="s">
        <v>6773</v>
      </c>
      <c r="K5" s="11">
        <v>1989</v>
      </c>
      <c r="L5" s="13" t="s">
        <v>6181</v>
      </c>
      <c r="M5" s="13" t="s">
        <v>6182</v>
      </c>
      <c r="N5" s="11">
        <v>1.1000000000000001</v>
      </c>
      <c r="T5" s="11">
        <v>64</v>
      </c>
      <c r="AQ5" s="11">
        <v>18</v>
      </c>
      <c r="AU5" s="11">
        <v>2.1</v>
      </c>
      <c r="AY5" s="11">
        <v>304</v>
      </c>
      <c r="AZ5" s="12">
        <v>29</v>
      </c>
      <c r="BA5" s="11">
        <v>0.55000000000000004</v>
      </c>
      <c r="BB5" s="12"/>
      <c r="BC5" s="13">
        <v>13</v>
      </c>
      <c r="BD5" s="13"/>
      <c r="BE5" s="11">
        <v>96</v>
      </c>
      <c r="BI5" s="11">
        <v>4.9000000000000004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O4"/>
  <sheetViews>
    <sheetView zoomScale="130" zoomScaleNormal="130" zoomScalePageLayoutView="130" workbookViewId="0">
      <pane ySplit="3" topLeftCell="A4" activePane="bottomLeft" state="frozen"/>
      <selection pane="bottomLeft"/>
    </sheetView>
  </sheetViews>
  <sheetFormatPr baseColWidth="10" defaultColWidth="11.5" defaultRowHeight="14" x14ac:dyDescent="0.2"/>
  <cols>
    <col min="1" max="16384" width="11.5" style="1"/>
  </cols>
  <sheetData>
    <row r="1" spans="1:249" s="4" customFormat="1" ht="58.5" customHeight="1" x14ac:dyDescent="0.15">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73</v>
      </c>
      <c r="P1" s="4" t="s">
        <v>74</v>
      </c>
      <c r="Q1" s="4" t="s">
        <v>6193</v>
      </c>
      <c r="R1" s="4" t="s">
        <v>246</v>
      </c>
      <c r="S1" s="4" t="s">
        <v>76</v>
      </c>
      <c r="T1" s="4" t="s">
        <v>77</v>
      </c>
      <c r="U1" s="4" t="s">
        <v>78</v>
      </c>
      <c r="V1" s="4" t="s">
        <v>79</v>
      </c>
      <c r="W1" s="4" t="s">
        <v>80</v>
      </c>
      <c r="X1" s="4" t="s">
        <v>81</v>
      </c>
      <c r="Y1" s="4" t="s">
        <v>82</v>
      </c>
      <c r="Z1" s="4" t="s">
        <v>83</v>
      </c>
      <c r="AA1" s="4" t="s">
        <v>84</v>
      </c>
      <c r="AB1" s="4" t="s">
        <v>85</v>
      </c>
      <c r="AC1" s="4" t="s">
        <v>86</v>
      </c>
      <c r="AD1" s="4" t="s">
        <v>87</v>
      </c>
      <c r="AE1" s="4" t="s">
        <v>88</v>
      </c>
      <c r="AF1" s="4" t="s">
        <v>89</v>
      </c>
      <c r="AG1" s="4" t="s">
        <v>90</v>
      </c>
      <c r="AH1" s="4" t="s">
        <v>91</v>
      </c>
      <c r="AI1" s="4" t="s">
        <v>92</v>
      </c>
      <c r="AJ1" s="4" t="s">
        <v>93</v>
      </c>
      <c r="AK1" s="4" t="s">
        <v>94</v>
      </c>
      <c r="AL1" s="4" t="s">
        <v>95</v>
      </c>
      <c r="AM1" s="4" t="s">
        <v>96</v>
      </c>
      <c r="AN1" s="4" t="s">
        <v>97</v>
      </c>
      <c r="AO1" s="4" t="s">
        <v>98</v>
      </c>
      <c r="AP1" s="4" t="s">
        <v>99</v>
      </c>
      <c r="AQ1" s="4" t="s">
        <v>100</v>
      </c>
      <c r="AR1" s="4" t="s">
        <v>101</v>
      </c>
      <c r="AS1" s="4" t="s">
        <v>102</v>
      </c>
      <c r="AT1" s="4" t="s">
        <v>103</v>
      </c>
      <c r="AU1" s="4" t="s">
        <v>104</v>
      </c>
      <c r="AV1" s="4" t="s">
        <v>105</v>
      </c>
      <c r="AW1" s="4" t="s">
        <v>106</v>
      </c>
      <c r="AX1" s="4" t="s">
        <v>107</v>
      </c>
      <c r="AY1" s="4" t="s">
        <v>108</v>
      </c>
      <c r="AZ1" s="4" t="s">
        <v>109</v>
      </c>
      <c r="BA1" s="4" t="s">
        <v>110</v>
      </c>
      <c r="BB1" s="4" t="s">
        <v>111</v>
      </c>
      <c r="BC1" s="4" t="s">
        <v>112</v>
      </c>
      <c r="BD1" s="4" t="s">
        <v>113</v>
      </c>
      <c r="BE1" s="4" t="s">
        <v>114</v>
      </c>
      <c r="BF1" s="4" t="s">
        <v>115</v>
      </c>
      <c r="BG1" s="4" t="s">
        <v>116</v>
      </c>
      <c r="BH1" s="4" t="s">
        <v>117</v>
      </c>
      <c r="BI1" s="4" t="s">
        <v>118</v>
      </c>
      <c r="BJ1" s="4" t="s">
        <v>119</v>
      </c>
      <c r="BK1" s="4" t="s">
        <v>120</v>
      </c>
      <c r="BL1" s="4" t="s">
        <v>121</v>
      </c>
      <c r="BM1" s="4" t="s">
        <v>122</v>
      </c>
      <c r="BN1" s="4" t="s">
        <v>123</v>
      </c>
      <c r="BO1" s="4" t="s">
        <v>124</v>
      </c>
      <c r="BP1" s="4" t="s">
        <v>125</v>
      </c>
      <c r="BQ1" s="4" t="s">
        <v>126</v>
      </c>
      <c r="BR1" s="4" t="s">
        <v>127</v>
      </c>
      <c r="BS1" s="4" t="s">
        <v>128</v>
      </c>
      <c r="BT1" s="4" t="s">
        <v>129</v>
      </c>
      <c r="BU1" s="4" t="s">
        <v>130</v>
      </c>
      <c r="BV1" s="4" t="s">
        <v>131</v>
      </c>
      <c r="BW1" s="4" t="s">
        <v>132</v>
      </c>
      <c r="BX1" s="4" t="s">
        <v>133</v>
      </c>
      <c r="BY1" s="4" t="s">
        <v>134</v>
      </c>
      <c r="BZ1" s="4" t="s">
        <v>135</v>
      </c>
      <c r="CA1" s="4" t="s">
        <v>136</v>
      </c>
      <c r="CB1" s="4" t="s">
        <v>137</v>
      </c>
      <c r="CC1" s="4" t="s">
        <v>138</v>
      </c>
      <c r="CD1" s="4" t="s">
        <v>139</v>
      </c>
      <c r="CE1" s="4" t="s">
        <v>140</v>
      </c>
      <c r="CF1" s="4" t="s">
        <v>141</v>
      </c>
      <c r="CG1" s="4" t="s">
        <v>142</v>
      </c>
      <c r="CH1" s="4" t="s">
        <v>143</v>
      </c>
      <c r="CI1" s="4" t="s">
        <v>144</v>
      </c>
      <c r="CJ1" s="4" t="s">
        <v>145</v>
      </c>
      <c r="CK1" s="4" t="s">
        <v>146</v>
      </c>
      <c r="CL1" s="4" t="s">
        <v>147</v>
      </c>
      <c r="CM1" s="4" t="s">
        <v>148</v>
      </c>
      <c r="CN1" s="4" t="s">
        <v>149</v>
      </c>
      <c r="CO1" s="4" t="s">
        <v>150</v>
      </c>
      <c r="CP1" s="4" t="s">
        <v>151</v>
      </c>
      <c r="CQ1" s="4" t="s">
        <v>251</v>
      </c>
    </row>
    <row r="2" spans="1:249" ht="58.5" customHeight="1" x14ac:dyDescent="0.2">
      <c r="A2" s="5"/>
      <c r="B2" s="5" t="s">
        <v>152</v>
      </c>
      <c r="C2" s="5"/>
      <c r="D2" s="5"/>
      <c r="E2" s="5" t="s">
        <v>153</v>
      </c>
      <c r="F2" s="5"/>
      <c r="G2" s="5" t="s">
        <v>154</v>
      </c>
      <c r="H2" s="5" t="s">
        <v>155</v>
      </c>
      <c r="I2" s="5" t="s">
        <v>14</v>
      </c>
      <c r="J2" s="5"/>
      <c r="K2" s="5"/>
      <c r="L2" s="5"/>
      <c r="M2" s="5"/>
      <c r="N2" s="5"/>
    </row>
    <row r="3" spans="1:249" s="29" customFormat="1" ht="58.5" hidden="1" customHeight="1" x14ac:dyDescent="0.15">
      <c r="O3" s="29" t="str">
        <f>IF(COUNTA(O4:O65536)=0,"","08")</f>
        <v>08</v>
      </c>
      <c r="P3" s="29" t="str">
        <f t="shared" ref="P3:CA3" si="0">IF(COUNTA(P4:P65536)=0,"","08")</f>
        <v/>
      </c>
      <c r="Q3" s="29" t="str">
        <f t="shared" si="0"/>
        <v/>
      </c>
      <c r="R3" s="29" t="str">
        <f t="shared" si="0"/>
        <v/>
      </c>
      <c r="S3" s="29" t="str">
        <f t="shared" si="0"/>
        <v/>
      </c>
      <c r="T3" s="29" t="str">
        <f t="shared" si="0"/>
        <v/>
      </c>
      <c r="U3" s="29" t="str">
        <f t="shared" si="0"/>
        <v/>
      </c>
      <c r="V3" s="29" t="str">
        <f t="shared" si="0"/>
        <v/>
      </c>
      <c r="W3" s="29" t="str">
        <f t="shared" si="0"/>
        <v/>
      </c>
      <c r="X3" s="29" t="str">
        <f t="shared" si="0"/>
        <v/>
      </c>
      <c r="Y3" s="29" t="str">
        <f t="shared" si="0"/>
        <v/>
      </c>
      <c r="Z3" s="29" t="str">
        <f t="shared" si="0"/>
        <v/>
      </c>
      <c r="AA3" s="29" t="str">
        <f t="shared" si="0"/>
        <v/>
      </c>
      <c r="AB3" s="29" t="str">
        <f t="shared" si="0"/>
        <v>08</v>
      </c>
      <c r="AC3" s="29" t="str">
        <f t="shared" si="0"/>
        <v>08</v>
      </c>
      <c r="AD3" s="29" t="str">
        <f t="shared" si="0"/>
        <v/>
      </c>
      <c r="AE3" s="29" t="str">
        <f t="shared" si="0"/>
        <v>08</v>
      </c>
      <c r="AF3" s="29" t="str">
        <f t="shared" si="0"/>
        <v>08</v>
      </c>
      <c r="AG3" s="29" t="str">
        <f t="shared" si="0"/>
        <v>08</v>
      </c>
      <c r="AH3" s="29" t="str">
        <f t="shared" si="0"/>
        <v>08</v>
      </c>
      <c r="AI3" s="29" t="str">
        <f t="shared" si="0"/>
        <v>08</v>
      </c>
      <c r="AJ3" s="29" t="str">
        <f t="shared" si="0"/>
        <v/>
      </c>
      <c r="AK3" s="29" t="str">
        <f t="shared" si="0"/>
        <v/>
      </c>
      <c r="AL3" s="29" t="str">
        <f t="shared" si="0"/>
        <v/>
      </c>
      <c r="AM3" s="29" t="str">
        <f t="shared" si="0"/>
        <v/>
      </c>
      <c r="AN3" s="29" t="str">
        <f t="shared" si="0"/>
        <v/>
      </c>
      <c r="AO3" s="29" t="str">
        <f t="shared" si="0"/>
        <v/>
      </c>
      <c r="AP3" s="29" t="str">
        <f t="shared" si="0"/>
        <v/>
      </c>
      <c r="AQ3" s="29" t="str">
        <f t="shared" si="0"/>
        <v/>
      </c>
      <c r="AR3" s="29" t="str">
        <f t="shared" si="0"/>
        <v/>
      </c>
      <c r="AS3" s="29" t="str">
        <f t="shared" si="0"/>
        <v/>
      </c>
      <c r="AT3" s="29" t="str">
        <f t="shared" si="0"/>
        <v/>
      </c>
      <c r="AU3" s="29" t="str">
        <f t="shared" si="0"/>
        <v/>
      </c>
      <c r="AV3" s="29" t="str">
        <f t="shared" si="0"/>
        <v/>
      </c>
      <c r="AW3" s="29" t="str">
        <f t="shared" si="0"/>
        <v/>
      </c>
      <c r="AX3" s="29" t="str">
        <f t="shared" si="0"/>
        <v/>
      </c>
      <c r="AY3" s="29" t="str">
        <f t="shared" si="0"/>
        <v/>
      </c>
      <c r="AZ3" s="29" t="str">
        <f t="shared" si="0"/>
        <v/>
      </c>
      <c r="BA3" s="29" t="str">
        <f t="shared" si="0"/>
        <v/>
      </c>
      <c r="BB3" s="29" t="str">
        <f t="shared" si="0"/>
        <v/>
      </c>
      <c r="BC3" s="29" t="str">
        <f t="shared" si="0"/>
        <v/>
      </c>
      <c r="BD3" s="29" t="str">
        <f t="shared" si="0"/>
        <v/>
      </c>
      <c r="BE3" s="29" t="str">
        <f t="shared" si="0"/>
        <v/>
      </c>
      <c r="BF3" s="29" t="str">
        <f t="shared" si="0"/>
        <v/>
      </c>
      <c r="BG3" s="29" t="str">
        <f t="shared" si="0"/>
        <v/>
      </c>
      <c r="BH3" s="29" t="str">
        <f t="shared" si="0"/>
        <v/>
      </c>
      <c r="BI3" s="29" t="str">
        <f t="shared" si="0"/>
        <v/>
      </c>
      <c r="BJ3" s="29" t="str">
        <f t="shared" si="0"/>
        <v/>
      </c>
      <c r="BK3" s="29" t="str">
        <f t="shared" si="0"/>
        <v/>
      </c>
      <c r="BL3" s="29" t="str">
        <f t="shared" si="0"/>
        <v/>
      </c>
      <c r="BM3" s="29" t="str">
        <f t="shared" si="0"/>
        <v/>
      </c>
      <c r="BN3" s="29" t="str">
        <f t="shared" si="0"/>
        <v/>
      </c>
      <c r="BO3" s="29" t="str">
        <f t="shared" si="0"/>
        <v/>
      </c>
      <c r="BP3" s="29" t="str">
        <f t="shared" si="0"/>
        <v/>
      </c>
      <c r="BQ3" s="29" t="str">
        <f t="shared" si="0"/>
        <v/>
      </c>
      <c r="BR3" s="29" t="str">
        <f t="shared" si="0"/>
        <v/>
      </c>
      <c r="BS3" s="29" t="str">
        <f t="shared" si="0"/>
        <v/>
      </c>
      <c r="BT3" s="29" t="str">
        <f t="shared" si="0"/>
        <v/>
      </c>
      <c r="BU3" s="29" t="str">
        <f t="shared" si="0"/>
        <v/>
      </c>
      <c r="BV3" s="29" t="str">
        <f t="shared" si="0"/>
        <v/>
      </c>
      <c r="BW3" s="29" t="str">
        <f t="shared" si="0"/>
        <v/>
      </c>
      <c r="BX3" s="29" t="str">
        <f t="shared" si="0"/>
        <v/>
      </c>
      <c r="BY3" s="29" t="str">
        <f t="shared" si="0"/>
        <v/>
      </c>
      <c r="BZ3" s="29" t="str">
        <f t="shared" si="0"/>
        <v/>
      </c>
      <c r="CA3" s="29" t="str">
        <f t="shared" si="0"/>
        <v/>
      </c>
      <c r="CB3" s="29" t="str">
        <f t="shared" ref="CB3:EM3" si="1">IF(COUNTA(CB4:CB65536)=0,"","08")</f>
        <v/>
      </c>
      <c r="CC3" s="29" t="str">
        <f t="shared" si="1"/>
        <v/>
      </c>
      <c r="CD3" s="29" t="str">
        <f t="shared" si="1"/>
        <v/>
      </c>
      <c r="CE3" s="29" t="str">
        <f t="shared" si="1"/>
        <v/>
      </c>
      <c r="CF3" s="29" t="str">
        <f t="shared" si="1"/>
        <v/>
      </c>
      <c r="CG3" s="29" t="str">
        <f t="shared" si="1"/>
        <v/>
      </c>
      <c r="CH3" s="29" t="str">
        <f t="shared" si="1"/>
        <v/>
      </c>
      <c r="CI3" s="29" t="str">
        <f t="shared" si="1"/>
        <v/>
      </c>
      <c r="CJ3" s="29" t="str">
        <f t="shared" si="1"/>
        <v/>
      </c>
      <c r="CK3" s="29" t="str">
        <f t="shared" si="1"/>
        <v/>
      </c>
      <c r="CL3" s="29" t="str">
        <f t="shared" si="1"/>
        <v/>
      </c>
      <c r="CM3" s="29" t="str">
        <f t="shared" si="1"/>
        <v/>
      </c>
      <c r="CN3" s="29" t="str">
        <f t="shared" si="1"/>
        <v/>
      </c>
      <c r="CO3" s="29" t="str">
        <f t="shared" si="1"/>
        <v/>
      </c>
      <c r="CP3" s="29" t="str">
        <f t="shared" si="1"/>
        <v/>
      </c>
      <c r="CQ3" s="29" t="str">
        <f t="shared" si="1"/>
        <v>08</v>
      </c>
      <c r="CR3" s="29" t="str">
        <f t="shared" si="1"/>
        <v/>
      </c>
      <c r="CS3" s="29" t="str">
        <f t="shared" si="1"/>
        <v/>
      </c>
      <c r="CT3" s="29" t="str">
        <f t="shared" si="1"/>
        <v/>
      </c>
      <c r="CU3" s="29" t="str">
        <f t="shared" si="1"/>
        <v/>
      </c>
      <c r="CV3" s="29" t="str">
        <f t="shared" si="1"/>
        <v/>
      </c>
      <c r="CW3" s="29" t="str">
        <f t="shared" si="1"/>
        <v/>
      </c>
      <c r="CX3" s="29" t="str">
        <f t="shared" si="1"/>
        <v/>
      </c>
      <c r="CY3" s="29" t="str">
        <f t="shared" si="1"/>
        <v/>
      </c>
      <c r="CZ3" s="29" t="str">
        <f t="shared" si="1"/>
        <v/>
      </c>
      <c r="DA3" s="29" t="str">
        <f t="shared" si="1"/>
        <v/>
      </c>
      <c r="DB3" s="29" t="str">
        <f t="shared" si="1"/>
        <v/>
      </c>
      <c r="DC3" s="29" t="str">
        <f t="shared" si="1"/>
        <v/>
      </c>
      <c r="DD3" s="29" t="str">
        <f t="shared" si="1"/>
        <v/>
      </c>
      <c r="DE3" s="29" t="str">
        <f t="shared" si="1"/>
        <v/>
      </c>
      <c r="DF3" s="29" t="str">
        <f t="shared" si="1"/>
        <v/>
      </c>
      <c r="DG3" s="29" t="str">
        <f t="shared" si="1"/>
        <v/>
      </c>
      <c r="DH3" s="29" t="str">
        <f t="shared" si="1"/>
        <v/>
      </c>
      <c r="DI3" s="29" t="str">
        <f t="shared" si="1"/>
        <v/>
      </c>
      <c r="DJ3" s="29" t="str">
        <f t="shared" si="1"/>
        <v/>
      </c>
      <c r="DK3" s="29" t="str">
        <f t="shared" si="1"/>
        <v/>
      </c>
      <c r="DL3" s="29" t="str">
        <f t="shared" si="1"/>
        <v/>
      </c>
      <c r="DM3" s="29" t="str">
        <f t="shared" si="1"/>
        <v/>
      </c>
      <c r="DN3" s="29" t="str">
        <f t="shared" si="1"/>
        <v/>
      </c>
      <c r="DO3" s="29" t="str">
        <f t="shared" si="1"/>
        <v/>
      </c>
      <c r="DP3" s="29" t="str">
        <f t="shared" si="1"/>
        <v/>
      </c>
      <c r="DQ3" s="29" t="str">
        <f t="shared" si="1"/>
        <v/>
      </c>
      <c r="DR3" s="29" t="str">
        <f t="shared" si="1"/>
        <v/>
      </c>
      <c r="DS3" s="29" t="str">
        <f t="shared" si="1"/>
        <v/>
      </c>
      <c r="DT3" s="29" t="str">
        <f t="shared" si="1"/>
        <v/>
      </c>
      <c r="DU3" s="29" t="str">
        <f t="shared" si="1"/>
        <v/>
      </c>
      <c r="DV3" s="29" t="str">
        <f t="shared" si="1"/>
        <v/>
      </c>
      <c r="DW3" s="29" t="str">
        <f t="shared" si="1"/>
        <v/>
      </c>
      <c r="DX3" s="29" t="str">
        <f t="shared" si="1"/>
        <v/>
      </c>
      <c r="DY3" s="29" t="str">
        <f t="shared" si="1"/>
        <v/>
      </c>
      <c r="DZ3" s="29" t="str">
        <f t="shared" si="1"/>
        <v/>
      </c>
      <c r="EA3" s="29" t="str">
        <f t="shared" si="1"/>
        <v/>
      </c>
      <c r="EB3" s="29" t="str">
        <f t="shared" si="1"/>
        <v/>
      </c>
      <c r="EC3" s="29" t="str">
        <f t="shared" si="1"/>
        <v/>
      </c>
      <c r="ED3" s="29" t="str">
        <f t="shared" si="1"/>
        <v/>
      </c>
      <c r="EE3" s="29" t="str">
        <f t="shared" si="1"/>
        <v/>
      </c>
      <c r="EF3" s="29" t="str">
        <f t="shared" si="1"/>
        <v/>
      </c>
      <c r="EG3" s="29" t="str">
        <f t="shared" si="1"/>
        <v/>
      </c>
      <c r="EH3" s="29" t="str">
        <f t="shared" si="1"/>
        <v/>
      </c>
      <c r="EI3" s="29" t="str">
        <f t="shared" si="1"/>
        <v/>
      </c>
      <c r="EJ3" s="29" t="str">
        <f t="shared" si="1"/>
        <v/>
      </c>
      <c r="EK3" s="29" t="str">
        <f t="shared" si="1"/>
        <v/>
      </c>
      <c r="EL3" s="29" t="str">
        <f t="shared" si="1"/>
        <v/>
      </c>
      <c r="EM3" s="29" t="str">
        <f t="shared" si="1"/>
        <v/>
      </c>
      <c r="EN3" s="29" t="str">
        <f t="shared" ref="EN3:GY3" si="2">IF(COUNTA(EN4:EN65536)=0,"","08")</f>
        <v/>
      </c>
      <c r="EO3" s="29" t="str">
        <f t="shared" si="2"/>
        <v/>
      </c>
      <c r="EP3" s="29" t="str">
        <f t="shared" si="2"/>
        <v/>
      </c>
      <c r="EQ3" s="29" t="str">
        <f t="shared" si="2"/>
        <v/>
      </c>
      <c r="ER3" s="29" t="str">
        <f t="shared" si="2"/>
        <v/>
      </c>
      <c r="ES3" s="29" t="str">
        <f t="shared" si="2"/>
        <v/>
      </c>
      <c r="ET3" s="29" t="str">
        <f t="shared" si="2"/>
        <v/>
      </c>
      <c r="EU3" s="29" t="str">
        <f t="shared" si="2"/>
        <v/>
      </c>
      <c r="EV3" s="29" t="str">
        <f t="shared" si="2"/>
        <v/>
      </c>
      <c r="EW3" s="29" t="str">
        <f t="shared" si="2"/>
        <v/>
      </c>
      <c r="EX3" s="29" t="str">
        <f t="shared" si="2"/>
        <v/>
      </c>
      <c r="EY3" s="29" t="str">
        <f t="shared" si="2"/>
        <v/>
      </c>
      <c r="EZ3" s="29" t="str">
        <f t="shared" si="2"/>
        <v/>
      </c>
      <c r="FA3" s="29" t="str">
        <f t="shared" si="2"/>
        <v/>
      </c>
      <c r="FB3" s="29" t="str">
        <f t="shared" si="2"/>
        <v/>
      </c>
      <c r="FC3" s="29" t="str">
        <f t="shared" si="2"/>
        <v/>
      </c>
      <c r="FD3" s="29" t="str">
        <f t="shared" si="2"/>
        <v/>
      </c>
      <c r="FE3" s="29" t="str">
        <f t="shared" si="2"/>
        <v/>
      </c>
      <c r="FF3" s="29" t="str">
        <f t="shared" si="2"/>
        <v/>
      </c>
      <c r="FG3" s="29" t="str">
        <f t="shared" si="2"/>
        <v/>
      </c>
      <c r="FH3" s="29" t="str">
        <f t="shared" si="2"/>
        <v/>
      </c>
      <c r="FI3" s="29" t="str">
        <f t="shared" si="2"/>
        <v/>
      </c>
      <c r="FJ3" s="29" t="str">
        <f t="shared" si="2"/>
        <v/>
      </c>
      <c r="FK3" s="29" t="str">
        <f t="shared" si="2"/>
        <v/>
      </c>
      <c r="FL3" s="29" t="str">
        <f t="shared" si="2"/>
        <v/>
      </c>
      <c r="FM3" s="29" t="str">
        <f t="shared" si="2"/>
        <v/>
      </c>
      <c r="FN3" s="29" t="str">
        <f t="shared" si="2"/>
        <v/>
      </c>
      <c r="FO3" s="29" t="str">
        <f t="shared" si="2"/>
        <v/>
      </c>
      <c r="FP3" s="29" t="str">
        <f t="shared" si="2"/>
        <v/>
      </c>
      <c r="FQ3" s="29" t="str">
        <f t="shared" si="2"/>
        <v/>
      </c>
      <c r="FR3" s="29" t="str">
        <f t="shared" si="2"/>
        <v/>
      </c>
      <c r="FS3" s="29" t="str">
        <f t="shared" si="2"/>
        <v/>
      </c>
      <c r="FT3" s="29" t="str">
        <f t="shared" si="2"/>
        <v/>
      </c>
      <c r="FU3" s="29" t="str">
        <f t="shared" si="2"/>
        <v/>
      </c>
      <c r="FV3" s="29" t="str">
        <f t="shared" si="2"/>
        <v/>
      </c>
      <c r="FW3" s="29" t="str">
        <f t="shared" si="2"/>
        <v/>
      </c>
      <c r="FX3" s="29" t="str">
        <f t="shared" si="2"/>
        <v/>
      </c>
      <c r="FY3" s="29" t="str">
        <f t="shared" si="2"/>
        <v/>
      </c>
      <c r="FZ3" s="29" t="str">
        <f t="shared" si="2"/>
        <v/>
      </c>
      <c r="GA3" s="29" t="str">
        <f t="shared" si="2"/>
        <v/>
      </c>
      <c r="GB3" s="29" t="str">
        <f t="shared" si="2"/>
        <v/>
      </c>
      <c r="GC3" s="29" t="str">
        <f t="shared" si="2"/>
        <v/>
      </c>
      <c r="GD3" s="29" t="str">
        <f t="shared" si="2"/>
        <v/>
      </c>
      <c r="GE3" s="29" t="str">
        <f t="shared" si="2"/>
        <v/>
      </c>
      <c r="GF3" s="29" t="str">
        <f t="shared" si="2"/>
        <v/>
      </c>
      <c r="GG3" s="29" t="str">
        <f t="shared" si="2"/>
        <v/>
      </c>
      <c r="GH3" s="29" t="str">
        <f t="shared" si="2"/>
        <v/>
      </c>
      <c r="GI3" s="29" t="str">
        <f t="shared" si="2"/>
        <v/>
      </c>
      <c r="GJ3" s="29" t="str">
        <f t="shared" si="2"/>
        <v/>
      </c>
      <c r="GK3" s="29" t="str">
        <f t="shared" si="2"/>
        <v/>
      </c>
      <c r="GL3" s="29" t="str">
        <f t="shared" si="2"/>
        <v/>
      </c>
      <c r="GM3" s="29" t="str">
        <f t="shared" si="2"/>
        <v/>
      </c>
      <c r="GN3" s="29" t="str">
        <f t="shared" si="2"/>
        <v/>
      </c>
      <c r="GO3" s="29" t="str">
        <f t="shared" si="2"/>
        <v/>
      </c>
      <c r="GP3" s="29" t="str">
        <f t="shared" si="2"/>
        <v/>
      </c>
      <c r="GQ3" s="29" t="str">
        <f t="shared" si="2"/>
        <v/>
      </c>
      <c r="GR3" s="29" t="str">
        <f t="shared" si="2"/>
        <v/>
      </c>
      <c r="GS3" s="29" t="str">
        <f t="shared" si="2"/>
        <v/>
      </c>
      <c r="GT3" s="29" t="str">
        <f t="shared" si="2"/>
        <v/>
      </c>
      <c r="GU3" s="29" t="str">
        <f t="shared" si="2"/>
        <v/>
      </c>
      <c r="GV3" s="29" t="str">
        <f t="shared" si="2"/>
        <v/>
      </c>
      <c r="GW3" s="29" t="str">
        <f t="shared" si="2"/>
        <v/>
      </c>
      <c r="GX3" s="29" t="str">
        <f t="shared" si="2"/>
        <v/>
      </c>
      <c r="GY3" s="29" t="str">
        <f t="shared" si="2"/>
        <v/>
      </c>
      <c r="GZ3" s="29" t="str">
        <f t="shared" ref="GZ3:IO3" si="3">IF(COUNTA(GZ4:GZ65536)=0,"","08")</f>
        <v/>
      </c>
      <c r="HA3" s="29" t="str">
        <f t="shared" si="3"/>
        <v/>
      </c>
      <c r="HB3" s="29" t="str">
        <f t="shared" si="3"/>
        <v/>
      </c>
      <c r="HC3" s="29" t="str">
        <f t="shared" si="3"/>
        <v/>
      </c>
      <c r="HD3" s="29" t="str">
        <f t="shared" si="3"/>
        <v/>
      </c>
      <c r="HE3" s="29" t="str">
        <f t="shared" si="3"/>
        <v/>
      </c>
      <c r="HF3" s="29" t="str">
        <f t="shared" si="3"/>
        <v/>
      </c>
      <c r="HG3" s="29" t="str">
        <f t="shared" si="3"/>
        <v/>
      </c>
      <c r="HH3" s="29" t="str">
        <f t="shared" si="3"/>
        <v/>
      </c>
      <c r="HI3" s="29" t="str">
        <f t="shared" si="3"/>
        <v/>
      </c>
      <c r="HJ3" s="29" t="str">
        <f t="shared" si="3"/>
        <v/>
      </c>
      <c r="HK3" s="29" t="str">
        <f t="shared" si="3"/>
        <v/>
      </c>
      <c r="HL3" s="29" t="str">
        <f t="shared" si="3"/>
        <v/>
      </c>
      <c r="HM3" s="29" t="str">
        <f t="shared" si="3"/>
        <v/>
      </c>
      <c r="HN3" s="29" t="str">
        <f t="shared" si="3"/>
        <v/>
      </c>
      <c r="HO3" s="29" t="str">
        <f t="shared" si="3"/>
        <v/>
      </c>
      <c r="HP3" s="29" t="str">
        <f t="shared" si="3"/>
        <v/>
      </c>
      <c r="HQ3" s="29" t="str">
        <f t="shared" si="3"/>
        <v/>
      </c>
      <c r="HR3" s="29" t="str">
        <f t="shared" si="3"/>
        <v/>
      </c>
      <c r="HS3" s="29" t="str">
        <f t="shared" si="3"/>
        <v/>
      </c>
      <c r="HT3" s="29" t="str">
        <f t="shared" si="3"/>
        <v/>
      </c>
      <c r="HU3" s="29" t="str">
        <f t="shared" si="3"/>
        <v/>
      </c>
      <c r="HV3" s="29" t="str">
        <f t="shared" si="3"/>
        <v/>
      </c>
      <c r="HW3" s="29" t="str">
        <f t="shared" si="3"/>
        <v/>
      </c>
      <c r="HX3" s="29" t="str">
        <f t="shared" si="3"/>
        <v/>
      </c>
      <c r="HY3" s="29" t="str">
        <f t="shared" si="3"/>
        <v/>
      </c>
      <c r="HZ3" s="29" t="str">
        <f t="shared" si="3"/>
        <v/>
      </c>
      <c r="IA3" s="29" t="str">
        <f t="shared" si="3"/>
        <v/>
      </c>
      <c r="IB3" s="29" t="str">
        <f t="shared" si="3"/>
        <v/>
      </c>
      <c r="IC3" s="29" t="str">
        <f t="shared" si="3"/>
        <v/>
      </c>
      <c r="ID3" s="29" t="str">
        <f t="shared" si="3"/>
        <v/>
      </c>
      <c r="IE3" s="29" t="str">
        <f t="shared" si="3"/>
        <v/>
      </c>
      <c r="IF3" s="29" t="str">
        <f t="shared" si="3"/>
        <v/>
      </c>
      <c r="IG3" s="29" t="str">
        <f t="shared" si="3"/>
        <v/>
      </c>
      <c r="IH3" s="29" t="str">
        <f t="shared" si="3"/>
        <v/>
      </c>
      <c r="II3" s="29" t="str">
        <f t="shared" si="3"/>
        <v/>
      </c>
      <c r="IJ3" s="29" t="str">
        <f t="shared" si="3"/>
        <v/>
      </c>
      <c r="IK3" s="29" t="str">
        <f t="shared" si="3"/>
        <v/>
      </c>
      <c r="IL3" s="29" t="str">
        <f t="shared" si="3"/>
        <v/>
      </c>
      <c r="IM3" s="29" t="str">
        <f t="shared" si="3"/>
        <v/>
      </c>
      <c r="IN3" s="29" t="str">
        <f t="shared" si="3"/>
        <v/>
      </c>
      <c r="IO3" s="29" t="str">
        <f t="shared" si="3"/>
        <v/>
      </c>
    </row>
    <row r="4" spans="1:249" s="11" customFormat="1" x14ac:dyDescent="0.2">
      <c r="A4" s="10" t="s">
        <v>7554</v>
      </c>
      <c r="B4" s="11" t="s">
        <v>6176</v>
      </c>
      <c r="D4" s="11" t="s">
        <v>6360</v>
      </c>
      <c r="E4" s="11" t="s">
        <v>11</v>
      </c>
      <c r="G4" s="11" t="s">
        <v>6179</v>
      </c>
      <c r="J4" s="11" t="s">
        <v>6773</v>
      </c>
      <c r="K4" s="11">
        <v>1989</v>
      </c>
      <c r="L4" s="11" t="s">
        <v>6181</v>
      </c>
      <c r="M4" s="11" t="s">
        <v>6182</v>
      </c>
      <c r="N4" s="11">
        <v>1.1000000000000001</v>
      </c>
      <c r="O4" s="11">
        <v>70</v>
      </c>
      <c r="AB4" s="13">
        <v>108</v>
      </c>
      <c r="AC4" s="11">
        <v>0.1</v>
      </c>
      <c r="AE4" s="11">
        <v>99</v>
      </c>
      <c r="AF4" s="12">
        <v>14</v>
      </c>
      <c r="AG4" s="11">
        <v>60</v>
      </c>
      <c r="AH4" s="11">
        <v>450</v>
      </c>
      <c r="AI4" s="11">
        <v>1.5</v>
      </c>
      <c r="CQ4" s="11">
        <v>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M986"/>
  <sheetViews>
    <sheetView tabSelected="1" topLeftCell="CD1" zoomScale="130" zoomScaleNormal="130" zoomScalePageLayoutView="130" workbookViewId="0">
      <pane ySplit="1" topLeftCell="A2" activePane="bottomLeft" state="frozen"/>
      <selection pane="bottomLeft" activeCell="CK6" sqref="CK6"/>
    </sheetView>
  </sheetViews>
  <sheetFormatPr baseColWidth="10" defaultColWidth="11.5" defaultRowHeight="14" x14ac:dyDescent="0.2"/>
  <cols>
    <col min="1" max="1" width="9.1640625" style="1" customWidth="1"/>
    <col min="2" max="2" width="7" style="1" customWidth="1"/>
    <col min="3" max="3" width="9.1640625" style="1" customWidth="1"/>
    <col min="4" max="4" width="4" style="1" customWidth="1"/>
    <col min="5" max="6" width="5.6640625" style="1" customWidth="1"/>
    <col min="7" max="7" width="9.1640625" style="1" customWidth="1"/>
    <col min="8" max="8" width="12.33203125" style="1" customWidth="1"/>
    <col min="9" max="9" width="2.6640625" style="1" customWidth="1"/>
    <col min="10" max="10" width="7.33203125" style="1" customWidth="1"/>
    <col min="11" max="11" width="6.33203125" style="1" customWidth="1"/>
    <col min="12" max="12" width="7.6640625" style="1" customWidth="1"/>
    <col min="13" max="13" width="7.1640625" style="1" customWidth="1"/>
    <col min="14" max="14" width="6.33203125" style="1" customWidth="1"/>
    <col min="15" max="15" width="3.6640625" style="1" customWidth="1"/>
    <col min="16" max="16" width="12.1640625" style="1" customWidth="1"/>
    <col min="17" max="17" width="8.5" style="1" customWidth="1"/>
    <col min="18" max="18" width="8.83203125" style="1" customWidth="1"/>
    <col min="19" max="19" width="9.33203125" style="1" customWidth="1"/>
    <col min="20" max="20" width="3.83203125" style="17" customWidth="1"/>
    <col min="21" max="16384" width="11.5" style="1"/>
  </cols>
  <sheetData>
    <row r="1" spans="1:247" s="4" customFormat="1" ht="58.5" customHeight="1" x14ac:dyDescent="0.15">
      <c r="A1" s="4" t="s">
        <v>64</v>
      </c>
      <c r="B1" s="4" t="s">
        <v>1059</v>
      </c>
      <c r="C1" s="4" t="s">
        <v>65</v>
      </c>
      <c r="D1" s="4" t="s">
        <v>1</v>
      </c>
      <c r="E1" s="4" t="s">
        <v>1060</v>
      </c>
      <c r="F1" s="4" t="s">
        <v>1061</v>
      </c>
      <c r="G1" s="4" t="s">
        <v>1062</v>
      </c>
      <c r="H1" s="4" t="s">
        <v>1063</v>
      </c>
      <c r="I1" s="4" t="s">
        <v>6</v>
      </c>
      <c r="J1" s="4" t="s">
        <v>239</v>
      </c>
      <c r="K1" s="4" t="s">
        <v>1064</v>
      </c>
      <c r="L1" s="4" t="s">
        <v>1065</v>
      </c>
      <c r="M1" s="4" t="s">
        <v>68</v>
      </c>
      <c r="N1" s="4" t="s">
        <v>69</v>
      </c>
      <c r="O1" s="4" t="s">
        <v>13</v>
      </c>
      <c r="P1" s="4" t="s">
        <v>70</v>
      </c>
      <c r="Q1" s="4" t="s">
        <v>71</v>
      </c>
      <c r="R1" s="4" t="s">
        <v>240</v>
      </c>
      <c r="S1" s="4" t="s">
        <v>1066</v>
      </c>
      <c r="T1" s="4" t="s">
        <v>1067</v>
      </c>
      <c r="U1" s="4" t="s">
        <v>1068</v>
      </c>
      <c r="V1" s="4" t="s">
        <v>243</v>
      </c>
      <c r="W1" s="4" t="s">
        <v>244</v>
      </c>
      <c r="X1" s="4" t="s">
        <v>1069</v>
      </c>
      <c r="Y1" s="4" t="s">
        <v>245</v>
      </c>
      <c r="Z1" s="4" t="s">
        <v>73</v>
      </c>
      <c r="AA1" s="4" t="s">
        <v>74</v>
      </c>
      <c r="AB1" s="4" t="s">
        <v>1070</v>
      </c>
      <c r="AC1" s="4" t="s">
        <v>6193</v>
      </c>
      <c r="AD1" s="4" t="s">
        <v>6985</v>
      </c>
      <c r="AE1" s="4" t="s">
        <v>246</v>
      </c>
      <c r="AF1" s="24" t="s">
        <v>7023</v>
      </c>
      <c r="AG1" s="4" t="s">
        <v>1071</v>
      </c>
      <c r="AH1" s="4" t="s">
        <v>1072</v>
      </c>
      <c r="AI1" s="4" t="s">
        <v>76</v>
      </c>
      <c r="AJ1" s="4" t="s">
        <v>77</v>
      </c>
      <c r="AK1" s="4" t="s">
        <v>1073</v>
      </c>
      <c r="AL1" s="4" t="s">
        <v>1074</v>
      </c>
      <c r="AM1" s="4" t="s">
        <v>1075</v>
      </c>
      <c r="AN1" s="4" t="s">
        <v>78</v>
      </c>
      <c r="AO1" s="4" t="s">
        <v>1076</v>
      </c>
      <c r="AP1" s="24" t="s">
        <v>79</v>
      </c>
      <c r="AQ1" s="4" t="s">
        <v>6195</v>
      </c>
      <c r="AR1" s="4" t="s">
        <v>247</v>
      </c>
      <c r="AS1" s="4" t="s">
        <v>1077</v>
      </c>
      <c r="AT1" s="24" t="s">
        <v>6202</v>
      </c>
      <c r="AU1" s="4" t="s">
        <v>82</v>
      </c>
      <c r="AV1" s="4" t="s">
        <v>84</v>
      </c>
      <c r="AW1" s="4" t="s">
        <v>1078</v>
      </c>
      <c r="AX1" s="4" t="s">
        <v>1080</v>
      </c>
      <c r="AY1" s="4" t="s">
        <v>85</v>
      </c>
      <c r="AZ1" s="4" t="s">
        <v>1081</v>
      </c>
      <c r="BA1" s="4" t="s">
        <v>250</v>
      </c>
      <c r="BB1" s="4" t="s">
        <v>1082</v>
      </c>
      <c r="BC1" s="24" t="s">
        <v>7115</v>
      </c>
      <c r="BD1" s="4" t="s">
        <v>86</v>
      </c>
      <c r="BE1" s="24" t="s">
        <v>7117</v>
      </c>
      <c r="BF1" s="4" t="s">
        <v>87</v>
      </c>
      <c r="BG1" s="4" t="s">
        <v>1083</v>
      </c>
      <c r="BH1" s="4" t="s">
        <v>88</v>
      </c>
      <c r="BI1" s="24" t="s">
        <v>7119</v>
      </c>
      <c r="BJ1" s="4" t="s">
        <v>89</v>
      </c>
      <c r="BK1" s="4" t="s">
        <v>251</v>
      </c>
      <c r="BL1" s="4" t="s">
        <v>1084</v>
      </c>
      <c r="BM1" s="4" t="s">
        <v>90</v>
      </c>
      <c r="BN1" s="4" t="s">
        <v>1085</v>
      </c>
      <c r="BO1" s="4" t="s">
        <v>1086</v>
      </c>
      <c r="BP1" s="4" t="s">
        <v>91</v>
      </c>
      <c r="BQ1" s="4" t="s">
        <v>1087</v>
      </c>
      <c r="BR1" s="4" t="s">
        <v>1088</v>
      </c>
      <c r="BS1" s="4" t="s">
        <v>1089</v>
      </c>
      <c r="BT1" s="24" t="s">
        <v>1095</v>
      </c>
      <c r="BU1" s="4" t="s">
        <v>1090</v>
      </c>
      <c r="BV1" s="4" t="s">
        <v>1091</v>
      </c>
      <c r="BW1" s="4" t="s">
        <v>92</v>
      </c>
      <c r="BX1" s="4" t="s">
        <v>249</v>
      </c>
      <c r="BY1" s="4" t="s">
        <v>1092</v>
      </c>
      <c r="BZ1" s="4" t="s">
        <v>1079</v>
      </c>
      <c r="CA1" s="4" t="s">
        <v>1093</v>
      </c>
      <c r="CB1" s="4" t="s">
        <v>1094</v>
      </c>
      <c r="CC1" s="4" t="s">
        <v>252</v>
      </c>
      <c r="CD1" s="4" t="s">
        <v>1095</v>
      </c>
      <c r="CE1" s="4" t="s">
        <v>1096</v>
      </c>
      <c r="CF1" s="4" t="s">
        <v>1098</v>
      </c>
      <c r="CG1" s="4" t="s">
        <v>1099</v>
      </c>
      <c r="CH1" s="4" t="s">
        <v>1100</v>
      </c>
      <c r="CI1" s="24" t="s">
        <v>6578</v>
      </c>
      <c r="CJ1" s="24" t="s">
        <v>253</v>
      </c>
      <c r="CK1" s="4" t="s">
        <v>1097</v>
      </c>
      <c r="CL1" s="4" t="s">
        <v>1101</v>
      </c>
      <c r="CM1" s="4" t="s">
        <v>256</v>
      </c>
      <c r="CN1" s="24" t="s">
        <v>7122</v>
      </c>
      <c r="CO1" s="24" t="s">
        <v>6215</v>
      </c>
      <c r="CP1" s="24" t="s">
        <v>6216</v>
      </c>
      <c r="CQ1" s="55" t="s">
        <v>6583</v>
      </c>
      <c r="CR1" s="4" t="s">
        <v>1102</v>
      </c>
      <c r="CS1" s="24" t="s">
        <v>6586</v>
      </c>
      <c r="CT1" s="4" t="s">
        <v>1103</v>
      </c>
      <c r="CU1" s="4" t="s">
        <v>1104</v>
      </c>
      <c r="CV1" s="4" t="s">
        <v>1105</v>
      </c>
      <c r="CW1" s="24" t="s">
        <v>7567</v>
      </c>
      <c r="CX1" s="24" t="s">
        <v>7563</v>
      </c>
      <c r="CY1" s="24" t="s">
        <v>6588</v>
      </c>
      <c r="CZ1" s="4" t="s">
        <v>93</v>
      </c>
      <c r="DA1" s="4" t="s">
        <v>7124</v>
      </c>
      <c r="DB1" s="4" t="s">
        <v>94</v>
      </c>
      <c r="DC1" s="4" t="s">
        <v>1106</v>
      </c>
      <c r="DD1" s="4" t="s">
        <v>95</v>
      </c>
      <c r="DE1" s="4" t="s">
        <v>1107</v>
      </c>
      <c r="DF1" s="4" t="s">
        <v>1108</v>
      </c>
      <c r="DG1" s="24" t="s">
        <v>6592</v>
      </c>
      <c r="DH1" s="4" t="s">
        <v>1109</v>
      </c>
      <c r="DI1" s="4" t="s">
        <v>1110</v>
      </c>
      <c r="DJ1" s="4" t="s">
        <v>1111</v>
      </c>
      <c r="DK1" s="4" t="s">
        <v>1112</v>
      </c>
      <c r="DL1" s="24" t="s">
        <v>261</v>
      </c>
      <c r="DM1" s="4" t="s">
        <v>1113</v>
      </c>
      <c r="DN1" s="4" t="s">
        <v>262</v>
      </c>
      <c r="DO1" s="24" t="s">
        <v>263</v>
      </c>
      <c r="DP1" s="4" t="s">
        <v>1114</v>
      </c>
      <c r="DQ1" s="4" t="s">
        <v>1124</v>
      </c>
      <c r="DR1" s="4" t="s">
        <v>1115</v>
      </c>
      <c r="DS1" s="4" t="s">
        <v>1116</v>
      </c>
      <c r="DT1" s="4" t="s">
        <v>1117</v>
      </c>
      <c r="DU1" s="4" t="s">
        <v>133</v>
      </c>
      <c r="DV1" s="4" t="s">
        <v>134</v>
      </c>
      <c r="DW1" s="4" t="s">
        <v>135</v>
      </c>
      <c r="DX1" s="4" t="s">
        <v>267</v>
      </c>
      <c r="DY1" s="4" t="s">
        <v>136</v>
      </c>
      <c r="DZ1" s="4" t="s">
        <v>1118</v>
      </c>
      <c r="EA1" s="4" t="s">
        <v>137</v>
      </c>
      <c r="EB1" s="4" t="s">
        <v>138</v>
      </c>
      <c r="EC1" s="4" t="s">
        <v>139</v>
      </c>
      <c r="ED1" s="4" t="s">
        <v>1119</v>
      </c>
      <c r="EE1" s="4" t="s">
        <v>1120</v>
      </c>
      <c r="EF1" s="4" t="s">
        <v>140</v>
      </c>
      <c r="EG1" s="4" t="s">
        <v>141</v>
      </c>
      <c r="EH1" s="4" t="s">
        <v>142</v>
      </c>
      <c r="EI1" s="4" t="s">
        <v>143</v>
      </c>
      <c r="EJ1" s="24" t="s">
        <v>6868</v>
      </c>
      <c r="EK1" s="4" t="s">
        <v>144</v>
      </c>
      <c r="EL1" s="4" t="s">
        <v>145</v>
      </c>
      <c r="EM1" s="4" t="s">
        <v>146</v>
      </c>
      <c r="EN1" s="4" t="s">
        <v>1121</v>
      </c>
      <c r="EO1" s="4" t="s">
        <v>147</v>
      </c>
      <c r="EP1" s="4" t="s">
        <v>148</v>
      </c>
      <c r="EQ1" s="4" t="s">
        <v>149</v>
      </c>
      <c r="ER1" s="4" t="s">
        <v>150</v>
      </c>
      <c r="ES1" s="24" t="s">
        <v>7126</v>
      </c>
      <c r="ET1" s="4" t="s">
        <v>1122</v>
      </c>
      <c r="EU1" s="4" t="s">
        <v>1123</v>
      </c>
      <c r="EV1" s="24" t="s">
        <v>7128</v>
      </c>
      <c r="EW1" s="4" t="s">
        <v>1125</v>
      </c>
      <c r="EX1" s="24" t="s">
        <v>1125</v>
      </c>
      <c r="EY1" s="4" t="s">
        <v>1126</v>
      </c>
      <c r="EZ1" s="24" t="s">
        <v>7130</v>
      </c>
      <c r="FA1" s="4" t="s">
        <v>103</v>
      </c>
      <c r="FB1" s="4" t="s">
        <v>1127</v>
      </c>
      <c r="FC1" s="24" t="s">
        <v>104</v>
      </c>
      <c r="FD1" s="4" t="s">
        <v>105</v>
      </c>
      <c r="FE1" s="4" t="s">
        <v>106</v>
      </c>
      <c r="FF1" s="4" t="s">
        <v>1128</v>
      </c>
      <c r="FG1" s="4" t="s">
        <v>1129</v>
      </c>
      <c r="FH1" s="24" t="s">
        <v>102</v>
      </c>
      <c r="FI1" s="4" t="s">
        <v>1130</v>
      </c>
      <c r="FJ1" s="4" t="s">
        <v>1131</v>
      </c>
      <c r="FK1" s="4" t="s">
        <v>1132</v>
      </c>
      <c r="FL1" s="4" t="s">
        <v>1133</v>
      </c>
    </row>
    <row r="2" spans="1:247" s="5" customFormat="1" ht="58.5" customHeight="1" x14ac:dyDescent="0.15">
      <c r="C2" s="5" t="s">
        <v>152</v>
      </c>
      <c r="D2" s="5" t="s">
        <v>1134</v>
      </c>
      <c r="I2" s="5" t="s">
        <v>153</v>
      </c>
      <c r="M2" s="5" t="s">
        <v>154</v>
      </c>
      <c r="N2" s="5" t="s">
        <v>155</v>
      </c>
      <c r="O2" s="5" t="s">
        <v>14</v>
      </c>
      <c r="T2" s="36"/>
      <c r="U2" s="5" t="s">
        <v>1135</v>
      </c>
      <c r="V2" s="5" t="s">
        <v>1136</v>
      </c>
      <c r="W2" s="5" t="s">
        <v>1136</v>
      </c>
      <c r="X2" s="5" t="s">
        <v>1137</v>
      </c>
      <c r="Y2" s="5" t="s">
        <v>275</v>
      </c>
      <c r="Z2" s="5" t="s">
        <v>156</v>
      </c>
      <c r="AA2" s="5" t="s">
        <v>157</v>
      </c>
      <c r="AB2" s="5" t="s">
        <v>1138</v>
      </c>
      <c r="AC2" s="5" t="s">
        <v>158</v>
      </c>
      <c r="AD2" s="5" t="s">
        <v>1139</v>
      </c>
      <c r="AE2" s="5" t="s">
        <v>159</v>
      </c>
      <c r="AF2" s="25" t="s">
        <v>7025</v>
      </c>
      <c r="AG2" s="5" t="s">
        <v>1140</v>
      </c>
      <c r="AH2" s="5" t="s">
        <v>1141</v>
      </c>
      <c r="AI2" s="5" t="s">
        <v>160</v>
      </c>
      <c r="AJ2" s="5" t="s">
        <v>161</v>
      </c>
      <c r="AK2" s="5" t="s">
        <v>1142</v>
      </c>
      <c r="AL2" s="5" t="s">
        <v>1143</v>
      </c>
      <c r="AM2" s="5" t="s">
        <v>1144</v>
      </c>
      <c r="AN2" s="5" t="s">
        <v>1145</v>
      </c>
      <c r="AO2" s="5" t="s">
        <v>1146</v>
      </c>
      <c r="AP2" s="25" t="s">
        <v>6696</v>
      </c>
      <c r="AQ2" s="5" t="s">
        <v>164</v>
      </c>
      <c r="AR2" s="5" t="s">
        <v>1147</v>
      </c>
      <c r="AS2" s="5" t="s">
        <v>1148</v>
      </c>
      <c r="AT2" s="25" t="s">
        <v>6770</v>
      </c>
      <c r="AU2" s="5" t="s">
        <v>166</v>
      </c>
      <c r="AV2" s="5" t="s">
        <v>168</v>
      </c>
      <c r="AW2" s="5" t="s">
        <v>1149</v>
      </c>
      <c r="AX2" s="5" t="s">
        <v>1151</v>
      </c>
      <c r="AY2" s="5" t="s">
        <v>169</v>
      </c>
      <c r="AZ2" s="5" t="s">
        <v>1152</v>
      </c>
      <c r="BA2" s="5" t="s">
        <v>284</v>
      </c>
      <c r="BB2" s="5" t="s">
        <v>1153</v>
      </c>
      <c r="BC2" s="25" t="s">
        <v>7116</v>
      </c>
      <c r="BD2" s="5" t="s">
        <v>170</v>
      </c>
      <c r="BE2" s="25" t="s">
        <v>7118</v>
      </c>
      <c r="BF2" s="5" t="s">
        <v>171</v>
      </c>
      <c r="BG2" s="5" t="s">
        <v>1154</v>
      </c>
      <c r="BH2" s="5" t="s">
        <v>172</v>
      </c>
      <c r="BI2" s="25" t="s">
        <v>7120</v>
      </c>
      <c r="BJ2" s="5" t="s">
        <v>173</v>
      </c>
      <c r="BK2" s="5" t="s">
        <v>286</v>
      </c>
      <c r="BL2" s="5" t="s">
        <v>1155</v>
      </c>
      <c r="BM2" s="5" t="s">
        <v>174</v>
      </c>
      <c r="BN2" s="5" t="s">
        <v>1156</v>
      </c>
      <c r="BO2" s="5" t="s">
        <v>1157</v>
      </c>
      <c r="BP2" s="5" t="s">
        <v>175</v>
      </c>
      <c r="BQ2" s="5" t="s">
        <v>1158</v>
      </c>
      <c r="BR2" s="5" t="s">
        <v>1159</v>
      </c>
      <c r="BS2" s="5" t="s">
        <v>1160</v>
      </c>
      <c r="BT2" s="25" t="s">
        <v>7121</v>
      </c>
      <c r="BU2" s="5" t="s">
        <v>1161</v>
      </c>
      <c r="BV2" s="5" t="s">
        <v>1162</v>
      </c>
      <c r="BW2" s="5" t="s">
        <v>176</v>
      </c>
      <c r="BX2" s="5" t="s">
        <v>283</v>
      </c>
      <c r="BY2" s="5" t="s">
        <v>1163</v>
      </c>
      <c r="BZ2" s="5" t="s">
        <v>1150</v>
      </c>
      <c r="CA2" s="5" t="s">
        <v>1164</v>
      </c>
      <c r="CB2" s="5" t="s">
        <v>1165</v>
      </c>
      <c r="CC2" s="5" t="s">
        <v>287</v>
      </c>
      <c r="CD2" s="5" t="s">
        <v>1166</v>
      </c>
      <c r="CE2" s="5" t="s">
        <v>1167</v>
      </c>
      <c r="CF2" s="5" t="s">
        <v>1169</v>
      </c>
      <c r="CG2" s="5" t="s">
        <v>1170</v>
      </c>
      <c r="CH2" s="5" t="s">
        <v>1171</v>
      </c>
      <c r="CI2" s="25" t="s">
        <v>6579</v>
      </c>
      <c r="CJ2" s="51" t="s">
        <v>6581</v>
      </c>
      <c r="CK2" s="5" t="s">
        <v>1168</v>
      </c>
      <c r="CL2" s="5" t="s">
        <v>1172</v>
      </c>
      <c r="CM2" s="5" t="s">
        <v>1173</v>
      </c>
      <c r="CN2" s="25" t="s">
        <v>7123</v>
      </c>
      <c r="CO2" s="25" t="s">
        <v>6824</v>
      </c>
      <c r="CP2" s="25" t="s">
        <v>6680</v>
      </c>
      <c r="CQ2" s="56" t="s">
        <v>6584</v>
      </c>
      <c r="CR2" s="5" t="s">
        <v>1174</v>
      </c>
      <c r="CS2" s="5" t="s">
        <v>6826</v>
      </c>
      <c r="CT2" s="5" t="s">
        <v>1175</v>
      </c>
      <c r="CU2" s="5" t="s">
        <v>1176</v>
      </c>
      <c r="CV2" s="5" t="s">
        <v>1177</v>
      </c>
      <c r="CW2" s="25"/>
      <c r="CX2" s="25"/>
      <c r="CY2" s="25" t="s">
        <v>6589</v>
      </c>
      <c r="CZ2" s="5" t="s">
        <v>177</v>
      </c>
      <c r="DA2" s="5" t="s">
        <v>7125</v>
      </c>
      <c r="DB2" s="5" t="s">
        <v>178</v>
      </c>
      <c r="DC2" s="5" t="s">
        <v>1178</v>
      </c>
      <c r="DD2" s="5" t="s">
        <v>179</v>
      </c>
      <c r="DE2" s="5" t="s">
        <v>1179</v>
      </c>
      <c r="DF2" s="5" t="s">
        <v>1180</v>
      </c>
      <c r="DG2" s="25" t="s">
        <v>6593</v>
      </c>
      <c r="DH2" s="5" t="s">
        <v>1181</v>
      </c>
      <c r="DI2" s="5" t="s">
        <v>1182</v>
      </c>
      <c r="DJ2" s="5" t="s">
        <v>1183</v>
      </c>
      <c r="DK2" s="5" t="s">
        <v>1184</v>
      </c>
      <c r="DL2" s="25" t="s">
        <v>6875</v>
      </c>
      <c r="DM2" s="5" t="s">
        <v>1185</v>
      </c>
      <c r="DN2" s="5" t="s">
        <v>297</v>
      </c>
      <c r="DO2" s="25" t="s">
        <v>298</v>
      </c>
      <c r="DP2" s="5" t="s">
        <v>1186</v>
      </c>
      <c r="DQ2" s="5" t="s">
        <v>1196</v>
      </c>
      <c r="DR2" s="5" t="s">
        <v>1187</v>
      </c>
      <c r="DS2" s="5" t="s">
        <v>1188</v>
      </c>
      <c r="DT2" s="5" t="s">
        <v>1189</v>
      </c>
      <c r="DU2" s="5" t="s">
        <v>217</v>
      </c>
      <c r="DV2" s="5" t="s">
        <v>218</v>
      </c>
      <c r="DW2" s="5" t="s">
        <v>219</v>
      </c>
      <c r="DX2" s="5" t="s">
        <v>301</v>
      </c>
      <c r="DY2" s="5" t="s">
        <v>220</v>
      </c>
      <c r="DZ2" s="5" t="s">
        <v>1190</v>
      </c>
      <c r="EA2" s="5" t="s">
        <v>221</v>
      </c>
      <c r="EB2" s="5" t="s">
        <v>222</v>
      </c>
      <c r="EC2" s="5" t="s">
        <v>223</v>
      </c>
      <c r="ED2" s="5" t="s">
        <v>1191</v>
      </c>
      <c r="EE2" s="5" t="s">
        <v>1192</v>
      </c>
      <c r="EF2" s="5" t="s">
        <v>224</v>
      </c>
      <c r="EG2" s="5" t="s">
        <v>225</v>
      </c>
      <c r="EH2" s="5" t="s">
        <v>226</v>
      </c>
      <c r="EI2" s="5" t="s">
        <v>227</v>
      </c>
      <c r="EJ2" s="25" t="s">
        <v>6977</v>
      </c>
      <c r="EK2" s="5" t="s">
        <v>228</v>
      </c>
      <c r="EL2" s="5" t="s">
        <v>229</v>
      </c>
      <c r="EM2" s="5" t="s">
        <v>230</v>
      </c>
      <c r="EN2" s="5" t="s">
        <v>1193</v>
      </c>
      <c r="EO2" s="5" t="s">
        <v>231</v>
      </c>
      <c r="EP2" s="5" t="s">
        <v>232</v>
      </c>
      <c r="EQ2" s="5" t="s">
        <v>233</v>
      </c>
      <c r="ER2" s="5" t="s">
        <v>234</v>
      </c>
      <c r="ES2" s="25" t="s">
        <v>7127</v>
      </c>
      <c r="ET2" s="5" t="s">
        <v>1194</v>
      </c>
      <c r="EU2" s="5" t="s">
        <v>1195</v>
      </c>
      <c r="EV2" s="25" t="s">
        <v>7129</v>
      </c>
      <c r="EW2" s="5" t="s">
        <v>1197</v>
      </c>
      <c r="EX2" s="25" t="s">
        <v>6879</v>
      </c>
      <c r="EY2" s="5" t="s">
        <v>1198</v>
      </c>
      <c r="EZ2" s="25" t="s">
        <v>7131</v>
      </c>
      <c r="FA2" s="5" t="s">
        <v>1199</v>
      </c>
      <c r="FB2" s="5" t="s">
        <v>1200</v>
      </c>
      <c r="FC2" s="25" t="s">
        <v>6730</v>
      </c>
      <c r="FD2" s="5" t="s">
        <v>189</v>
      </c>
      <c r="FE2" s="5" t="s">
        <v>190</v>
      </c>
      <c r="FF2" s="5" t="s">
        <v>1201</v>
      </c>
      <c r="FG2" s="5" t="s">
        <v>1202</v>
      </c>
      <c r="FH2" s="25" t="s">
        <v>6728</v>
      </c>
      <c r="FI2" s="5" t="s">
        <v>1203</v>
      </c>
      <c r="FJ2" s="5" t="s">
        <v>1204</v>
      </c>
      <c r="FK2" s="5" t="s">
        <v>1205</v>
      </c>
      <c r="FL2" s="5" t="s">
        <v>1206</v>
      </c>
    </row>
    <row r="3" spans="1:247" s="29" customFormat="1" ht="58.5" hidden="1" customHeight="1" x14ac:dyDescent="0.15">
      <c r="T3" s="37"/>
      <c r="U3" s="29" t="str">
        <f>IF(COUNTA(U4:U65536)=0,"","09")</f>
        <v>09</v>
      </c>
      <c r="V3" s="29" t="str">
        <f t="shared" ref="V3:CG3" si="0">IF(COUNTA(V4:V65536)=0,"","09")</f>
        <v>09</v>
      </c>
      <c r="W3" s="29" t="str">
        <f t="shared" si="0"/>
        <v>09</v>
      </c>
      <c r="X3" s="29" t="str">
        <f t="shared" si="0"/>
        <v>09</v>
      </c>
      <c r="Y3" s="29" t="str">
        <f t="shared" si="0"/>
        <v>09</v>
      </c>
      <c r="Z3" s="29" t="str">
        <f t="shared" si="0"/>
        <v>09</v>
      </c>
      <c r="AA3" s="29" t="str">
        <f t="shared" si="0"/>
        <v>09</v>
      </c>
      <c r="AB3" s="29" t="str">
        <f t="shared" si="0"/>
        <v>09</v>
      </c>
      <c r="AC3" s="29" t="str">
        <f t="shared" si="0"/>
        <v>09</v>
      </c>
      <c r="AD3" s="29" t="str">
        <f t="shared" si="0"/>
        <v>09</v>
      </c>
      <c r="AE3" s="29" t="str">
        <f t="shared" si="0"/>
        <v>09</v>
      </c>
      <c r="AF3" s="29" t="str">
        <f t="shared" si="0"/>
        <v/>
      </c>
      <c r="AG3" s="29" t="str">
        <f t="shared" si="0"/>
        <v>09</v>
      </c>
      <c r="AH3" s="29" t="str">
        <f t="shared" si="0"/>
        <v>09</v>
      </c>
      <c r="AI3" s="29" t="str">
        <f t="shared" si="0"/>
        <v>09</v>
      </c>
      <c r="AJ3" s="29" t="str">
        <f t="shared" si="0"/>
        <v>09</v>
      </c>
      <c r="AK3" s="29" t="str">
        <f t="shared" si="0"/>
        <v>09</v>
      </c>
      <c r="AL3" s="29" t="str">
        <f t="shared" si="0"/>
        <v>09</v>
      </c>
      <c r="AM3" s="29" t="str">
        <f t="shared" si="0"/>
        <v>09</v>
      </c>
      <c r="AN3" s="29" t="str">
        <f t="shared" si="0"/>
        <v>09</v>
      </c>
      <c r="AO3" s="29" t="str">
        <f t="shared" si="0"/>
        <v>09</v>
      </c>
      <c r="AP3" s="29" t="str">
        <f t="shared" si="0"/>
        <v/>
      </c>
      <c r="AQ3" s="29" t="str">
        <f t="shared" si="0"/>
        <v>09</v>
      </c>
      <c r="AR3" s="29" t="str">
        <f t="shared" si="0"/>
        <v>09</v>
      </c>
      <c r="AS3" s="29" t="str">
        <f t="shared" si="0"/>
        <v>09</v>
      </c>
      <c r="AT3" s="29" t="str">
        <f t="shared" si="0"/>
        <v/>
      </c>
      <c r="AU3" s="29" t="str">
        <f t="shared" si="0"/>
        <v>09</v>
      </c>
      <c r="AV3" s="29" t="str">
        <f t="shared" si="0"/>
        <v>09</v>
      </c>
      <c r="AW3" s="29" t="str">
        <f t="shared" si="0"/>
        <v>09</v>
      </c>
      <c r="AX3" s="29" t="str">
        <f t="shared" si="0"/>
        <v>09</v>
      </c>
      <c r="AY3" s="29" t="str">
        <f t="shared" si="0"/>
        <v>09</v>
      </c>
      <c r="AZ3" s="29" t="str">
        <f t="shared" si="0"/>
        <v>09</v>
      </c>
      <c r="BA3" s="29" t="str">
        <f t="shared" si="0"/>
        <v>09</v>
      </c>
      <c r="BB3" s="29" t="str">
        <f t="shared" si="0"/>
        <v>09</v>
      </c>
      <c r="BC3" s="29" t="str">
        <f t="shared" si="0"/>
        <v/>
      </c>
      <c r="BD3" s="29" t="str">
        <f t="shared" si="0"/>
        <v>09</v>
      </c>
      <c r="BE3" s="29" t="str">
        <f t="shared" si="0"/>
        <v/>
      </c>
      <c r="BF3" s="29" t="str">
        <f t="shared" si="0"/>
        <v>09</v>
      </c>
      <c r="BG3" s="29" t="str">
        <f t="shared" si="0"/>
        <v>09</v>
      </c>
      <c r="BH3" s="29" t="str">
        <f t="shared" si="0"/>
        <v>09</v>
      </c>
      <c r="BI3" s="29" t="str">
        <f t="shared" si="0"/>
        <v/>
      </c>
      <c r="BJ3" s="29" t="str">
        <f t="shared" si="0"/>
        <v>09</v>
      </c>
      <c r="BK3" s="29" t="str">
        <f t="shared" si="0"/>
        <v>09</v>
      </c>
      <c r="BL3" s="29" t="str">
        <f t="shared" si="0"/>
        <v>09</v>
      </c>
      <c r="BM3" s="29" t="str">
        <f t="shared" si="0"/>
        <v>09</v>
      </c>
      <c r="BN3" s="29" t="str">
        <f t="shared" si="0"/>
        <v>09</v>
      </c>
      <c r="BO3" s="29" t="str">
        <f t="shared" si="0"/>
        <v>09</v>
      </c>
      <c r="BP3" s="29" t="str">
        <f t="shared" si="0"/>
        <v>09</v>
      </c>
      <c r="BQ3" s="29" t="str">
        <f t="shared" si="0"/>
        <v>09</v>
      </c>
      <c r="BR3" s="29" t="str">
        <f t="shared" si="0"/>
        <v>09</v>
      </c>
      <c r="BS3" s="29" t="str">
        <f t="shared" si="0"/>
        <v>09</v>
      </c>
      <c r="BT3" s="29" t="str">
        <f t="shared" si="0"/>
        <v/>
      </c>
      <c r="BU3" s="29" t="str">
        <f t="shared" si="0"/>
        <v>09</v>
      </c>
      <c r="BV3" s="29" t="str">
        <f t="shared" si="0"/>
        <v>09</v>
      </c>
      <c r="BW3" s="29" t="str">
        <f t="shared" si="0"/>
        <v>09</v>
      </c>
      <c r="BX3" s="29" t="str">
        <f t="shared" si="0"/>
        <v>09</v>
      </c>
      <c r="BY3" s="29" t="str">
        <f t="shared" si="0"/>
        <v>09</v>
      </c>
      <c r="BZ3" s="29" t="str">
        <f t="shared" si="0"/>
        <v>09</v>
      </c>
      <c r="CA3" s="29" t="str">
        <f t="shared" si="0"/>
        <v>09</v>
      </c>
      <c r="CB3" s="29" t="str">
        <f t="shared" si="0"/>
        <v>09</v>
      </c>
      <c r="CC3" s="29" t="str">
        <f t="shared" si="0"/>
        <v>09</v>
      </c>
      <c r="CD3" s="29" t="str">
        <f t="shared" si="0"/>
        <v>09</v>
      </c>
      <c r="CE3" s="29" t="str">
        <f t="shared" si="0"/>
        <v>09</v>
      </c>
      <c r="CF3" s="29" t="str">
        <f t="shared" si="0"/>
        <v>09</v>
      </c>
      <c r="CG3" s="29" t="str">
        <f t="shared" si="0"/>
        <v>09</v>
      </c>
      <c r="CH3" s="29" t="str">
        <f t="shared" ref="CH3" si="1">IF(COUNTA(CH4:CH65536)=0,"","09")</f>
        <v>09</v>
      </c>
      <c r="CI3" s="29" t="str">
        <f t="shared" ref="CI3:DN3" si="2">IF(COUNTA(CI4:CI65536)=0,"","09")</f>
        <v>09</v>
      </c>
      <c r="CJ3" s="29" t="str">
        <f t="shared" si="2"/>
        <v>09</v>
      </c>
      <c r="CK3" s="29" t="str">
        <f t="shared" si="2"/>
        <v>09</v>
      </c>
      <c r="CL3" s="29" t="str">
        <f t="shared" si="2"/>
        <v>09</v>
      </c>
      <c r="CM3" s="29" t="str">
        <f t="shared" si="2"/>
        <v>09</v>
      </c>
      <c r="CN3" s="29" t="str">
        <f t="shared" si="2"/>
        <v/>
      </c>
      <c r="CO3" s="29" t="str">
        <f t="shared" si="2"/>
        <v/>
      </c>
      <c r="CP3" s="29" t="str">
        <f t="shared" si="2"/>
        <v/>
      </c>
      <c r="CQ3" s="29" t="str">
        <f t="shared" si="2"/>
        <v>09</v>
      </c>
      <c r="CR3" s="29" t="str">
        <f t="shared" si="2"/>
        <v>09</v>
      </c>
      <c r="CS3" s="29" t="str">
        <f t="shared" si="2"/>
        <v>09</v>
      </c>
      <c r="CT3" s="29" t="str">
        <f t="shared" si="2"/>
        <v>09</v>
      </c>
      <c r="CU3" s="29" t="str">
        <f t="shared" si="2"/>
        <v>09</v>
      </c>
      <c r="CV3" s="29" t="str">
        <f t="shared" si="2"/>
        <v>09</v>
      </c>
      <c r="CW3" s="29" t="str">
        <f t="shared" si="2"/>
        <v>09</v>
      </c>
      <c r="CX3" s="29" t="str">
        <f t="shared" si="2"/>
        <v>09</v>
      </c>
      <c r="CY3" s="29" t="str">
        <f t="shared" si="2"/>
        <v>09</v>
      </c>
      <c r="CZ3" s="29" t="str">
        <f t="shared" si="2"/>
        <v>09</v>
      </c>
      <c r="DA3" s="29" t="str">
        <f t="shared" si="2"/>
        <v/>
      </c>
      <c r="DB3" s="29" t="str">
        <f t="shared" si="2"/>
        <v>09</v>
      </c>
      <c r="DC3" s="29" t="str">
        <f t="shared" si="2"/>
        <v>09</v>
      </c>
      <c r="DD3" s="29" t="str">
        <f t="shared" si="2"/>
        <v>09</v>
      </c>
      <c r="DE3" s="29" t="str">
        <f t="shared" si="2"/>
        <v>09</v>
      </c>
      <c r="DF3" s="29" t="str">
        <f t="shared" si="2"/>
        <v>09</v>
      </c>
      <c r="DG3" s="29" t="str">
        <f t="shared" si="2"/>
        <v>09</v>
      </c>
      <c r="DH3" s="29" t="str">
        <f t="shared" si="2"/>
        <v>09</v>
      </c>
      <c r="DI3" s="29" t="str">
        <f t="shared" si="2"/>
        <v>09</v>
      </c>
      <c r="DJ3" s="29" t="str">
        <f t="shared" si="2"/>
        <v>09</v>
      </c>
      <c r="DK3" s="29" t="str">
        <f t="shared" si="2"/>
        <v>09</v>
      </c>
      <c r="DL3" s="29" t="str">
        <f t="shared" si="2"/>
        <v/>
      </c>
      <c r="DM3" s="29" t="str">
        <f t="shared" si="2"/>
        <v>09</v>
      </c>
      <c r="DN3" s="29" t="str">
        <f t="shared" si="2"/>
        <v>09</v>
      </c>
      <c r="DO3" s="29" t="str">
        <f t="shared" ref="DO3:EQ3" si="3">IF(COUNTA(DO4:DO65536)=0,"","09")</f>
        <v/>
      </c>
      <c r="DP3" s="29" t="str">
        <f t="shared" si="3"/>
        <v>09</v>
      </c>
      <c r="DQ3" s="29" t="str">
        <f t="shared" si="3"/>
        <v>09</v>
      </c>
      <c r="DR3" s="29" t="str">
        <f t="shared" si="3"/>
        <v>09</v>
      </c>
      <c r="DS3" s="29" t="str">
        <f t="shared" si="3"/>
        <v>09</v>
      </c>
      <c r="DT3" s="29" t="str">
        <f t="shared" si="3"/>
        <v>09</v>
      </c>
      <c r="DU3" s="29" t="str">
        <f t="shared" si="3"/>
        <v>09</v>
      </c>
      <c r="DV3" s="29" t="str">
        <f t="shared" si="3"/>
        <v>09</v>
      </c>
      <c r="DW3" s="29" t="str">
        <f t="shared" si="3"/>
        <v/>
      </c>
      <c r="DX3" s="29" t="str">
        <f t="shared" si="3"/>
        <v>09</v>
      </c>
      <c r="DY3" s="29" t="str">
        <f t="shared" si="3"/>
        <v>09</v>
      </c>
      <c r="DZ3" s="29" t="str">
        <f t="shared" si="3"/>
        <v>09</v>
      </c>
      <c r="EA3" s="29" t="str">
        <f t="shared" si="3"/>
        <v>09</v>
      </c>
      <c r="EB3" s="29" t="str">
        <f t="shared" si="3"/>
        <v>09</v>
      </c>
      <c r="EC3" s="29" t="str">
        <f t="shared" si="3"/>
        <v>09</v>
      </c>
      <c r="ED3" s="29" t="str">
        <f t="shared" si="3"/>
        <v>09</v>
      </c>
      <c r="EE3" s="29" t="str">
        <f t="shared" si="3"/>
        <v>09</v>
      </c>
      <c r="EF3" s="29" t="str">
        <f t="shared" si="3"/>
        <v>09</v>
      </c>
      <c r="EG3" s="29" t="str">
        <f t="shared" si="3"/>
        <v>09</v>
      </c>
      <c r="EH3" s="29" t="str">
        <f t="shared" si="3"/>
        <v>09</v>
      </c>
      <c r="EI3" s="29" t="str">
        <f t="shared" si="3"/>
        <v>09</v>
      </c>
      <c r="EJ3" s="29" t="str">
        <f t="shared" si="3"/>
        <v/>
      </c>
      <c r="EK3" s="29" t="str">
        <f t="shared" si="3"/>
        <v>09</v>
      </c>
      <c r="EL3" s="29" t="str">
        <f t="shared" si="3"/>
        <v>09</v>
      </c>
      <c r="EM3" s="29" t="str">
        <f t="shared" si="3"/>
        <v>09</v>
      </c>
      <c r="EN3" s="29" t="str">
        <f t="shared" si="3"/>
        <v>09</v>
      </c>
      <c r="EO3" s="29" t="str">
        <f t="shared" si="3"/>
        <v>09</v>
      </c>
      <c r="EP3" s="29" t="str">
        <f t="shared" si="3"/>
        <v>09</v>
      </c>
      <c r="EQ3" s="29" t="str">
        <f t="shared" si="3"/>
        <v>09</v>
      </c>
      <c r="ER3" s="29" t="str">
        <f t="shared" ref="ER3:HC3" si="4">IF(COUNTA(ER4:ER65536)=0,"","09")</f>
        <v>09</v>
      </c>
      <c r="ES3" s="29" t="str">
        <f t="shared" si="4"/>
        <v/>
      </c>
      <c r="ET3" s="29" t="str">
        <f t="shared" si="4"/>
        <v>09</v>
      </c>
      <c r="EU3" s="29" t="str">
        <f t="shared" si="4"/>
        <v>09</v>
      </c>
      <c r="EV3" s="29" t="str">
        <f t="shared" si="4"/>
        <v/>
      </c>
      <c r="EW3" s="29" t="str">
        <f t="shared" si="4"/>
        <v>09</v>
      </c>
      <c r="EX3" s="29" t="str">
        <f t="shared" si="4"/>
        <v>09</v>
      </c>
      <c r="EY3" s="29" t="str">
        <f t="shared" si="4"/>
        <v>09</v>
      </c>
      <c r="EZ3" s="29" t="str">
        <f t="shared" si="4"/>
        <v/>
      </c>
      <c r="FA3" s="29" t="str">
        <f t="shared" si="4"/>
        <v>09</v>
      </c>
      <c r="FB3" s="29" t="str">
        <f t="shared" si="4"/>
        <v>09</v>
      </c>
      <c r="FC3" s="29" t="str">
        <f t="shared" si="4"/>
        <v/>
      </c>
      <c r="FD3" s="29" t="str">
        <f t="shared" si="4"/>
        <v>09</v>
      </c>
      <c r="FE3" s="29" t="str">
        <f t="shared" si="4"/>
        <v>09</v>
      </c>
      <c r="FF3" s="29" t="str">
        <f t="shared" si="4"/>
        <v>09</v>
      </c>
      <c r="FG3" s="29" t="str">
        <f t="shared" si="4"/>
        <v>09</v>
      </c>
      <c r="FH3" s="29" t="str">
        <f t="shared" si="4"/>
        <v/>
      </c>
      <c r="FI3" s="29" t="str">
        <f t="shared" si="4"/>
        <v>09</v>
      </c>
      <c r="FJ3" s="29" t="str">
        <f t="shared" si="4"/>
        <v>09</v>
      </c>
      <c r="FK3" s="29" t="str">
        <f t="shared" si="4"/>
        <v>09</v>
      </c>
      <c r="FL3" s="29" t="str">
        <f t="shared" si="4"/>
        <v>09</v>
      </c>
      <c r="FM3" s="29" t="str">
        <f t="shared" si="4"/>
        <v/>
      </c>
      <c r="FN3" s="29" t="str">
        <f t="shared" si="4"/>
        <v/>
      </c>
      <c r="FO3" s="29" t="str">
        <f t="shared" si="4"/>
        <v/>
      </c>
      <c r="FP3" s="29" t="str">
        <f t="shared" si="4"/>
        <v/>
      </c>
      <c r="FQ3" s="29" t="str">
        <f t="shared" si="4"/>
        <v/>
      </c>
      <c r="FR3" s="29" t="str">
        <f t="shared" si="4"/>
        <v/>
      </c>
      <c r="FS3" s="29" t="str">
        <f t="shared" si="4"/>
        <v/>
      </c>
      <c r="FT3" s="29" t="str">
        <f t="shared" si="4"/>
        <v/>
      </c>
      <c r="FU3" s="29" t="str">
        <f t="shared" si="4"/>
        <v/>
      </c>
      <c r="FV3" s="29" t="str">
        <f t="shared" si="4"/>
        <v/>
      </c>
      <c r="FW3" s="29" t="str">
        <f t="shared" si="4"/>
        <v/>
      </c>
      <c r="FX3" s="29" t="str">
        <f t="shared" si="4"/>
        <v/>
      </c>
      <c r="FY3" s="29" t="str">
        <f t="shared" si="4"/>
        <v/>
      </c>
      <c r="FZ3" s="29" t="str">
        <f t="shared" si="4"/>
        <v/>
      </c>
      <c r="GA3" s="29" t="str">
        <f t="shared" si="4"/>
        <v/>
      </c>
      <c r="GB3" s="29" t="str">
        <f t="shared" si="4"/>
        <v/>
      </c>
      <c r="GC3" s="29" t="str">
        <f t="shared" si="4"/>
        <v/>
      </c>
      <c r="GD3" s="29" t="str">
        <f t="shared" si="4"/>
        <v/>
      </c>
      <c r="GE3" s="29" t="str">
        <f t="shared" si="4"/>
        <v/>
      </c>
      <c r="GF3" s="29" t="str">
        <f t="shared" si="4"/>
        <v/>
      </c>
      <c r="GG3" s="29" t="str">
        <f t="shared" si="4"/>
        <v/>
      </c>
      <c r="GH3" s="29" t="str">
        <f t="shared" si="4"/>
        <v/>
      </c>
      <c r="GI3" s="29" t="str">
        <f t="shared" si="4"/>
        <v/>
      </c>
      <c r="GJ3" s="29" t="str">
        <f t="shared" si="4"/>
        <v/>
      </c>
      <c r="GK3" s="29" t="str">
        <f t="shared" si="4"/>
        <v/>
      </c>
      <c r="GL3" s="29" t="str">
        <f t="shared" si="4"/>
        <v/>
      </c>
      <c r="GM3" s="29" t="str">
        <f t="shared" si="4"/>
        <v/>
      </c>
      <c r="GN3" s="29" t="str">
        <f t="shared" si="4"/>
        <v/>
      </c>
      <c r="GO3" s="29" t="str">
        <f t="shared" si="4"/>
        <v/>
      </c>
      <c r="GP3" s="29" t="str">
        <f t="shared" si="4"/>
        <v/>
      </c>
      <c r="GQ3" s="29" t="str">
        <f t="shared" si="4"/>
        <v/>
      </c>
      <c r="GR3" s="29" t="str">
        <f t="shared" si="4"/>
        <v/>
      </c>
      <c r="GS3" s="29" t="str">
        <f t="shared" si="4"/>
        <v/>
      </c>
      <c r="GT3" s="29" t="str">
        <f t="shared" si="4"/>
        <v/>
      </c>
      <c r="GU3" s="29" t="str">
        <f t="shared" si="4"/>
        <v/>
      </c>
      <c r="GV3" s="29" t="str">
        <f t="shared" si="4"/>
        <v/>
      </c>
      <c r="GW3" s="29" t="str">
        <f t="shared" si="4"/>
        <v/>
      </c>
      <c r="GX3" s="29" t="str">
        <f t="shared" si="4"/>
        <v/>
      </c>
      <c r="GY3" s="29" t="str">
        <f t="shared" si="4"/>
        <v/>
      </c>
      <c r="GZ3" s="29" t="str">
        <f t="shared" si="4"/>
        <v/>
      </c>
      <c r="HA3" s="29" t="str">
        <f t="shared" si="4"/>
        <v/>
      </c>
      <c r="HB3" s="29" t="str">
        <f t="shared" si="4"/>
        <v/>
      </c>
      <c r="HC3" s="29" t="str">
        <f t="shared" si="4"/>
        <v/>
      </c>
      <c r="HD3" s="29" t="str">
        <f t="shared" ref="HD3:IM3" si="5">IF(COUNTA(HD4:HD65536)=0,"","09")</f>
        <v/>
      </c>
      <c r="HE3" s="29" t="str">
        <f t="shared" si="5"/>
        <v/>
      </c>
      <c r="HF3" s="29" t="str">
        <f t="shared" si="5"/>
        <v/>
      </c>
      <c r="HG3" s="29" t="str">
        <f t="shared" si="5"/>
        <v/>
      </c>
      <c r="HH3" s="29" t="str">
        <f t="shared" si="5"/>
        <v/>
      </c>
      <c r="HI3" s="29" t="str">
        <f t="shared" si="5"/>
        <v/>
      </c>
      <c r="HJ3" s="29" t="str">
        <f t="shared" si="5"/>
        <v/>
      </c>
      <c r="HK3" s="29" t="str">
        <f t="shared" si="5"/>
        <v/>
      </c>
      <c r="HL3" s="29" t="str">
        <f t="shared" si="5"/>
        <v/>
      </c>
      <c r="HM3" s="29" t="str">
        <f t="shared" si="5"/>
        <v/>
      </c>
      <c r="HN3" s="29" t="str">
        <f t="shared" si="5"/>
        <v/>
      </c>
      <c r="HO3" s="29" t="str">
        <f t="shared" si="5"/>
        <v/>
      </c>
      <c r="HP3" s="29" t="str">
        <f t="shared" si="5"/>
        <v/>
      </c>
      <c r="HQ3" s="29" t="str">
        <f t="shared" si="5"/>
        <v/>
      </c>
      <c r="HR3" s="29" t="str">
        <f t="shared" si="5"/>
        <v/>
      </c>
      <c r="HS3" s="29" t="str">
        <f t="shared" si="5"/>
        <v/>
      </c>
      <c r="HT3" s="29" t="str">
        <f t="shared" si="5"/>
        <v/>
      </c>
      <c r="HU3" s="29" t="str">
        <f t="shared" si="5"/>
        <v/>
      </c>
      <c r="HV3" s="29" t="str">
        <f t="shared" si="5"/>
        <v/>
      </c>
      <c r="HW3" s="29" t="str">
        <f t="shared" si="5"/>
        <v/>
      </c>
      <c r="HX3" s="29" t="str">
        <f t="shared" si="5"/>
        <v/>
      </c>
      <c r="HY3" s="29" t="str">
        <f t="shared" si="5"/>
        <v/>
      </c>
      <c r="HZ3" s="29" t="str">
        <f t="shared" si="5"/>
        <v/>
      </c>
      <c r="IA3" s="29" t="str">
        <f t="shared" si="5"/>
        <v/>
      </c>
      <c r="IB3" s="29" t="str">
        <f t="shared" si="5"/>
        <v/>
      </c>
      <c r="IC3" s="29" t="str">
        <f t="shared" si="5"/>
        <v/>
      </c>
      <c r="ID3" s="29" t="str">
        <f t="shared" si="5"/>
        <v/>
      </c>
      <c r="IE3" s="29" t="str">
        <f t="shared" si="5"/>
        <v/>
      </c>
      <c r="IF3" s="29" t="str">
        <f t="shared" si="5"/>
        <v/>
      </c>
      <c r="IG3" s="29" t="str">
        <f t="shared" si="5"/>
        <v/>
      </c>
      <c r="IH3" s="29" t="str">
        <f t="shared" si="5"/>
        <v/>
      </c>
      <c r="II3" s="29" t="str">
        <f t="shared" si="5"/>
        <v/>
      </c>
      <c r="IJ3" s="29" t="str">
        <f t="shared" si="5"/>
        <v/>
      </c>
      <c r="IK3" s="29" t="str">
        <f t="shared" si="5"/>
        <v/>
      </c>
      <c r="IL3" s="29" t="str">
        <f t="shared" si="5"/>
        <v/>
      </c>
      <c r="IM3" s="29" t="str">
        <f t="shared" si="5"/>
        <v/>
      </c>
    </row>
    <row r="4" spans="1:247" x14ac:dyDescent="0.2">
      <c r="A4" s="1" t="s">
        <v>1207</v>
      </c>
      <c r="B4" s="1" t="s">
        <v>55</v>
      </c>
      <c r="C4" s="1" t="s">
        <v>1208</v>
      </c>
      <c r="D4" s="1" t="s">
        <v>2</v>
      </c>
      <c r="E4" s="1">
        <v>13</v>
      </c>
      <c r="F4" s="1" t="s">
        <v>1209</v>
      </c>
      <c r="H4" s="1" t="s">
        <v>1210</v>
      </c>
      <c r="I4" s="1" t="s">
        <v>7</v>
      </c>
      <c r="J4" s="1" t="s">
        <v>1211</v>
      </c>
      <c r="K4" s="1" t="s">
        <v>1212</v>
      </c>
      <c r="L4" s="1" t="s">
        <v>1211</v>
      </c>
      <c r="O4" s="1">
        <v>5</v>
      </c>
      <c r="Q4" s="1">
        <v>2007</v>
      </c>
      <c r="R4" s="1" t="s">
        <v>1213</v>
      </c>
      <c r="S4" s="1" t="s">
        <v>27</v>
      </c>
      <c r="T4" s="38">
        <v>1</v>
      </c>
      <c r="V4" s="1">
        <v>457.9</v>
      </c>
      <c r="Z4" s="1">
        <v>75.680000000000007</v>
      </c>
      <c r="AA4" s="1">
        <v>6.25</v>
      </c>
      <c r="AC4" s="1">
        <v>16.8</v>
      </c>
      <c r="AI4" s="1">
        <v>5.7</v>
      </c>
      <c r="AK4" s="1">
        <v>1.6116699999999999</v>
      </c>
      <c r="AL4" s="1">
        <v>1.52145</v>
      </c>
      <c r="AM4" s="1">
        <v>1.78807</v>
      </c>
      <c r="AV4" s="1">
        <v>1</v>
      </c>
      <c r="AY4" s="1">
        <v>4.665</v>
      </c>
      <c r="BD4" s="1">
        <v>3.5999999999999997E-2</v>
      </c>
      <c r="BF4" s="1">
        <v>0.54200000000000004</v>
      </c>
      <c r="BH4" s="1">
        <v>301.44299999999998</v>
      </c>
      <c r="BJ4" s="1">
        <v>23.785</v>
      </c>
      <c r="BK4" s="1">
        <v>1.0999999999999999E-2</v>
      </c>
      <c r="BM4" s="1">
        <v>40.634</v>
      </c>
      <c r="BP4" s="1">
        <v>180</v>
      </c>
      <c r="BW4" s="1">
        <v>1.0740000000000001</v>
      </c>
      <c r="DR4" s="1">
        <v>7170</v>
      </c>
      <c r="DS4" s="1">
        <v>14390</v>
      </c>
      <c r="DT4" s="1">
        <v>7220</v>
      </c>
      <c r="DU4" s="1">
        <v>900</v>
      </c>
      <c r="DV4" s="1">
        <v>940</v>
      </c>
      <c r="DX4" s="1">
        <v>1510</v>
      </c>
      <c r="EA4" s="1">
        <v>2220</v>
      </c>
      <c r="EB4" s="1">
        <v>730</v>
      </c>
      <c r="EC4" s="1">
        <v>390</v>
      </c>
      <c r="EF4" s="17">
        <v>640</v>
      </c>
      <c r="EG4" s="17">
        <v>1270</v>
      </c>
      <c r="EH4" s="17">
        <v>1490</v>
      </c>
      <c r="EI4" s="17">
        <v>350</v>
      </c>
      <c r="EJ4" s="17"/>
      <c r="EK4" s="17">
        <v>680</v>
      </c>
      <c r="EL4" s="17">
        <v>750</v>
      </c>
      <c r="EM4" s="17">
        <v>560</v>
      </c>
      <c r="EN4" s="17"/>
      <c r="EO4" s="17">
        <v>630</v>
      </c>
      <c r="EP4" s="17"/>
      <c r="EQ4" s="17">
        <v>560</v>
      </c>
      <c r="ER4" s="17">
        <v>790</v>
      </c>
      <c r="ES4" s="17"/>
      <c r="EW4" s="1">
        <v>11.04</v>
      </c>
    </row>
    <row r="5" spans="1:247" x14ac:dyDescent="0.2">
      <c r="A5" s="1" t="s">
        <v>1214</v>
      </c>
      <c r="B5" s="1" t="s">
        <v>55</v>
      </c>
      <c r="C5" s="1" t="s">
        <v>1208</v>
      </c>
      <c r="D5" s="1" t="s">
        <v>2</v>
      </c>
      <c r="E5" s="1">
        <v>13</v>
      </c>
      <c r="F5" s="1" t="s">
        <v>1209</v>
      </c>
      <c r="H5" s="1" t="s">
        <v>1215</v>
      </c>
      <c r="I5" s="1" t="s">
        <v>11</v>
      </c>
      <c r="J5" s="1" t="s">
        <v>1211</v>
      </c>
      <c r="K5" s="1" t="s">
        <v>1212</v>
      </c>
      <c r="L5" s="1" t="s">
        <v>1211</v>
      </c>
      <c r="N5" s="1" t="s">
        <v>1216</v>
      </c>
      <c r="O5" s="1">
        <v>5</v>
      </c>
      <c r="Q5" s="1">
        <v>2007</v>
      </c>
      <c r="R5" s="1" t="s">
        <v>1213</v>
      </c>
      <c r="S5" s="1" t="s">
        <v>27</v>
      </c>
      <c r="T5" s="38">
        <v>1</v>
      </c>
      <c r="V5" s="1">
        <v>600.34</v>
      </c>
      <c r="Z5" s="1">
        <v>71.08</v>
      </c>
      <c r="AA5" s="1">
        <v>6.25</v>
      </c>
      <c r="AC5" s="1">
        <v>21.14</v>
      </c>
      <c r="AI5" s="1">
        <v>5.9</v>
      </c>
      <c r="AK5" s="1">
        <v>1.6909700000000001</v>
      </c>
      <c r="AL5" s="1">
        <v>1.52946</v>
      </c>
      <c r="AM5" s="1">
        <v>1.8943700000000001</v>
      </c>
      <c r="AV5" s="1">
        <v>1.2</v>
      </c>
      <c r="AY5" s="1">
        <v>6.7679999999999998</v>
      </c>
      <c r="BD5" s="1">
        <v>4.2999999999999997E-2</v>
      </c>
      <c r="BF5" s="1">
        <v>0.64200000000000002</v>
      </c>
      <c r="BH5" s="1">
        <v>357.03800000000001</v>
      </c>
      <c r="BJ5" s="1">
        <v>30.33</v>
      </c>
      <c r="BK5" s="1">
        <v>1.6E-2</v>
      </c>
      <c r="BM5" s="1">
        <v>165.60599999999999</v>
      </c>
      <c r="BP5" s="1">
        <v>190</v>
      </c>
      <c r="BW5" s="1">
        <v>1.0329999999999999</v>
      </c>
      <c r="DR5" s="1">
        <v>9750</v>
      </c>
      <c r="DS5" s="1">
        <v>19690</v>
      </c>
      <c r="DT5" s="1">
        <v>9950</v>
      </c>
      <c r="DU5" s="1">
        <v>1290</v>
      </c>
      <c r="DV5" s="1">
        <v>1300</v>
      </c>
      <c r="DX5" s="1">
        <v>2070</v>
      </c>
      <c r="EA5" s="1">
        <v>2970</v>
      </c>
      <c r="EB5" s="1">
        <v>1040</v>
      </c>
      <c r="EC5" s="1">
        <v>530</v>
      </c>
      <c r="EF5" s="17">
        <v>880</v>
      </c>
      <c r="EG5" s="17">
        <v>1720</v>
      </c>
      <c r="EH5" s="17">
        <v>1960</v>
      </c>
      <c r="EI5" s="17">
        <v>480</v>
      </c>
      <c r="EJ5" s="17"/>
      <c r="EK5" s="17">
        <v>930</v>
      </c>
      <c r="EL5" s="17">
        <v>1040</v>
      </c>
      <c r="EM5" s="17">
        <v>770</v>
      </c>
      <c r="EN5" s="17"/>
      <c r="EO5" s="17">
        <v>860</v>
      </c>
      <c r="EP5" s="17"/>
      <c r="EQ5" s="17">
        <v>760</v>
      </c>
      <c r="ER5" s="17">
        <v>1090</v>
      </c>
      <c r="ES5" s="17"/>
      <c r="EW5" s="1">
        <v>14.23</v>
      </c>
    </row>
    <row r="6" spans="1:247" x14ac:dyDescent="0.2">
      <c r="A6" s="1" t="s">
        <v>1217</v>
      </c>
      <c r="B6" s="1" t="s">
        <v>55</v>
      </c>
      <c r="C6" s="1" t="s">
        <v>1208</v>
      </c>
      <c r="D6" s="1" t="s">
        <v>2</v>
      </c>
      <c r="E6" s="1">
        <v>13</v>
      </c>
      <c r="F6" s="1" t="s">
        <v>1209</v>
      </c>
      <c r="H6" s="1" t="s">
        <v>1218</v>
      </c>
      <c r="I6" s="1" t="s">
        <v>11</v>
      </c>
      <c r="J6" s="1" t="s">
        <v>1211</v>
      </c>
      <c r="K6" s="1" t="s">
        <v>1212</v>
      </c>
      <c r="L6" s="1" t="s">
        <v>1211</v>
      </c>
      <c r="N6" s="1" t="s">
        <v>1219</v>
      </c>
      <c r="O6" s="1">
        <v>5</v>
      </c>
      <c r="Q6" s="1">
        <v>2007</v>
      </c>
      <c r="R6" s="1" t="s">
        <v>1213</v>
      </c>
      <c r="S6" s="1" t="s">
        <v>27</v>
      </c>
      <c r="T6" s="38">
        <v>1</v>
      </c>
      <c r="V6" s="1" t="s">
        <v>1220</v>
      </c>
      <c r="Z6" s="1" t="s">
        <v>1221</v>
      </c>
      <c r="AA6" s="1">
        <v>6.25</v>
      </c>
      <c r="AC6" s="1" t="s">
        <v>1222</v>
      </c>
      <c r="AI6" s="1" t="s">
        <v>1223</v>
      </c>
      <c r="AK6" s="1">
        <v>2.1696399999999998</v>
      </c>
      <c r="AL6" s="1">
        <v>2.3936700000000002</v>
      </c>
      <c r="AM6" s="1">
        <v>3.8993799999999998</v>
      </c>
      <c r="AV6" s="1" t="s">
        <v>1224</v>
      </c>
      <c r="AY6" s="1">
        <v>11.096</v>
      </c>
      <c r="BD6" s="1">
        <v>4.5999999999999999E-2</v>
      </c>
      <c r="BF6" s="1">
        <v>0.90800000000000003</v>
      </c>
      <c r="BH6" s="1">
        <v>437.11200000000002</v>
      </c>
      <c r="BJ6" s="1">
        <v>32.475999999999999</v>
      </c>
      <c r="BK6" s="1">
        <v>4.1000000000000002E-2</v>
      </c>
      <c r="BM6" s="1">
        <v>384.38099999999997</v>
      </c>
      <c r="BP6" s="1">
        <v>250</v>
      </c>
      <c r="BW6" s="1">
        <v>1.103</v>
      </c>
      <c r="DR6" s="1" t="s">
        <v>1225</v>
      </c>
      <c r="DS6" s="1" t="s">
        <v>1226</v>
      </c>
      <c r="DT6" s="1" t="s">
        <v>1227</v>
      </c>
      <c r="DU6" s="1" t="s">
        <v>1228</v>
      </c>
      <c r="DV6" s="1" t="s">
        <v>1229</v>
      </c>
      <c r="DX6" s="1" t="s">
        <v>1230</v>
      </c>
      <c r="EA6" s="1" t="s">
        <v>1231</v>
      </c>
      <c r="EB6" s="1" t="s">
        <v>1232</v>
      </c>
      <c r="EC6" s="1" t="s">
        <v>1233</v>
      </c>
      <c r="EF6" s="17" t="s">
        <v>1234</v>
      </c>
      <c r="EG6" s="17" t="s">
        <v>1235</v>
      </c>
      <c r="EH6" s="17" t="s">
        <v>1236</v>
      </c>
      <c r="EI6" s="17" t="s">
        <v>1237</v>
      </c>
      <c r="EJ6" s="17"/>
      <c r="EK6" s="17" t="s">
        <v>1238</v>
      </c>
      <c r="EL6" s="17" t="s">
        <v>1239</v>
      </c>
      <c r="EM6" s="17" t="s">
        <v>1240</v>
      </c>
      <c r="EN6" s="17"/>
      <c r="EO6" s="17" t="s">
        <v>1241</v>
      </c>
      <c r="EP6" s="17"/>
      <c r="EQ6" s="17" t="s">
        <v>1242</v>
      </c>
      <c r="ER6" s="17" t="s">
        <v>1243</v>
      </c>
      <c r="ES6" s="17"/>
      <c r="EW6" s="1">
        <v>13.82</v>
      </c>
    </row>
    <row r="7" spans="1:247" x14ac:dyDescent="0.2">
      <c r="A7" s="1" t="s">
        <v>1244</v>
      </c>
      <c r="B7" s="1" t="s">
        <v>55</v>
      </c>
      <c r="C7" s="1" t="s">
        <v>1208</v>
      </c>
      <c r="D7" s="1" t="s">
        <v>2</v>
      </c>
      <c r="E7" s="1">
        <v>13</v>
      </c>
      <c r="F7" s="1" t="s">
        <v>1209</v>
      </c>
      <c r="H7" s="1" t="s">
        <v>1245</v>
      </c>
      <c r="I7" s="1" t="s">
        <v>11</v>
      </c>
      <c r="J7" s="1" t="s">
        <v>1211</v>
      </c>
      <c r="K7" s="1" t="s">
        <v>1212</v>
      </c>
      <c r="L7" s="1" t="s">
        <v>1211</v>
      </c>
      <c r="N7" s="1" t="s">
        <v>1246</v>
      </c>
      <c r="O7" s="1">
        <v>5</v>
      </c>
      <c r="Q7" s="1">
        <v>2007</v>
      </c>
      <c r="R7" s="1" t="s">
        <v>1213</v>
      </c>
      <c r="S7" s="1" t="s">
        <v>27</v>
      </c>
      <c r="T7" s="38">
        <v>1</v>
      </c>
      <c r="V7" s="1">
        <v>693.43</v>
      </c>
      <c r="Z7" s="1">
        <v>65.760000000000005</v>
      </c>
      <c r="AA7" s="1">
        <v>6.25</v>
      </c>
      <c r="AC7" s="1">
        <v>24.28</v>
      </c>
      <c r="AI7" s="1">
        <v>6.88</v>
      </c>
      <c r="AK7" s="1">
        <v>1.9800500000000001</v>
      </c>
      <c r="AL7" s="1">
        <v>1.73308</v>
      </c>
      <c r="AM7" s="1">
        <v>2.2125699999999999</v>
      </c>
      <c r="AV7" s="1">
        <v>2.62</v>
      </c>
      <c r="AY7" s="1">
        <v>6.6479999999999997</v>
      </c>
      <c r="BD7" s="1">
        <v>0.05</v>
      </c>
      <c r="BF7" s="1">
        <v>0.80800000000000005</v>
      </c>
      <c r="BH7" s="1">
        <v>506.35300000000001</v>
      </c>
      <c r="BJ7" s="1">
        <v>35.722000000000001</v>
      </c>
      <c r="BK7" s="1">
        <v>1.7999999999999999E-2</v>
      </c>
      <c r="BM7" s="1">
        <v>458.34</v>
      </c>
      <c r="BP7" s="1">
        <v>260</v>
      </c>
      <c r="BW7" s="1">
        <v>1.177</v>
      </c>
      <c r="DR7" s="1">
        <v>11620</v>
      </c>
      <c r="DS7" s="1">
        <v>23660</v>
      </c>
      <c r="DT7" s="1">
        <v>12040</v>
      </c>
      <c r="DU7" s="1">
        <v>1540</v>
      </c>
      <c r="DV7" s="1">
        <v>1550</v>
      </c>
      <c r="DX7" s="1">
        <v>2500</v>
      </c>
      <c r="EA7" s="1">
        <v>3640</v>
      </c>
      <c r="EB7" s="1">
        <v>1260</v>
      </c>
      <c r="EC7" s="1">
        <v>620</v>
      </c>
      <c r="EF7" s="17">
        <v>1014</v>
      </c>
      <c r="EG7" s="17">
        <v>2080</v>
      </c>
      <c r="EH7" s="17">
        <v>2390</v>
      </c>
      <c r="EI7" s="17">
        <v>520</v>
      </c>
      <c r="EJ7" s="17"/>
      <c r="EK7" s="17">
        <v>1080</v>
      </c>
      <c r="EL7" s="17">
        <v>1270</v>
      </c>
      <c r="EM7" s="17">
        <v>930</v>
      </c>
      <c r="EN7" s="17"/>
      <c r="EO7" s="17">
        <v>1030</v>
      </c>
      <c r="EP7" s="17"/>
      <c r="EQ7" s="17">
        <v>900</v>
      </c>
      <c r="ER7" s="17">
        <v>1310</v>
      </c>
      <c r="ES7" s="17"/>
      <c r="EW7" s="1">
        <v>19.84</v>
      </c>
    </row>
    <row r="8" spans="1:247" x14ac:dyDescent="0.2">
      <c r="A8" s="1" t="s">
        <v>1247</v>
      </c>
      <c r="B8" s="1" t="s">
        <v>55</v>
      </c>
      <c r="C8" s="1" t="s">
        <v>1248</v>
      </c>
      <c r="E8" s="1">
        <v>37</v>
      </c>
      <c r="F8" s="1" t="s">
        <v>1249</v>
      </c>
      <c r="H8" s="1" t="s">
        <v>1250</v>
      </c>
      <c r="I8" s="1" t="s">
        <v>7</v>
      </c>
      <c r="J8" s="1" t="s">
        <v>1251</v>
      </c>
      <c r="K8" s="1" t="s">
        <v>1252</v>
      </c>
      <c r="L8" s="1" t="s">
        <v>1251</v>
      </c>
      <c r="O8" s="1">
        <v>1</v>
      </c>
      <c r="Q8" s="1">
        <v>2010</v>
      </c>
      <c r="R8" s="1" t="s">
        <v>1253</v>
      </c>
      <c r="S8" s="1" t="s">
        <v>27</v>
      </c>
      <c r="T8" s="38">
        <v>1</v>
      </c>
      <c r="Z8" s="1">
        <v>65.98</v>
      </c>
      <c r="AA8" s="1">
        <v>6.25</v>
      </c>
      <c r="AC8" s="1">
        <v>18.55</v>
      </c>
      <c r="AH8" s="1">
        <v>14.46</v>
      </c>
      <c r="AQ8" s="1">
        <v>0.53</v>
      </c>
      <c r="AV8" s="1">
        <v>1.91</v>
      </c>
      <c r="CK8" s="1">
        <v>141.01</v>
      </c>
      <c r="CV8" s="1">
        <v>0.77300000000000002</v>
      </c>
      <c r="CZ8" s="1">
        <v>0.21</v>
      </c>
      <c r="DB8" s="1">
        <v>0.14399999999999999</v>
      </c>
      <c r="DC8" s="1">
        <v>2.1360000000000001</v>
      </c>
      <c r="DF8" s="1">
        <v>0.39</v>
      </c>
      <c r="DR8" s="1">
        <v>4309.2669999999998</v>
      </c>
      <c r="DS8" s="1">
        <v>10928.257</v>
      </c>
      <c r="DT8" s="1">
        <v>6250.2610000000004</v>
      </c>
      <c r="DU8" s="1">
        <v>620.72900000000004</v>
      </c>
      <c r="DV8" s="1">
        <v>777.36500000000001</v>
      </c>
      <c r="DX8" s="1">
        <v>1041.6869999999999</v>
      </c>
      <c r="DY8" s="1">
        <v>92.837000000000003</v>
      </c>
      <c r="EA8" s="1">
        <v>1415.165</v>
      </c>
      <c r="EB8" s="1">
        <v>634.17899999999997</v>
      </c>
      <c r="EC8" s="1">
        <v>424.20400000000001</v>
      </c>
      <c r="EF8" s="17">
        <v>580.29899999999998</v>
      </c>
      <c r="EG8" s="17">
        <v>828.55600000000004</v>
      </c>
      <c r="EH8" s="17">
        <v>966.03800000000001</v>
      </c>
      <c r="EI8" s="17">
        <v>370.68799999999999</v>
      </c>
      <c r="EJ8" s="17"/>
      <c r="EK8" s="17">
        <v>466.02</v>
      </c>
      <c r="EL8" s="17">
        <v>407.91300000000001</v>
      </c>
      <c r="EM8" s="17">
        <v>419.72199999999998</v>
      </c>
      <c r="EN8" s="17"/>
      <c r="EO8" s="17">
        <v>444.01600000000002</v>
      </c>
      <c r="EP8" s="17"/>
      <c r="EQ8" s="17">
        <v>416.64299999999997</v>
      </c>
      <c r="ER8" s="17">
        <v>653.65099999999995</v>
      </c>
      <c r="ES8" s="17"/>
    </row>
    <row r="9" spans="1:247" x14ac:dyDescent="0.2">
      <c r="A9" s="1" t="s">
        <v>1254</v>
      </c>
      <c r="B9" s="1" t="s">
        <v>55</v>
      </c>
      <c r="C9" s="1" t="s">
        <v>1248</v>
      </c>
      <c r="E9" s="1">
        <v>37</v>
      </c>
      <c r="F9" s="1" t="s">
        <v>1249</v>
      </c>
      <c r="H9" s="1" t="s">
        <v>1255</v>
      </c>
      <c r="I9" s="1" t="s">
        <v>11</v>
      </c>
      <c r="J9" s="1" t="s">
        <v>1251</v>
      </c>
      <c r="K9" s="1" t="s">
        <v>1252</v>
      </c>
      <c r="L9" s="1" t="s">
        <v>1251</v>
      </c>
      <c r="N9" s="1" t="s">
        <v>1256</v>
      </c>
      <c r="O9" s="1">
        <v>1</v>
      </c>
      <c r="Q9" s="1">
        <v>2010</v>
      </c>
      <c r="R9" s="1" t="s">
        <v>1253</v>
      </c>
      <c r="S9" s="1" t="s">
        <v>27</v>
      </c>
      <c r="T9" s="38">
        <v>1</v>
      </c>
      <c r="Z9" s="1">
        <v>56.52</v>
      </c>
      <c r="AA9" s="1">
        <v>6.25</v>
      </c>
      <c r="AC9" s="1">
        <v>23.93</v>
      </c>
      <c r="AH9" s="1">
        <v>19.61</v>
      </c>
      <c r="AQ9" s="1">
        <v>1.02</v>
      </c>
      <c r="AV9" s="1">
        <v>2.4700000000000002</v>
      </c>
      <c r="CK9" s="1">
        <v>188.607</v>
      </c>
      <c r="CV9" s="1">
        <v>0.94099999999999995</v>
      </c>
      <c r="CZ9" s="1">
        <v>4.2000000000000003E-2</v>
      </c>
      <c r="DB9" s="1">
        <v>0.13600000000000001</v>
      </c>
      <c r="DC9" s="1">
        <v>4.2460000000000004</v>
      </c>
      <c r="DF9" s="1">
        <v>0.69</v>
      </c>
      <c r="DR9" s="1">
        <v>7297.741</v>
      </c>
      <c r="DS9" s="1">
        <v>17874.724999999999</v>
      </c>
      <c r="DT9" s="1">
        <v>10161.689</v>
      </c>
      <c r="DU9" s="1">
        <v>971.39300000000003</v>
      </c>
      <c r="DV9" s="1">
        <v>1294.9570000000001</v>
      </c>
      <c r="DX9" s="1">
        <v>1745.4929999999999</v>
      </c>
      <c r="DY9" s="1">
        <v>118.04600000000001</v>
      </c>
      <c r="EA9" s="1">
        <v>2485.848</v>
      </c>
      <c r="EB9" s="1">
        <v>956.46</v>
      </c>
      <c r="EC9" s="1">
        <v>686.64300000000003</v>
      </c>
      <c r="EF9" s="17">
        <v>997.34100000000001</v>
      </c>
      <c r="EG9" s="17">
        <v>1427.01</v>
      </c>
      <c r="EH9" s="17">
        <v>1620.8910000000001</v>
      </c>
      <c r="EI9" s="17">
        <v>608.14200000000005</v>
      </c>
      <c r="EJ9" s="17"/>
      <c r="EK9" s="17">
        <v>812.35900000000004</v>
      </c>
      <c r="EL9" s="17">
        <v>628.32799999999997</v>
      </c>
      <c r="EM9" s="17">
        <v>628.101</v>
      </c>
      <c r="EN9" s="17"/>
      <c r="EO9" s="17">
        <v>735.76700000000005</v>
      </c>
      <c r="EP9" s="17"/>
      <c r="EQ9" s="17">
        <v>646.39599999999996</v>
      </c>
      <c r="ER9" s="17">
        <v>1096.231</v>
      </c>
      <c r="ES9" s="17"/>
    </row>
    <row r="10" spans="1:247" x14ac:dyDescent="0.2">
      <c r="A10" s="1" t="s">
        <v>1257</v>
      </c>
      <c r="B10" s="1" t="s">
        <v>55</v>
      </c>
      <c r="C10" s="1" t="s">
        <v>1248</v>
      </c>
      <c r="E10" s="1">
        <v>37</v>
      </c>
      <c r="F10" s="1" t="s">
        <v>1249</v>
      </c>
      <c r="H10" s="1" t="s">
        <v>1258</v>
      </c>
      <c r="I10" s="1" t="s">
        <v>11</v>
      </c>
      <c r="J10" s="1" t="s">
        <v>1251</v>
      </c>
      <c r="K10" s="1" t="s">
        <v>1252</v>
      </c>
      <c r="L10" s="1" t="s">
        <v>1251</v>
      </c>
      <c r="N10" s="1" t="s">
        <v>1259</v>
      </c>
      <c r="O10" s="1">
        <v>1</v>
      </c>
      <c r="Q10" s="1">
        <v>2010</v>
      </c>
      <c r="R10" s="1" t="s">
        <v>1253</v>
      </c>
      <c r="S10" s="1" t="s">
        <v>27</v>
      </c>
      <c r="T10" s="38">
        <v>1</v>
      </c>
      <c r="Z10" s="1">
        <v>59.13</v>
      </c>
      <c r="AA10" s="1">
        <v>6.25</v>
      </c>
      <c r="AC10" s="1">
        <v>23.47</v>
      </c>
      <c r="AH10" s="1">
        <v>15.89</v>
      </c>
      <c r="AQ10" s="1">
        <v>1.64</v>
      </c>
      <c r="AV10" s="1">
        <v>2.4300000000000002</v>
      </c>
      <c r="CK10" s="1">
        <v>31.731999999999999</v>
      </c>
      <c r="CV10" s="1">
        <v>0.44900000000000001</v>
      </c>
      <c r="CZ10" s="1">
        <v>6.9000000000000006E-2</v>
      </c>
      <c r="DB10" s="1">
        <v>0.109</v>
      </c>
      <c r="DC10" s="1">
        <v>4.5069999999999997</v>
      </c>
      <c r="DF10" s="1">
        <v>0.59199999999999997</v>
      </c>
      <c r="DR10" s="1">
        <v>9250.4599999999991</v>
      </c>
      <c r="DS10" s="1">
        <v>22062.387999999999</v>
      </c>
      <c r="DT10" s="1">
        <v>12384.630999999999</v>
      </c>
      <c r="DU10" s="1">
        <v>1193.1559999999999</v>
      </c>
      <c r="DV10" s="1">
        <v>1476.4559999999999</v>
      </c>
      <c r="DX10" s="1">
        <v>2233.9169999999999</v>
      </c>
      <c r="DY10" s="1">
        <v>110.36</v>
      </c>
      <c r="EA10" s="1">
        <v>3105.145</v>
      </c>
      <c r="EB10" s="1">
        <v>1105.8209999999999</v>
      </c>
      <c r="EC10" s="1">
        <v>804.37</v>
      </c>
      <c r="EF10" s="17">
        <v>1261.855</v>
      </c>
      <c r="EG10" s="17">
        <v>1762.6079999999999</v>
      </c>
      <c r="EH10" s="17">
        <v>2128.1990000000001</v>
      </c>
      <c r="EI10" s="17">
        <v>795.40599999999995</v>
      </c>
      <c r="EJ10" s="17"/>
      <c r="EK10" s="17">
        <v>1004.442</v>
      </c>
      <c r="EL10" s="17">
        <v>780.24599999999998</v>
      </c>
      <c r="EM10" s="17">
        <v>765.56399999999996</v>
      </c>
      <c r="EN10" s="17"/>
      <c r="EO10" s="17">
        <v>915.21299999999997</v>
      </c>
      <c r="EP10" s="17"/>
      <c r="EQ10" s="17">
        <v>809.59900000000005</v>
      </c>
      <c r="ER10" s="17">
        <v>1382.739</v>
      </c>
      <c r="ES10" s="17"/>
    </row>
    <row r="11" spans="1:247" x14ac:dyDescent="0.2">
      <c r="A11" s="1" t="s">
        <v>1260</v>
      </c>
      <c r="B11" s="1" t="s">
        <v>55</v>
      </c>
      <c r="C11" s="1" t="s">
        <v>1248</v>
      </c>
      <c r="E11" s="1">
        <v>37</v>
      </c>
      <c r="F11" s="1" t="s">
        <v>1249</v>
      </c>
      <c r="H11" s="1" t="s">
        <v>1261</v>
      </c>
      <c r="I11" s="1" t="s">
        <v>11</v>
      </c>
      <c r="J11" s="1" t="s">
        <v>1251</v>
      </c>
      <c r="K11" s="1" t="s">
        <v>1252</v>
      </c>
      <c r="L11" s="1" t="s">
        <v>1251</v>
      </c>
      <c r="N11" s="1" t="s">
        <v>1262</v>
      </c>
      <c r="O11" s="1">
        <v>1</v>
      </c>
      <c r="Q11" s="1">
        <v>2010</v>
      </c>
      <c r="R11" s="1" t="s">
        <v>1253</v>
      </c>
      <c r="S11" s="1" t="s">
        <v>27</v>
      </c>
      <c r="T11" s="38">
        <v>1</v>
      </c>
      <c r="Z11" s="1">
        <v>61.54</v>
      </c>
      <c r="AA11" s="1">
        <v>6.25</v>
      </c>
      <c r="AC11" s="1">
        <v>20.79</v>
      </c>
      <c r="AH11" s="1">
        <v>13.44</v>
      </c>
      <c r="AQ11" s="1">
        <v>4.3600000000000003</v>
      </c>
      <c r="AV11" s="1">
        <v>1.7</v>
      </c>
      <c r="CK11" s="1">
        <v>31.977</v>
      </c>
      <c r="CV11" s="1">
        <v>0.34799999999999998</v>
      </c>
      <c r="CZ11" s="1">
        <v>9.7000000000000003E-2</v>
      </c>
      <c r="DB11" s="1">
        <v>7.8E-2</v>
      </c>
      <c r="DC11" s="1">
        <v>3.5070000000000001</v>
      </c>
      <c r="DF11" s="1">
        <v>0.378</v>
      </c>
      <c r="DR11" s="1">
        <v>7212.7240000000002</v>
      </c>
      <c r="DS11" s="1">
        <v>17318.837</v>
      </c>
      <c r="DT11" s="1">
        <v>9693.3289999999997</v>
      </c>
      <c r="DU11" s="1">
        <v>1065.8009999999999</v>
      </c>
      <c r="DV11" s="1">
        <v>1197.329</v>
      </c>
      <c r="DX11" s="1">
        <v>1774.277</v>
      </c>
      <c r="DY11" s="1">
        <v>109.339</v>
      </c>
      <c r="EA11" s="1">
        <v>2228.0459999999998</v>
      </c>
      <c r="EB11" s="1">
        <v>816.48699999999997</v>
      </c>
      <c r="EC11" s="1">
        <v>665.721</v>
      </c>
      <c r="EF11" s="17">
        <v>1000.917</v>
      </c>
      <c r="EG11" s="17">
        <v>1386.248</v>
      </c>
      <c r="EH11" s="17">
        <v>1611.954</v>
      </c>
      <c r="EI11" s="17">
        <v>605.21299999999997</v>
      </c>
      <c r="EJ11" s="17"/>
      <c r="EK11" s="17">
        <v>787.72</v>
      </c>
      <c r="EL11" s="17">
        <v>585.10900000000004</v>
      </c>
      <c r="EM11" s="17">
        <v>565.35199999999998</v>
      </c>
      <c r="EN11" s="17"/>
      <c r="EO11" s="17">
        <v>715.13300000000004</v>
      </c>
      <c r="EP11" s="17"/>
      <c r="EQ11" s="17">
        <v>685.87099999999998</v>
      </c>
      <c r="ER11" s="17">
        <v>1108.5409999999999</v>
      </c>
      <c r="ES11" s="17"/>
    </row>
    <row r="12" spans="1:247" x14ac:dyDescent="0.2">
      <c r="A12" s="1" t="s">
        <v>1263</v>
      </c>
      <c r="B12" s="1" t="s">
        <v>55</v>
      </c>
      <c r="C12" s="1" t="s">
        <v>1264</v>
      </c>
      <c r="D12" s="1" t="s">
        <v>2</v>
      </c>
      <c r="E12" s="1">
        <v>13</v>
      </c>
      <c r="F12" s="1" t="s">
        <v>1265</v>
      </c>
      <c r="H12" s="1" t="s">
        <v>1266</v>
      </c>
      <c r="I12" s="1" t="s">
        <v>7</v>
      </c>
      <c r="J12" s="1" t="s">
        <v>1267</v>
      </c>
      <c r="K12" s="1" t="s">
        <v>1268</v>
      </c>
      <c r="L12" s="1" t="s">
        <v>1267</v>
      </c>
      <c r="P12" s="1" t="s">
        <v>1269</v>
      </c>
      <c r="Q12" s="1">
        <v>2009</v>
      </c>
      <c r="R12" s="1" t="s">
        <v>1270</v>
      </c>
      <c r="S12" s="1" t="s">
        <v>27</v>
      </c>
      <c r="T12" s="38">
        <v>1</v>
      </c>
      <c r="AH12" s="1">
        <v>2.5499999999999998</v>
      </c>
      <c r="AK12" s="1">
        <v>0.95327074499999997</v>
      </c>
      <c r="AL12" s="1">
        <v>0.77572043499999999</v>
      </c>
      <c r="AM12" s="1">
        <v>0.39557493500000002</v>
      </c>
      <c r="AN12" s="1">
        <v>0.11158388499999999</v>
      </c>
    </row>
    <row r="13" spans="1:247" x14ac:dyDescent="0.2">
      <c r="A13" s="1" t="s">
        <v>1271</v>
      </c>
      <c r="B13" s="1" t="s">
        <v>55</v>
      </c>
      <c r="C13" s="1" t="s">
        <v>1272</v>
      </c>
      <c r="D13" s="1" t="s">
        <v>2</v>
      </c>
      <c r="E13" s="1">
        <v>23</v>
      </c>
      <c r="F13" s="1" t="s">
        <v>1273</v>
      </c>
      <c r="H13" s="1" t="s">
        <v>1274</v>
      </c>
      <c r="I13" s="1" t="s">
        <v>7</v>
      </c>
      <c r="J13" s="1" t="s">
        <v>1275</v>
      </c>
      <c r="K13" s="1" t="s">
        <v>1276</v>
      </c>
      <c r="L13" s="1" t="s">
        <v>1275</v>
      </c>
      <c r="P13" s="1" t="s">
        <v>1269</v>
      </c>
      <c r="Q13" s="1">
        <v>2009</v>
      </c>
      <c r="R13" s="1" t="s">
        <v>1270</v>
      </c>
      <c r="S13" s="1" t="s">
        <v>27</v>
      </c>
      <c r="T13" s="38">
        <v>1</v>
      </c>
      <c r="AH13" s="1">
        <v>9.92</v>
      </c>
      <c r="AK13" s="1">
        <v>2.6936136159999999</v>
      </c>
      <c r="AL13" s="1">
        <v>2.8804169960000001</v>
      </c>
      <c r="AM13" s="1">
        <v>3.388886684</v>
      </c>
      <c r="AN13" s="1">
        <v>0.14944270400000001</v>
      </c>
    </row>
    <row r="14" spans="1:247" x14ac:dyDescent="0.2">
      <c r="A14" s="1" t="s">
        <v>1277</v>
      </c>
      <c r="B14" s="1" t="s">
        <v>55</v>
      </c>
      <c r="C14" s="1" t="s">
        <v>1278</v>
      </c>
      <c r="D14" s="1" t="s">
        <v>2</v>
      </c>
      <c r="E14" s="1">
        <v>13</v>
      </c>
      <c r="F14" s="1" t="s">
        <v>1279</v>
      </c>
      <c r="H14" s="1" t="s">
        <v>1280</v>
      </c>
      <c r="I14" s="1" t="s">
        <v>7</v>
      </c>
      <c r="J14" s="1" t="s">
        <v>1281</v>
      </c>
      <c r="K14" s="1" t="s">
        <v>1282</v>
      </c>
      <c r="L14" s="1" t="s">
        <v>1281</v>
      </c>
      <c r="M14" s="1" t="s">
        <v>1283</v>
      </c>
      <c r="N14" s="1" t="s">
        <v>1284</v>
      </c>
      <c r="O14" s="1">
        <v>6</v>
      </c>
      <c r="Q14" s="1">
        <v>2003</v>
      </c>
      <c r="R14" s="1" t="s">
        <v>1285</v>
      </c>
      <c r="S14" s="1" t="s">
        <v>27</v>
      </c>
      <c r="T14" s="38">
        <v>1</v>
      </c>
      <c r="U14" s="1">
        <v>0.48099999999999998</v>
      </c>
      <c r="V14" s="1">
        <v>423.6</v>
      </c>
      <c r="W14" s="1">
        <v>101.1</v>
      </c>
      <c r="Z14" s="1">
        <v>77.17</v>
      </c>
      <c r="AA14" s="1">
        <v>6.25</v>
      </c>
      <c r="AC14" s="1">
        <v>18.809999999999999</v>
      </c>
      <c r="AI14" s="1">
        <v>2.87</v>
      </c>
      <c r="AK14" s="1">
        <v>0.48566140000000002</v>
      </c>
      <c r="AL14" s="1">
        <v>0.55597640000000004</v>
      </c>
      <c r="AM14" s="1">
        <v>0.72335479999999996</v>
      </c>
      <c r="AV14" s="1">
        <v>1.05</v>
      </c>
    </row>
    <row r="15" spans="1:247" x14ac:dyDescent="0.2">
      <c r="A15" s="1" t="s">
        <v>1286</v>
      </c>
      <c r="B15" s="1" t="s">
        <v>55</v>
      </c>
      <c r="C15" s="1" t="s">
        <v>1287</v>
      </c>
      <c r="D15" s="1" t="s">
        <v>2</v>
      </c>
      <c r="E15" s="1">
        <v>33</v>
      </c>
      <c r="F15" s="1" t="s">
        <v>1288</v>
      </c>
      <c r="H15" s="1" t="s">
        <v>1289</v>
      </c>
      <c r="I15" s="1" t="s">
        <v>7</v>
      </c>
      <c r="J15" s="1" t="s">
        <v>1290</v>
      </c>
      <c r="K15" s="1" t="s">
        <v>1291</v>
      </c>
      <c r="L15" s="1" t="s">
        <v>1290</v>
      </c>
      <c r="M15" s="1" t="s">
        <v>1292</v>
      </c>
      <c r="N15" s="1" t="s">
        <v>1293</v>
      </c>
      <c r="P15" s="1" t="s">
        <v>6685</v>
      </c>
      <c r="Q15" s="1">
        <v>2008</v>
      </c>
      <c r="R15" s="1" t="s">
        <v>1294</v>
      </c>
      <c r="S15" s="1" t="s">
        <v>27</v>
      </c>
      <c r="T15" s="38">
        <v>1</v>
      </c>
      <c r="AH15" s="1">
        <v>6.5</v>
      </c>
      <c r="AK15" s="1">
        <v>1.65861215</v>
      </c>
      <c r="AL15" s="1">
        <v>1.53236577</v>
      </c>
      <c r="AM15" s="1">
        <v>1.58281695</v>
      </c>
      <c r="AN15" s="1">
        <v>1.1475867</v>
      </c>
      <c r="AY15" s="1">
        <v>61.65</v>
      </c>
      <c r="BF15" s="1">
        <v>2.577</v>
      </c>
      <c r="BG15" s="1" t="s">
        <v>1295</v>
      </c>
      <c r="BH15" s="1">
        <v>460.10300000000001</v>
      </c>
      <c r="BJ15" s="1">
        <v>32.577300000000001</v>
      </c>
      <c r="BK15" s="1">
        <v>5.3600000000000002E-2</v>
      </c>
      <c r="BM15" s="1">
        <v>77.525999999999996</v>
      </c>
      <c r="BP15" s="1">
        <v>374.98</v>
      </c>
      <c r="BS15" s="1">
        <v>29.4</v>
      </c>
      <c r="BW15" s="1">
        <v>0.28899999999999998</v>
      </c>
    </row>
    <row r="16" spans="1:247" x14ac:dyDescent="0.2">
      <c r="A16" s="1" t="s">
        <v>1296</v>
      </c>
      <c r="B16" s="1" t="s">
        <v>55</v>
      </c>
      <c r="C16" s="1" t="s">
        <v>1287</v>
      </c>
      <c r="D16" s="1" t="s">
        <v>2</v>
      </c>
      <c r="E16" s="1">
        <v>33</v>
      </c>
      <c r="F16" s="1" t="s">
        <v>1297</v>
      </c>
      <c r="H16" s="1" t="s">
        <v>1298</v>
      </c>
      <c r="I16" s="1" t="s">
        <v>7</v>
      </c>
      <c r="J16" s="1" t="s">
        <v>1299</v>
      </c>
      <c r="K16" s="1" t="s">
        <v>1300</v>
      </c>
      <c r="L16" s="1" t="s">
        <v>1299</v>
      </c>
      <c r="M16" s="1" t="s">
        <v>1292</v>
      </c>
      <c r="N16" s="1" t="s">
        <v>1301</v>
      </c>
      <c r="P16" s="1" t="s">
        <v>6685</v>
      </c>
      <c r="Q16" s="1">
        <v>2008</v>
      </c>
      <c r="R16" s="1" t="s">
        <v>1294</v>
      </c>
      <c r="S16" s="1" t="s">
        <v>27</v>
      </c>
      <c r="T16" s="38">
        <v>1</v>
      </c>
      <c r="AH16" s="1">
        <v>8.1</v>
      </c>
      <c r="AK16" s="1">
        <v>2.1004711899999999</v>
      </c>
      <c r="AL16" s="1">
        <v>2.12197266</v>
      </c>
      <c r="AM16" s="1">
        <v>1.8350392499999999</v>
      </c>
      <c r="AN16" s="1">
        <v>1.3568169000000001</v>
      </c>
      <c r="AY16" s="1">
        <v>19.515000000000001</v>
      </c>
      <c r="BF16" s="1">
        <v>22.468</v>
      </c>
      <c r="BG16" s="1" t="s">
        <v>1302</v>
      </c>
      <c r="BH16" s="1">
        <v>391.13900000000001</v>
      </c>
      <c r="BJ16" s="1">
        <v>21.940999999999999</v>
      </c>
      <c r="BK16" s="1">
        <v>0.64700000000000002</v>
      </c>
      <c r="BM16" s="1">
        <v>29.114000000000001</v>
      </c>
      <c r="BP16" s="1">
        <v>350.738</v>
      </c>
      <c r="BS16" s="1">
        <v>24</v>
      </c>
      <c r="BW16" s="1">
        <v>0.108</v>
      </c>
    </row>
    <row r="17" spans="1:163" x14ac:dyDescent="0.2">
      <c r="A17" s="1" t="s">
        <v>1303</v>
      </c>
      <c r="B17" s="1" t="s">
        <v>55</v>
      </c>
      <c r="C17" s="1" t="s">
        <v>1287</v>
      </c>
      <c r="D17" s="1" t="s">
        <v>2</v>
      </c>
      <c r="E17" s="1">
        <v>33</v>
      </c>
      <c r="F17" s="1" t="s">
        <v>1304</v>
      </c>
      <c r="H17" s="1" t="s">
        <v>1305</v>
      </c>
      <c r="I17" s="1" t="s">
        <v>7</v>
      </c>
      <c r="J17" s="1" t="s">
        <v>1306</v>
      </c>
      <c r="K17" s="1" t="s">
        <v>1307</v>
      </c>
      <c r="L17" s="1" t="s">
        <v>1306</v>
      </c>
      <c r="M17" s="1" t="s">
        <v>1292</v>
      </c>
      <c r="N17" s="1" t="s">
        <v>1308</v>
      </c>
      <c r="P17" s="1" t="s">
        <v>6685</v>
      </c>
      <c r="Q17" s="1">
        <v>2008</v>
      </c>
      <c r="R17" s="1" t="s">
        <v>1294</v>
      </c>
      <c r="S17" s="1" t="s">
        <v>27</v>
      </c>
      <c r="T17" s="38">
        <v>1</v>
      </c>
      <c r="AH17" s="1">
        <v>2.29</v>
      </c>
      <c r="AK17" s="1">
        <v>0.64615590840000003</v>
      </c>
      <c r="AL17" s="1">
        <v>0.53766582900000004</v>
      </c>
      <c r="AM17" s="1">
        <v>0.54663689400000004</v>
      </c>
      <c r="AN17" s="1">
        <v>0.26315124000000001</v>
      </c>
      <c r="AY17" s="1">
        <v>38.111800000000002</v>
      </c>
      <c r="BF17" s="1">
        <v>5.6662999999999997</v>
      </c>
      <c r="BG17" s="1" t="s">
        <v>1309</v>
      </c>
      <c r="BH17" s="1">
        <v>496.22250000000003</v>
      </c>
      <c r="BJ17" s="1">
        <v>33.230699999999999</v>
      </c>
      <c r="BK17" s="1">
        <v>3.0300000000000001E-2</v>
      </c>
      <c r="BM17" s="1">
        <v>49.772599999999997</v>
      </c>
      <c r="BP17" s="1">
        <v>351.94119999999998</v>
      </c>
      <c r="BS17" s="1">
        <v>28.5</v>
      </c>
      <c r="BW17" s="1">
        <v>0.48970000000000002</v>
      </c>
    </row>
    <row r="18" spans="1:163" x14ac:dyDescent="0.2">
      <c r="A18" s="1" t="s">
        <v>1310</v>
      </c>
      <c r="B18" s="1" t="s">
        <v>55</v>
      </c>
      <c r="C18" s="1" t="s">
        <v>1311</v>
      </c>
      <c r="D18" s="1" t="s">
        <v>2</v>
      </c>
      <c r="E18" s="1">
        <v>11</v>
      </c>
      <c r="F18" s="1" t="s">
        <v>1312</v>
      </c>
      <c r="H18" s="1" t="s">
        <v>1313</v>
      </c>
      <c r="I18" s="1" t="s">
        <v>7</v>
      </c>
      <c r="J18" s="1" t="s">
        <v>1314</v>
      </c>
      <c r="K18" s="1" t="s">
        <v>1315</v>
      </c>
      <c r="L18" s="1" t="s">
        <v>1314</v>
      </c>
      <c r="M18" s="1" t="s">
        <v>1316</v>
      </c>
      <c r="N18" s="1" t="s">
        <v>1317</v>
      </c>
      <c r="P18" s="1" t="s">
        <v>1269</v>
      </c>
      <c r="Q18" s="1">
        <v>2010</v>
      </c>
      <c r="R18" s="1" t="s">
        <v>1318</v>
      </c>
      <c r="S18" s="1" t="s">
        <v>27</v>
      </c>
      <c r="T18" s="38">
        <v>1</v>
      </c>
      <c r="Z18" s="1" t="s">
        <v>1319</v>
      </c>
      <c r="AA18" s="1">
        <v>6.25</v>
      </c>
      <c r="AC18" s="1" t="s">
        <v>1320</v>
      </c>
      <c r="AH18" s="1" t="s">
        <v>1321</v>
      </c>
      <c r="AK18" s="1">
        <v>2.642088218</v>
      </c>
      <c r="AL18" s="1">
        <v>5.2619740139999998</v>
      </c>
      <c r="AM18" s="1">
        <v>1.5228843089999999</v>
      </c>
      <c r="AV18" s="1" t="s">
        <v>1322</v>
      </c>
    </row>
    <row r="19" spans="1:163" x14ac:dyDescent="0.2">
      <c r="A19" s="1" t="s">
        <v>1323</v>
      </c>
      <c r="B19" s="1" t="s">
        <v>55</v>
      </c>
      <c r="C19" s="1" t="s">
        <v>1311</v>
      </c>
      <c r="D19" s="1" t="s">
        <v>2</v>
      </c>
      <c r="E19" s="1">
        <v>11</v>
      </c>
      <c r="F19" s="1" t="s">
        <v>1312</v>
      </c>
      <c r="H19" s="1" t="s">
        <v>1324</v>
      </c>
      <c r="I19" s="1" t="s">
        <v>11</v>
      </c>
      <c r="J19" s="1" t="s">
        <v>1314</v>
      </c>
      <c r="K19" s="1" t="s">
        <v>1315</v>
      </c>
      <c r="L19" s="1" t="s">
        <v>1314</v>
      </c>
      <c r="M19" s="1" t="s">
        <v>1316</v>
      </c>
      <c r="N19" s="1" t="s">
        <v>1325</v>
      </c>
      <c r="P19" s="1" t="s">
        <v>1269</v>
      </c>
      <c r="Q19" s="1">
        <v>2010</v>
      </c>
      <c r="R19" s="1" t="s">
        <v>1318</v>
      </c>
      <c r="S19" s="1" t="s">
        <v>27</v>
      </c>
      <c r="T19" s="38">
        <v>1</v>
      </c>
      <c r="Z19" s="1">
        <v>70.84</v>
      </c>
      <c r="AA19" s="1">
        <v>6.25</v>
      </c>
      <c r="AC19" s="1">
        <v>18.809999999999999</v>
      </c>
      <c r="AH19" s="1">
        <v>8.32</v>
      </c>
      <c r="AK19" s="1">
        <v>2.0504235959999999</v>
      </c>
      <c r="AL19" s="1">
        <v>3.81358978</v>
      </c>
      <c r="AM19" s="1">
        <v>1.176460064</v>
      </c>
      <c r="AV19" s="1">
        <v>1.25</v>
      </c>
    </row>
    <row r="20" spans="1:163" x14ac:dyDescent="0.2">
      <c r="A20" s="1" t="s">
        <v>1326</v>
      </c>
      <c r="B20" s="1" t="s">
        <v>55</v>
      </c>
      <c r="C20" s="1" t="s">
        <v>1311</v>
      </c>
      <c r="D20" s="1" t="s">
        <v>2</v>
      </c>
      <c r="E20" s="1">
        <v>11</v>
      </c>
      <c r="F20" s="1" t="s">
        <v>1312</v>
      </c>
      <c r="H20" s="1" t="s">
        <v>1327</v>
      </c>
      <c r="I20" s="1" t="s">
        <v>11</v>
      </c>
      <c r="J20" s="1" t="s">
        <v>1314</v>
      </c>
      <c r="K20" s="1" t="s">
        <v>1315</v>
      </c>
      <c r="L20" s="1" t="s">
        <v>1314</v>
      </c>
      <c r="M20" s="1" t="s">
        <v>1316</v>
      </c>
      <c r="N20" s="1" t="s">
        <v>1328</v>
      </c>
      <c r="P20" s="1" t="s">
        <v>1269</v>
      </c>
      <c r="Q20" s="1">
        <v>2010</v>
      </c>
      <c r="R20" s="1" t="s">
        <v>1318</v>
      </c>
      <c r="S20" s="1" t="s">
        <v>27</v>
      </c>
      <c r="T20" s="38">
        <v>1</v>
      </c>
      <c r="Z20" s="1" t="s">
        <v>1329</v>
      </c>
      <c r="AA20" s="1" t="s">
        <v>1330</v>
      </c>
      <c r="AC20" s="1" t="s">
        <v>1331</v>
      </c>
      <c r="AH20" s="1" t="s">
        <v>1332</v>
      </c>
      <c r="AK20" s="1">
        <v>1.88696639</v>
      </c>
      <c r="AL20" s="1">
        <v>3.5207853999999998</v>
      </c>
      <c r="AM20" s="1">
        <v>0.96821598499999995</v>
      </c>
      <c r="AV20" s="1" t="s">
        <v>1333</v>
      </c>
    </row>
    <row r="21" spans="1:163" x14ac:dyDescent="0.2">
      <c r="A21" s="1" t="s">
        <v>1334</v>
      </c>
      <c r="B21" s="1" t="s">
        <v>55</v>
      </c>
      <c r="C21" s="1" t="s">
        <v>1311</v>
      </c>
      <c r="D21" s="1" t="s">
        <v>2</v>
      </c>
      <c r="E21" s="1">
        <v>11</v>
      </c>
      <c r="F21" s="1" t="s">
        <v>1312</v>
      </c>
      <c r="H21" s="1" t="s">
        <v>1335</v>
      </c>
      <c r="I21" s="1" t="s">
        <v>11</v>
      </c>
      <c r="J21" s="1" t="s">
        <v>1314</v>
      </c>
      <c r="K21" s="1" t="s">
        <v>1315</v>
      </c>
      <c r="L21" s="1" t="s">
        <v>1314</v>
      </c>
      <c r="M21" s="1" t="s">
        <v>1316</v>
      </c>
      <c r="N21" s="1" t="s">
        <v>1336</v>
      </c>
      <c r="P21" s="1" t="s">
        <v>1269</v>
      </c>
      <c r="Q21" s="1">
        <v>2010</v>
      </c>
      <c r="R21" s="1" t="s">
        <v>1318</v>
      </c>
      <c r="S21" s="1" t="s">
        <v>27</v>
      </c>
      <c r="T21" s="38">
        <v>1</v>
      </c>
      <c r="Z21" s="1">
        <v>72.38</v>
      </c>
      <c r="AA21" s="1">
        <v>6.25</v>
      </c>
      <c r="AC21" s="1">
        <v>18.37</v>
      </c>
      <c r="AH21" s="1">
        <v>5.73</v>
      </c>
      <c r="AK21" s="1">
        <v>1.328348877</v>
      </c>
      <c r="AL21" s="1">
        <v>2.6353650850000001</v>
      </c>
      <c r="AM21" s="1">
        <v>0.78514628099999995</v>
      </c>
      <c r="AV21" s="1">
        <v>0.92</v>
      </c>
    </row>
    <row r="22" spans="1:163" x14ac:dyDescent="0.2">
      <c r="A22" s="1" t="s">
        <v>1337</v>
      </c>
      <c r="B22" s="1" t="s">
        <v>55</v>
      </c>
      <c r="C22" s="1" t="s">
        <v>1338</v>
      </c>
      <c r="D22" s="1" t="s">
        <v>2</v>
      </c>
      <c r="E22" s="1">
        <v>13</v>
      </c>
      <c r="F22" s="1" t="s">
        <v>1339</v>
      </c>
      <c r="H22" s="1" t="s">
        <v>1340</v>
      </c>
      <c r="I22" s="1" t="s">
        <v>7</v>
      </c>
      <c r="J22" s="1" t="s">
        <v>1267</v>
      </c>
      <c r="K22" s="1" t="s">
        <v>1268</v>
      </c>
      <c r="L22" s="1" t="s">
        <v>1267</v>
      </c>
      <c r="O22" s="1">
        <v>1</v>
      </c>
      <c r="P22" s="1" t="s">
        <v>1269</v>
      </c>
      <c r="Q22" s="1">
        <v>2008</v>
      </c>
      <c r="R22" s="1" t="s">
        <v>1341</v>
      </c>
      <c r="S22" s="1" t="s">
        <v>27</v>
      </c>
      <c r="T22" s="38">
        <v>1</v>
      </c>
      <c r="Z22" s="1">
        <v>83.57</v>
      </c>
      <c r="AC22" s="1">
        <v>13.6</v>
      </c>
      <c r="AG22" s="1">
        <v>160</v>
      </c>
      <c r="AH22" s="1">
        <v>1.84</v>
      </c>
      <c r="AK22" s="1">
        <v>0.704554444</v>
      </c>
      <c r="AL22" s="1">
        <v>0.54576609600000003</v>
      </c>
      <c r="AM22" s="1">
        <v>0.24471345999999999</v>
      </c>
      <c r="AV22" s="1">
        <v>1.25</v>
      </c>
      <c r="AY22" s="1">
        <v>8.0299999999999994</v>
      </c>
      <c r="BH22" s="1">
        <v>335.6</v>
      </c>
      <c r="BJ22" s="1">
        <v>12.08</v>
      </c>
      <c r="BM22" s="1">
        <v>387.5</v>
      </c>
      <c r="CB22" s="1">
        <v>0.03</v>
      </c>
      <c r="CV22" s="1">
        <v>0.22</v>
      </c>
      <c r="EW22" s="1">
        <v>29.3</v>
      </c>
      <c r="FG22" s="1">
        <v>0.41</v>
      </c>
    </row>
    <row r="23" spans="1:163" x14ac:dyDescent="0.2">
      <c r="A23" s="1" t="s">
        <v>1342</v>
      </c>
      <c r="B23" s="1" t="s">
        <v>55</v>
      </c>
      <c r="C23" s="1" t="s">
        <v>1343</v>
      </c>
      <c r="D23" s="1" t="s">
        <v>2</v>
      </c>
      <c r="E23" s="1">
        <v>13</v>
      </c>
      <c r="F23" s="1" t="s">
        <v>1265</v>
      </c>
      <c r="G23" s="1" t="s">
        <v>1344</v>
      </c>
      <c r="H23" s="1" t="s">
        <v>1345</v>
      </c>
      <c r="I23" s="1" t="s">
        <v>7</v>
      </c>
      <c r="J23" s="1" t="s">
        <v>1267</v>
      </c>
      <c r="K23" s="1" t="s">
        <v>1268</v>
      </c>
      <c r="L23" s="1" t="s">
        <v>1267</v>
      </c>
      <c r="Q23" s="1">
        <v>2010</v>
      </c>
      <c r="R23" s="1" t="s">
        <v>1346</v>
      </c>
      <c r="S23" s="1" t="s">
        <v>27</v>
      </c>
      <c r="T23" s="38">
        <v>1</v>
      </c>
      <c r="Z23" s="1">
        <v>82.3</v>
      </c>
      <c r="AC23" s="1">
        <v>13.8</v>
      </c>
      <c r="AH23" s="1">
        <v>3.2</v>
      </c>
      <c r="AV23" s="1">
        <v>1.2</v>
      </c>
    </row>
    <row r="24" spans="1:163" x14ac:dyDescent="0.2">
      <c r="A24" s="1" t="s">
        <v>1347</v>
      </c>
      <c r="B24" s="1" t="s">
        <v>55</v>
      </c>
      <c r="C24" s="1" t="s">
        <v>1343</v>
      </c>
      <c r="D24" s="1" t="s">
        <v>2</v>
      </c>
      <c r="E24" s="1">
        <v>13</v>
      </c>
      <c r="F24" s="1" t="s">
        <v>1265</v>
      </c>
      <c r="G24" s="1" t="s">
        <v>1344</v>
      </c>
      <c r="H24" s="1" t="s">
        <v>1348</v>
      </c>
      <c r="I24" s="1" t="s">
        <v>7</v>
      </c>
      <c r="J24" s="1" t="s">
        <v>1267</v>
      </c>
      <c r="K24" s="1" t="s">
        <v>1268</v>
      </c>
      <c r="L24" s="1" t="s">
        <v>1267</v>
      </c>
      <c r="P24" s="1" t="s">
        <v>1269</v>
      </c>
      <c r="Q24" s="1">
        <v>2010</v>
      </c>
      <c r="R24" s="1" t="s">
        <v>1346</v>
      </c>
      <c r="S24" s="1" t="s">
        <v>27</v>
      </c>
      <c r="T24" s="38">
        <v>1</v>
      </c>
      <c r="Z24" s="1">
        <v>82.7</v>
      </c>
      <c r="AC24" s="1">
        <v>13.3</v>
      </c>
      <c r="AH24" s="1">
        <v>2.9</v>
      </c>
      <c r="AK24" s="1">
        <v>0.9763887</v>
      </c>
      <c r="AL24" s="1">
        <v>0.98920220000000003</v>
      </c>
      <c r="AM24" s="1">
        <v>0.61248530000000001</v>
      </c>
      <c r="AV24" s="1">
        <v>0.8</v>
      </c>
    </row>
    <row r="25" spans="1:163" x14ac:dyDescent="0.2">
      <c r="A25" s="1" t="s">
        <v>1349</v>
      </c>
      <c r="B25" s="1" t="s">
        <v>55</v>
      </c>
      <c r="C25" s="1" t="s">
        <v>1343</v>
      </c>
      <c r="D25" s="1" t="s">
        <v>2</v>
      </c>
      <c r="E25" s="1">
        <v>13</v>
      </c>
      <c r="F25" s="1" t="s">
        <v>1265</v>
      </c>
      <c r="G25" s="1" t="s">
        <v>1344</v>
      </c>
      <c r="H25" s="1" t="s">
        <v>1348</v>
      </c>
      <c r="I25" s="1" t="s">
        <v>7</v>
      </c>
      <c r="J25" s="1" t="s">
        <v>1267</v>
      </c>
      <c r="K25" s="1" t="s">
        <v>1268</v>
      </c>
      <c r="L25" s="1" t="s">
        <v>1267</v>
      </c>
      <c r="P25" s="1" t="s">
        <v>1269</v>
      </c>
      <c r="Q25" s="1">
        <v>2010</v>
      </c>
      <c r="R25" s="1" t="s">
        <v>1346</v>
      </c>
      <c r="S25" s="1" t="s">
        <v>27</v>
      </c>
      <c r="T25" s="38">
        <v>1</v>
      </c>
      <c r="Z25" s="1">
        <v>82.2</v>
      </c>
      <c r="AC25" s="1">
        <v>14.2</v>
      </c>
      <c r="AH25" s="1">
        <v>1.7</v>
      </c>
      <c r="AK25" s="1">
        <v>0.54260560000000002</v>
      </c>
      <c r="AL25" s="1">
        <v>0.55703659999999999</v>
      </c>
      <c r="AM25" s="1">
        <v>0.34345779999999998</v>
      </c>
      <c r="AV25" s="1">
        <v>1.1000000000000001</v>
      </c>
    </row>
    <row r="26" spans="1:163" x14ac:dyDescent="0.2">
      <c r="A26" s="1" t="s">
        <v>1350</v>
      </c>
      <c r="B26" s="1" t="s">
        <v>55</v>
      </c>
      <c r="C26" s="1" t="s">
        <v>1343</v>
      </c>
      <c r="D26" s="1" t="s">
        <v>2</v>
      </c>
      <c r="E26" s="1">
        <v>13</v>
      </c>
      <c r="F26" s="1" t="s">
        <v>1265</v>
      </c>
      <c r="G26" s="1" t="s">
        <v>1344</v>
      </c>
      <c r="H26" s="1" t="s">
        <v>1351</v>
      </c>
      <c r="I26" s="1" t="s">
        <v>7</v>
      </c>
      <c r="J26" s="1" t="s">
        <v>1267</v>
      </c>
      <c r="K26" s="1" t="s">
        <v>1268</v>
      </c>
      <c r="L26" s="1" t="s">
        <v>1267</v>
      </c>
      <c r="Q26" s="1">
        <v>2010</v>
      </c>
      <c r="R26" s="1" t="s">
        <v>1346</v>
      </c>
      <c r="S26" s="1" t="s">
        <v>27</v>
      </c>
      <c r="T26" s="38">
        <v>1</v>
      </c>
      <c r="Z26" s="1">
        <v>83.3</v>
      </c>
      <c r="AC26" s="1">
        <v>13.5</v>
      </c>
      <c r="AH26" s="1">
        <v>1.8</v>
      </c>
      <c r="AV26" s="1">
        <v>1.1000000000000001</v>
      </c>
    </row>
    <row r="27" spans="1:163" x14ac:dyDescent="0.2">
      <c r="A27" s="1" t="s">
        <v>1352</v>
      </c>
      <c r="B27" s="1" t="s">
        <v>55</v>
      </c>
      <c r="C27" s="1" t="s">
        <v>1343</v>
      </c>
      <c r="D27" s="1" t="s">
        <v>2</v>
      </c>
      <c r="E27" s="1">
        <v>13</v>
      </c>
      <c r="F27" s="1" t="s">
        <v>1265</v>
      </c>
      <c r="G27" s="1" t="s">
        <v>1344</v>
      </c>
      <c r="H27" s="1" t="s">
        <v>1348</v>
      </c>
      <c r="I27" s="1" t="s">
        <v>7</v>
      </c>
      <c r="J27" s="1" t="s">
        <v>1267</v>
      </c>
      <c r="K27" s="1" t="s">
        <v>1268</v>
      </c>
      <c r="L27" s="1" t="s">
        <v>1267</v>
      </c>
      <c r="Q27" s="1">
        <v>2010</v>
      </c>
      <c r="R27" s="1" t="s">
        <v>1346</v>
      </c>
      <c r="S27" s="1" t="s">
        <v>27</v>
      </c>
      <c r="T27" s="38">
        <v>1</v>
      </c>
      <c r="Z27" s="1">
        <v>83.3</v>
      </c>
      <c r="AC27" s="1">
        <v>14.4</v>
      </c>
      <c r="AH27" s="1">
        <v>2</v>
      </c>
      <c r="AV27" s="1">
        <v>0.8</v>
      </c>
    </row>
    <row r="28" spans="1:163" x14ac:dyDescent="0.2">
      <c r="A28" s="1" t="s">
        <v>1353</v>
      </c>
      <c r="B28" s="1" t="s">
        <v>55</v>
      </c>
      <c r="C28" s="1" t="s">
        <v>1343</v>
      </c>
      <c r="D28" s="1" t="s">
        <v>2</v>
      </c>
      <c r="E28" s="1">
        <v>13</v>
      </c>
      <c r="F28" s="1" t="s">
        <v>1265</v>
      </c>
      <c r="G28" s="1" t="s">
        <v>1344</v>
      </c>
      <c r="H28" s="1" t="s">
        <v>1348</v>
      </c>
      <c r="I28" s="1" t="s">
        <v>7</v>
      </c>
      <c r="J28" s="1" t="s">
        <v>1267</v>
      </c>
      <c r="K28" s="1" t="s">
        <v>1268</v>
      </c>
      <c r="L28" s="1" t="s">
        <v>1267</v>
      </c>
      <c r="Q28" s="1">
        <v>2010</v>
      </c>
      <c r="R28" s="1" t="s">
        <v>1346</v>
      </c>
      <c r="S28" s="1" t="s">
        <v>27</v>
      </c>
      <c r="T28" s="38">
        <v>1</v>
      </c>
      <c r="Z28" s="1">
        <v>82.1</v>
      </c>
      <c r="AC28" s="1">
        <v>15.7</v>
      </c>
      <c r="AH28" s="1">
        <v>1.4</v>
      </c>
      <c r="AV28" s="1">
        <v>1.3</v>
      </c>
    </row>
    <row r="29" spans="1:163" x14ac:dyDescent="0.2">
      <c r="A29" s="1" t="s">
        <v>1354</v>
      </c>
      <c r="B29" s="1" t="s">
        <v>55</v>
      </c>
      <c r="C29" s="1" t="s">
        <v>1343</v>
      </c>
      <c r="D29" s="1" t="s">
        <v>2</v>
      </c>
      <c r="E29" s="1">
        <v>13</v>
      </c>
      <c r="F29" s="1" t="s">
        <v>1265</v>
      </c>
      <c r="G29" s="1" t="s">
        <v>1344</v>
      </c>
      <c r="H29" s="1" t="s">
        <v>1355</v>
      </c>
      <c r="I29" s="1" t="s">
        <v>7</v>
      </c>
      <c r="J29" s="1" t="s">
        <v>1267</v>
      </c>
      <c r="K29" s="1" t="s">
        <v>1268</v>
      </c>
      <c r="L29" s="1" t="s">
        <v>1267</v>
      </c>
      <c r="P29" s="1" t="s">
        <v>1269</v>
      </c>
      <c r="Q29" s="1">
        <v>2010</v>
      </c>
      <c r="R29" s="1" t="s">
        <v>1346</v>
      </c>
      <c r="S29" s="1" t="s">
        <v>27</v>
      </c>
      <c r="T29" s="38">
        <v>1</v>
      </c>
      <c r="Z29" s="1">
        <v>79.900000000000006</v>
      </c>
      <c r="AC29" s="1">
        <v>17.100000000000001</v>
      </c>
      <c r="AH29" s="1">
        <v>1.9</v>
      </c>
      <c r="AK29" s="1">
        <v>0.62417509999999998</v>
      </c>
      <c r="AL29" s="1">
        <v>0.60624840000000002</v>
      </c>
      <c r="AM29" s="1">
        <v>0.3943874</v>
      </c>
      <c r="AV29" s="1">
        <v>1</v>
      </c>
    </row>
    <row r="30" spans="1:163" x14ac:dyDescent="0.2">
      <c r="A30" s="1" t="s">
        <v>1356</v>
      </c>
      <c r="B30" s="1" t="s">
        <v>55</v>
      </c>
      <c r="C30" s="1" t="s">
        <v>1343</v>
      </c>
      <c r="D30" s="1" t="s">
        <v>2</v>
      </c>
      <c r="E30" s="1">
        <v>13</v>
      </c>
      <c r="F30" s="1" t="s">
        <v>1265</v>
      </c>
      <c r="G30" s="1" t="s">
        <v>1344</v>
      </c>
      <c r="H30" s="1" t="s">
        <v>1355</v>
      </c>
      <c r="I30" s="1" t="s">
        <v>7</v>
      </c>
      <c r="J30" s="1" t="s">
        <v>1267</v>
      </c>
      <c r="K30" s="1" t="s">
        <v>1268</v>
      </c>
      <c r="L30" s="1" t="s">
        <v>1267</v>
      </c>
      <c r="Q30" s="1">
        <v>2010</v>
      </c>
      <c r="R30" s="1" t="s">
        <v>1346</v>
      </c>
      <c r="S30" s="1" t="s">
        <v>27</v>
      </c>
      <c r="T30" s="38">
        <v>1</v>
      </c>
      <c r="Z30" s="1">
        <v>80</v>
      </c>
      <c r="AC30" s="1">
        <v>17.399999999999999</v>
      </c>
      <c r="AH30" s="1">
        <v>1.8</v>
      </c>
      <c r="AV30" s="1">
        <v>0.9</v>
      </c>
    </row>
    <row r="31" spans="1:163" x14ac:dyDescent="0.2">
      <c r="A31" s="1" t="s">
        <v>1357</v>
      </c>
      <c r="B31" s="1" t="s">
        <v>55</v>
      </c>
      <c r="C31" s="1" t="s">
        <v>1343</v>
      </c>
      <c r="D31" s="1" t="s">
        <v>2</v>
      </c>
      <c r="E31" s="1">
        <v>13</v>
      </c>
      <c r="F31" s="1" t="s">
        <v>1265</v>
      </c>
      <c r="G31" s="1" t="s">
        <v>1344</v>
      </c>
      <c r="H31" s="1" t="s">
        <v>1355</v>
      </c>
      <c r="I31" s="1" t="s">
        <v>7</v>
      </c>
      <c r="J31" s="1" t="s">
        <v>1267</v>
      </c>
      <c r="K31" s="1" t="s">
        <v>1268</v>
      </c>
      <c r="L31" s="1" t="s">
        <v>1267</v>
      </c>
      <c r="Q31" s="1">
        <v>2010</v>
      </c>
      <c r="R31" s="1" t="s">
        <v>1346</v>
      </c>
      <c r="S31" s="1" t="s">
        <v>27</v>
      </c>
      <c r="T31" s="38">
        <v>1</v>
      </c>
      <c r="Z31" s="1">
        <v>80.400000000000006</v>
      </c>
      <c r="AC31" s="1">
        <v>17</v>
      </c>
      <c r="AH31" s="1">
        <v>2.2999999999999998</v>
      </c>
      <c r="AV31" s="1">
        <v>0.8</v>
      </c>
    </row>
    <row r="32" spans="1:163" x14ac:dyDescent="0.2">
      <c r="A32" s="1" t="s">
        <v>1358</v>
      </c>
      <c r="B32" s="1" t="s">
        <v>55</v>
      </c>
      <c r="C32" s="1" t="s">
        <v>236</v>
      </c>
      <c r="D32" s="1" t="s">
        <v>2</v>
      </c>
      <c r="E32" s="1">
        <v>13</v>
      </c>
      <c r="F32" s="1" t="s">
        <v>1359</v>
      </c>
      <c r="H32" s="1" t="s">
        <v>1360</v>
      </c>
      <c r="I32" s="1" t="s">
        <v>7</v>
      </c>
      <c r="J32" s="1" t="s">
        <v>1361</v>
      </c>
      <c r="K32" s="1" t="s">
        <v>1362</v>
      </c>
      <c r="L32" s="1" t="s">
        <v>1361</v>
      </c>
      <c r="N32" s="1" t="s">
        <v>1363</v>
      </c>
      <c r="Q32" s="1">
        <v>1998</v>
      </c>
      <c r="R32" s="1" t="s">
        <v>1364</v>
      </c>
      <c r="S32" s="1" t="s">
        <v>27</v>
      </c>
      <c r="T32" s="38">
        <v>1</v>
      </c>
      <c r="Z32" s="1">
        <v>78.8</v>
      </c>
      <c r="AC32" s="1">
        <v>15.1</v>
      </c>
      <c r="AI32" s="1">
        <v>5.3</v>
      </c>
      <c r="AQ32" s="1">
        <v>0.4</v>
      </c>
      <c r="AV32" s="1">
        <v>0.9</v>
      </c>
      <c r="EW32" s="1">
        <v>59.1</v>
      </c>
    </row>
    <row r="33" spans="1:153" x14ac:dyDescent="0.2">
      <c r="A33" s="1" t="s">
        <v>1365</v>
      </c>
      <c r="B33" s="1" t="s">
        <v>55</v>
      </c>
      <c r="C33" s="1" t="s">
        <v>236</v>
      </c>
      <c r="D33" s="1" t="s">
        <v>2</v>
      </c>
      <c r="E33" s="1">
        <v>13</v>
      </c>
      <c r="F33" s="1" t="s">
        <v>1359</v>
      </c>
      <c r="H33" s="1" t="s">
        <v>1360</v>
      </c>
      <c r="I33" s="1" t="s">
        <v>7</v>
      </c>
      <c r="J33" s="1" t="s">
        <v>1361</v>
      </c>
      <c r="K33" s="1" t="s">
        <v>1362</v>
      </c>
      <c r="L33" s="1" t="s">
        <v>1361</v>
      </c>
      <c r="N33" s="1" t="s">
        <v>1363</v>
      </c>
      <c r="Q33" s="1">
        <v>1998</v>
      </c>
      <c r="R33" s="1" t="s">
        <v>1364</v>
      </c>
      <c r="S33" s="1" t="s">
        <v>27</v>
      </c>
      <c r="T33" s="38">
        <v>1</v>
      </c>
      <c r="Z33" s="1">
        <v>78.3</v>
      </c>
      <c r="AC33" s="1">
        <v>14.7</v>
      </c>
      <c r="AI33" s="1">
        <v>5.7</v>
      </c>
      <c r="AQ33" s="1">
        <v>0.9</v>
      </c>
      <c r="AV33" s="1">
        <v>0.9</v>
      </c>
      <c r="EW33" s="1">
        <v>57</v>
      </c>
    </row>
    <row r="34" spans="1:153" x14ac:dyDescent="0.2">
      <c r="A34" s="1" t="s">
        <v>1366</v>
      </c>
      <c r="B34" s="1" t="s">
        <v>55</v>
      </c>
      <c r="C34" s="1" t="s">
        <v>236</v>
      </c>
      <c r="D34" s="1" t="s">
        <v>2</v>
      </c>
      <c r="E34" s="1">
        <v>13</v>
      </c>
      <c r="F34" s="1" t="s">
        <v>1359</v>
      </c>
      <c r="H34" s="1" t="s">
        <v>1360</v>
      </c>
      <c r="I34" s="1" t="s">
        <v>7</v>
      </c>
      <c r="J34" s="1" t="s">
        <v>1361</v>
      </c>
      <c r="K34" s="1" t="s">
        <v>1362</v>
      </c>
      <c r="L34" s="1" t="s">
        <v>1361</v>
      </c>
      <c r="N34" s="1" t="s">
        <v>1363</v>
      </c>
      <c r="Q34" s="1">
        <v>1998</v>
      </c>
      <c r="R34" s="1" t="s">
        <v>1364</v>
      </c>
      <c r="S34" s="1" t="s">
        <v>27</v>
      </c>
      <c r="T34" s="38">
        <v>1</v>
      </c>
      <c r="Z34" s="1">
        <v>78.099999999999994</v>
      </c>
      <c r="AC34" s="1">
        <v>14.9</v>
      </c>
      <c r="AI34" s="1">
        <v>5.6</v>
      </c>
      <c r="AQ34" s="1">
        <v>0.7</v>
      </c>
      <c r="AV34" s="1">
        <v>0.9</v>
      </c>
      <c r="EW34" s="1">
        <v>58.9</v>
      </c>
    </row>
    <row r="35" spans="1:153" x14ac:dyDescent="0.2">
      <c r="A35" s="1" t="s">
        <v>1367</v>
      </c>
      <c r="B35" s="1" t="s">
        <v>55</v>
      </c>
      <c r="C35" s="1" t="s">
        <v>236</v>
      </c>
      <c r="D35" s="1" t="s">
        <v>2</v>
      </c>
      <c r="E35" s="1">
        <v>13</v>
      </c>
      <c r="F35" s="1" t="s">
        <v>1359</v>
      </c>
      <c r="H35" s="1" t="s">
        <v>1368</v>
      </c>
      <c r="I35" s="1" t="s">
        <v>11</v>
      </c>
      <c r="J35" s="1" t="s">
        <v>1361</v>
      </c>
      <c r="K35" s="1" t="s">
        <v>1362</v>
      </c>
      <c r="L35" s="1" t="s">
        <v>1361</v>
      </c>
      <c r="N35" s="1" t="s">
        <v>1369</v>
      </c>
      <c r="Q35" s="1">
        <v>1998</v>
      </c>
      <c r="R35" s="1" t="s">
        <v>1364</v>
      </c>
      <c r="S35" s="1" t="s">
        <v>27</v>
      </c>
      <c r="T35" s="38">
        <v>1</v>
      </c>
      <c r="Z35" s="1">
        <v>76.3</v>
      </c>
      <c r="AC35" s="1">
        <v>17.399999999999999</v>
      </c>
      <c r="AI35" s="1">
        <v>4.5999999999999996</v>
      </c>
      <c r="AQ35" s="1">
        <v>0.8</v>
      </c>
      <c r="AV35" s="1">
        <v>1</v>
      </c>
      <c r="EW35" s="1">
        <v>78.900000000000006</v>
      </c>
    </row>
    <row r="36" spans="1:153" x14ac:dyDescent="0.2">
      <c r="A36" s="1" t="s">
        <v>1370</v>
      </c>
      <c r="B36" s="1" t="s">
        <v>55</v>
      </c>
      <c r="C36" s="1" t="s">
        <v>236</v>
      </c>
      <c r="D36" s="1" t="s">
        <v>2</v>
      </c>
      <c r="E36" s="1">
        <v>13</v>
      </c>
      <c r="F36" s="1" t="s">
        <v>1359</v>
      </c>
      <c r="H36" s="1" t="s">
        <v>1371</v>
      </c>
      <c r="I36" s="1" t="s">
        <v>11</v>
      </c>
      <c r="J36" s="1" t="s">
        <v>1361</v>
      </c>
      <c r="K36" s="1" t="s">
        <v>1362</v>
      </c>
      <c r="L36" s="1" t="s">
        <v>1361</v>
      </c>
      <c r="N36" s="1" t="s">
        <v>1363</v>
      </c>
      <c r="Q36" s="1">
        <v>1998</v>
      </c>
      <c r="R36" s="1" t="s">
        <v>1364</v>
      </c>
      <c r="S36" s="1" t="s">
        <v>27</v>
      </c>
      <c r="T36" s="38">
        <v>1</v>
      </c>
      <c r="Z36" s="1">
        <v>75.099999999999994</v>
      </c>
      <c r="AC36" s="1">
        <v>18.399999999999999</v>
      </c>
      <c r="AI36" s="1">
        <v>4.9000000000000004</v>
      </c>
      <c r="AQ36" s="1">
        <v>0.8</v>
      </c>
      <c r="AV36" s="1">
        <v>0.9</v>
      </c>
      <c r="EW36" s="1">
        <v>80.7</v>
      </c>
    </row>
    <row r="37" spans="1:153" x14ac:dyDescent="0.2">
      <c r="A37" s="1" t="s">
        <v>1372</v>
      </c>
      <c r="B37" s="1" t="s">
        <v>55</v>
      </c>
      <c r="C37" s="1" t="s">
        <v>236</v>
      </c>
      <c r="D37" s="1" t="s">
        <v>2</v>
      </c>
      <c r="E37" s="1">
        <v>12</v>
      </c>
      <c r="F37" s="1" t="s">
        <v>1373</v>
      </c>
      <c r="H37" s="1" t="s">
        <v>1374</v>
      </c>
      <c r="I37" s="1" t="s">
        <v>7</v>
      </c>
      <c r="J37" s="1" t="s">
        <v>1375</v>
      </c>
      <c r="K37" s="1" t="s">
        <v>1376</v>
      </c>
      <c r="L37" s="1" t="s">
        <v>1375</v>
      </c>
      <c r="N37" s="1" t="s">
        <v>1377</v>
      </c>
      <c r="P37" s="1" t="s">
        <v>1269</v>
      </c>
      <c r="Q37" s="1">
        <v>2007</v>
      </c>
      <c r="R37" s="1" t="s">
        <v>1378</v>
      </c>
      <c r="S37" s="1" t="s">
        <v>27</v>
      </c>
      <c r="T37" s="38">
        <v>1</v>
      </c>
      <c r="U37" s="1">
        <v>0.312</v>
      </c>
      <c r="Z37" s="1">
        <v>76.3</v>
      </c>
      <c r="AA37" s="1">
        <v>6.25</v>
      </c>
      <c r="AC37" s="1">
        <v>17.399999999999999</v>
      </c>
      <c r="AI37" s="1">
        <v>0.97</v>
      </c>
      <c r="AV37" s="1">
        <v>1.08</v>
      </c>
    </row>
    <row r="38" spans="1:153" x14ac:dyDescent="0.2">
      <c r="A38" s="1" t="s">
        <v>1379</v>
      </c>
      <c r="B38" s="1" t="s">
        <v>55</v>
      </c>
      <c r="C38" s="1" t="s">
        <v>1380</v>
      </c>
      <c r="E38" s="1">
        <v>13</v>
      </c>
      <c r="F38" s="1" t="s">
        <v>1381</v>
      </c>
      <c r="G38" s="1" t="s">
        <v>1382</v>
      </c>
      <c r="H38" s="1" t="s">
        <v>1383</v>
      </c>
      <c r="I38" s="1" t="s">
        <v>7</v>
      </c>
      <c r="J38" s="1" t="s">
        <v>1384</v>
      </c>
      <c r="K38" s="1" t="s">
        <v>1385</v>
      </c>
      <c r="L38" s="1" t="s">
        <v>1384</v>
      </c>
      <c r="P38" s="1" t="s">
        <v>1386</v>
      </c>
      <c r="Q38" s="1">
        <v>1995</v>
      </c>
      <c r="R38" s="1" t="s">
        <v>1387</v>
      </c>
      <c r="S38" s="1" t="s">
        <v>27</v>
      </c>
      <c r="T38" s="38">
        <v>1</v>
      </c>
      <c r="AH38" s="1">
        <v>19.75</v>
      </c>
      <c r="AK38" s="1">
        <v>7.8003287639833703</v>
      </c>
      <c r="AM38" s="1">
        <v>2.4349941169273901</v>
      </c>
      <c r="AN38" s="1">
        <v>1.08882135387721</v>
      </c>
    </row>
    <row r="39" spans="1:153" x14ac:dyDescent="0.2">
      <c r="A39" s="1" t="s">
        <v>1388</v>
      </c>
      <c r="B39" s="1" t="s">
        <v>55</v>
      </c>
      <c r="C39" s="1" t="s">
        <v>1380</v>
      </c>
      <c r="E39" s="1">
        <v>11</v>
      </c>
      <c r="F39" s="1" t="s">
        <v>1389</v>
      </c>
      <c r="G39" s="1" t="s">
        <v>1390</v>
      </c>
      <c r="H39" s="1" t="s">
        <v>1391</v>
      </c>
      <c r="I39" s="1" t="s">
        <v>7</v>
      </c>
      <c r="J39" s="1" t="s">
        <v>1392</v>
      </c>
      <c r="K39" s="1" t="s">
        <v>1393</v>
      </c>
      <c r="L39" s="1" t="s">
        <v>1392</v>
      </c>
      <c r="P39" s="1" t="s">
        <v>1386</v>
      </c>
      <c r="Q39" s="1">
        <v>1995</v>
      </c>
      <c r="R39" s="1" t="s">
        <v>1387</v>
      </c>
      <c r="S39" s="1" t="s">
        <v>27</v>
      </c>
      <c r="T39" s="38">
        <v>1</v>
      </c>
      <c r="AH39" s="1">
        <v>1.19</v>
      </c>
      <c r="AK39" s="1">
        <v>0.25379851721706997</v>
      </c>
      <c r="AM39" s="1">
        <v>0.19352442647214699</v>
      </c>
      <c r="AN39" s="1">
        <v>5.1590289529099699E-2</v>
      </c>
    </row>
    <row r="40" spans="1:153" x14ac:dyDescent="0.2">
      <c r="A40" s="1" t="s">
        <v>1394</v>
      </c>
      <c r="B40" s="1" t="s">
        <v>55</v>
      </c>
      <c r="C40" s="1" t="s">
        <v>1380</v>
      </c>
      <c r="E40" s="1">
        <v>13</v>
      </c>
      <c r="G40" s="1" t="s">
        <v>1395</v>
      </c>
      <c r="H40" s="1" t="s">
        <v>1396</v>
      </c>
      <c r="I40" s="1" t="s">
        <v>7</v>
      </c>
      <c r="J40" s="1" t="s">
        <v>1397</v>
      </c>
      <c r="L40" s="1" t="s">
        <v>1398</v>
      </c>
      <c r="P40" s="1" t="s">
        <v>1386</v>
      </c>
      <c r="Q40" s="1">
        <v>1995</v>
      </c>
      <c r="R40" s="1" t="s">
        <v>1387</v>
      </c>
      <c r="S40" s="1" t="s">
        <v>27</v>
      </c>
      <c r="T40" s="38">
        <v>1</v>
      </c>
      <c r="AH40" s="1">
        <v>0.7</v>
      </c>
      <c r="AK40" s="1">
        <v>0.185520277662266</v>
      </c>
      <c r="AM40" s="1">
        <v>9.5246141857895802E-2</v>
      </c>
      <c r="AN40" s="1">
        <v>8.0512829131896793E-2</v>
      </c>
    </row>
    <row r="41" spans="1:153" x14ac:dyDescent="0.2">
      <c r="A41" s="1" t="s">
        <v>1399</v>
      </c>
      <c r="B41" s="1" t="s">
        <v>55</v>
      </c>
      <c r="C41" s="1" t="s">
        <v>1380</v>
      </c>
      <c r="E41" s="1">
        <v>13</v>
      </c>
      <c r="F41" s="1" t="s">
        <v>1400</v>
      </c>
      <c r="G41" s="1" t="s">
        <v>1401</v>
      </c>
      <c r="H41" s="1" t="s">
        <v>1402</v>
      </c>
      <c r="I41" s="1" t="s">
        <v>7</v>
      </c>
      <c r="J41" s="1" t="s">
        <v>1403</v>
      </c>
      <c r="K41" s="1" t="s">
        <v>1404</v>
      </c>
      <c r="L41" s="1" t="s">
        <v>1403</v>
      </c>
      <c r="P41" s="1" t="s">
        <v>1386</v>
      </c>
      <c r="Q41" s="1">
        <v>1995</v>
      </c>
      <c r="R41" s="1" t="s">
        <v>1387</v>
      </c>
      <c r="S41" s="1" t="s">
        <v>27</v>
      </c>
      <c r="T41" s="38">
        <v>1</v>
      </c>
      <c r="AH41" s="1">
        <v>3.18</v>
      </c>
      <c r="AK41" s="1">
        <v>1.0455276307038901</v>
      </c>
      <c r="AM41" s="1">
        <v>0.76984473618262395</v>
      </c>
      <c r="AN41" s="1">
        <v>0.16795751413801999</v>
      </c>
    </row>
    <row r="42" spans="1:153" x14ac:dyDescent="0.2">
      <c r="A42" s="1" t="s">
        <v>1405</v>
      </c>
      <c r="B42" s="1" t="s">
        <v>55</v>
      </c>
      <c r="C42" s="1" t="s">
        <v>1380</v>
      </c>
      <c r="E42" s="1">
        <v>33</v>
      </c>
      <c r="F42" s="1" t="s">
        <v>1406</v>
      </c>
      <c r="G42" s="1" t="s">
        <v>1407</v>
      </c>
      <c r="H42" s="1" t="s">
        <v>1408</v>
      </c>
      <c r="I42" s="1" t="s">
        <v>7</v>
      </c>
      <c r="J42" s="1" t="s">
        <v>1409</v>
      </c>
      <c r="K42" s="1" t="s">
        <v>1410</v>
      </c>
      <c r="L42" s="1" t="s">
        <v>1409</v>
      </c>
      <c r="P42" s="1" t="s">
        <v>1386</v>
      </c>
      <c r="Q42" s="1">
        <v>1995</v>
      </c>
      <c r="R42" s="1" t="s">
        <v>1387</v>
      </c>
      <c r="S42" s="1" t="s">
        <v>27</v>
      </c>
      <c r="T42" s="38">
        <v>1</v>
      </c>
      <c r="AH42" s="1">
        <v>0.69</v>
      </c>
      <c r="AK42" s="1">
        <v>0.193904175532123</v>
      </c>
      <c r="AM42" s="1">
        <v>0.13741522192809</v>
      </c>
      <c r="AN42" s="1">
        <v>7.2413724958178702E-2</v>
      </c>
    </row>
    <row r="43" spans="1:153" x14ac:dyDescent="0.2">
      <c r="A43" s="1" t="s">
        <v>1411</v>
      </c>
      <c r="B43" s="1" t="s">
        <v>55</v>
      </c>
      <c r="C43" s="1" t="s">
        <v>1380</v>
      </c>
      <c r="E43" s="1">
        <v>13</v>
      </c>
      <c r="F43" s="1" t="s">
        <v>1412</v>
      </c>
      <c r="G43" s="1" t="s">
        <v>1413</v>
      </c>
      <c r="H43" s="1" t="s">
        <v>1414</v>
      </c>
      <c r="I43" s="1" t="s">
        <v>7</v>
      </c>
      <c r="J43" s="1" t="s">
        <v>1415</v>
      </c>
      <c r="K43" s="1" t="s">
        <v>1416</v>
      </c>
      <c r="L43" s="1" t="s">
        <v>1415</v>
      </c>
      <c r="P43" s="1" t="s">
        <v>1386</v>
      </c>
      <c r="Q43" s="1">
        <v>1995</v>
      </c>
      <c r="R43" s="1" t="s">
        <v>1387</v>
      </c>
      <c r="S43" s="1" t="s">
        <v>27</v>
      </c>
      <c r="T43" s="38">
        <v>1</v>
      </c>
      <c r="AH43" s="1">
        <v>3.68</v>
      </c>
      <c r="AK43" s="1">
        <v>1.49409894394645</v>
      </c>
      <c r="AM43" s="1">
        <v>0.66525226283294103</v>
      </c>
      <c r="AN43" s="1">
        <v>8.0756323984750203E-2</v>
      </c>
    </row>
    <row r="44" spans="1:153" x14ac:dyDescent="0.2">
      <c r="A44" s="1" t="s">
        <v>1417</v>
      </c>
      <c r="B44" s="1" t="s">
        <v>55</v>
      </c>
      <c r="C44" s="1" t="s">
        <v>1380</v>
      </c>
      <c r="E44" s="1">
        <v>13</v>
      </c>
      <c r="F44" s="1" t="s">
        <v>1418</v>
      </c>
      <c r="G44" s="1" t="s">
        <v>1419</v>
      </c>
      <c r="H44" s="1" t="s">
        <v>1420</v>
      </c>
      <c r="I44" s="1" t="s">
        <v>7</v>
      </c>
      <c r="J44" s="1" t="s">
        <v>1421</v>
      </c>
      <c r="K44" s="1" t="s">
        <v>1422</v>
      </c>
      <c r="L44" s="1" t="s">
        <v>1421</v>
      </c>
      <c r="P44" s="1" t="s">
        <v>1386</v>
      </c>
      <c r="Q44" s="1">
        <v>1995</v>
      </c>
      <c r="R44" s="1" t="s">
        <v>1387</v>
      </c>
      <c r="S44" s="1" t="s">
        <v>27</v>
      </c>
      <c r="T44" s="38">
        <v>1</v>
      </c>
      <c r="AH44" s="1">
        <v>0.88</v>
      </c>
      <c r="AK44" s="1">
        <v>0.34612028038398301</v>
      </c>
      <c r="AM44" s="1">
        <v>0.21067936335854801</v>
      </c>
      <c r="AN44" s="1">
        <v>1.9336200525773201E-2</v>
      </c>
    </row>
    <row r="45" spans="1:153" x14ac:dyDescent="0.2">
      <c r="A45" s="1" t="s">
        <v>1423</v>
      </c>
      <c r="B45" s="1" t="s">
        <v>55</v>
      </c>
      <c r="C45" s="1" t="s">
        <v>1380</v>
      </c>
      <c r="E45" s="1">
        <v>13</v>
      </c>
      <c r="F45" s="1" t="s">
        <v>1424</v>
      </c>
      <c r="G45" s="1" t="s">
        <v>1425</v>
      </c>
      <c r="H45" s="1" t="s">
        <v>1396</v>
      </c>
      <c r="I45" s="1" t="s">
        <v>7</v>
      </c>
      <c r="J45" s="1" t="s">
        <v>1426</v>
      </c>
      <c r="L45" s="1" t="s">
        <v>1427</v>
      </c>
      <c r="P45" s="1" t="s">
        <v>1386</v>
      </c>
      <c r="Q45" s="1">
        <v>1995</v>
      </c>
      <c r="R45" s="1" t="s">
        <v>1387</v>
      </c>
      <c r="S45" s="1" t="s">
        <v>27</v>
      </c>
      <c r="T45" s="38">
        <v>1</v>
      </c>
      <c r="AH45" s="1">
        <v>2.98</v>
      </c>
      <c r="AK45" s="1">
        <v>0.99420594622678604</v>
      </c>
      <c r="AM45" s="1">
        <v>1.17710728661372</v>
      </c>
      <c r="AN45" s="1">
        <v>5.2320732817454801E-4</v>
      </c>
    </row>
    <row r="46" spans="1:153" x14ac:dyDescent="0.2">
      <c r="A46" s="1" t="s">
        <v>1428</v>
      </c>
      <c r="B46" s="1" t="s">
        <v>55</v>
      </c>
      <c r="C46" s="1" t="s">
        <v>1380</v>
      </c>
      <c r="E46" s="1">
        <v>13</v>
      </c>
      <c r="F46" s="1" t="s">
        <v>1429</v>
      </c>
      <c r="G46" s="1" t="s">
        <v>1430</v>
      </c>
      <c r="H46" s="1" t="s">
        <v>1396</v>
      </c>
      <c r="I46" s="1" t="s">
        <v>7</v>
      </c>
      <c r="J46" s="1" t="s">
        <v>1431</v>
      </c>
      <c r="P46" s="1" t="s">
        <v>1386</v>
      </c>
      <c r="Q46" s="1">
        <v>1995</v>
      </c>
      <c r="R46" s="1" t="s">
        <v>1387</v>
      </c>
      <c r="S46" s="1" t="s">
        <v>27</v>
      </c>
      <c r="T46" s="38">
        <v>1</v>
      </c>
      <c r="AH46" s="1">
        <v>5.5</v>
      </c>
      <c r="AK46" s="1">
        <v>1.98462092979968</v>
      </c>
      <c r="AM46" s="1">
        <v>0.53505910706954096</v>
      </c>
      <c r="AN46" s="1">
        <v>0.14421573393893</v>
      </c>
    </row>
    <row r="47" spans="1:153" x14ac:dyDescent="0.2">
      <c r="A47" s="1" t="s">
        <v>1432</v>
      </c>
      <c r="B47" s="1" t="s">
        <v>55</v>
      </c>
      <c r="C47" s="1" t="s">
        <v>1380</v>
      </c>
      <c r="E47" s="1">
        <v>13</v>
      </c>
      <c r="F47" s="1" t="s">
        <v>1433</v>
      </c>
      <c r="G47" s="1" t="s">
        <v>1434</v>
      </c>
      <c r="H47" s="1" t="s">
        <v>1435</v>
      </c>
      <c r="I47" s="1" t="s">
        <v>7</v>
      </c>
      <c r="J47" s="1" t="s">
        <v>1436</v>
      </c>
      <c r="K47" s="1" t="s">
        <v>1434</v>
      </c>
      <c r="L47" s="1" t="s">
        <v>1437</v>
      </c>
      <c r="P47" s="1" t="s">
        <v>1386</v>
      </c>
      <c r="Q47" s="1">
        <v>1995</v>
      </c>
      <c r="R47" s="1" t="s">
        <v>1387</v>
      </c>
      <c r="S47" s="1" t="s">
        <v>27</v>
      </c>
      <c r="T47" s="38">
        <v>1</v>
      </c>
      <c r="AH47" s="1">
        <v>18.309999999999999</v>
      </c>
      <c r="AK47" s="1">
        <v>7.4436766368622704</v>
      </c>
      <c r="AM47" s="1">
        <v>1.2680497837824101</v>
      </c>
      <c r="AN47" s="1">
        <v>0.232599370951481</v>
      </c>
    </row>
    <row r="48" spans="1:153" x14ac:dyDescent="0.2">
      <c r="A48" s="1" t="s">
        <v>1438</v>
      </c>
      <c r="B48" s="1" t="s">
        <v>55</v>
      </c>
      <c r="C48" s="1" t="s">
        <v>1380</v>
      </c>
      <c r="E48" s="1">
        <v>13</v>
      </c>
      <c r="G48" s="1" t="s">
        <v>1439</v>
      </c>
      <c r="H48" s="1" t="s">
        <v>1396</v>
      </c>
      <c r="I48" s="1" t="s">
        <v>7</v>
      </c>
      <c r="J48" s="1" t="s">
        <v>1440</v>
      </c>
      <c r="L48" s="1" t="s">
        <v>1441</v>
      </c>
      <c r="P48" s="1" t="s">
        <v>1386</v>
      </c>
      <c r="Q48" s="1">
        <v>1995</v>
      </c>
      <c r="R48" s="1" t="s">
        <v>1387</v>
      </c>
      <c r="S48" s="1" t="s">
        <v>27</v>
      </c>
      <c r="T48" s="38">
        <v>1</v>
      </c>
      <c r="AH48" s="1">
        <v>9.17</v>
      </c>
      <c r="AK48" s="1">
        <v>2.8368684411876002</v>
      </c>
      <c r="AM48" s="1">
        <v>0.579684017970032</v>
      </c>
      <c r="AN48" s="1">
        <v>0.622176812689893</v>
      </c>
    </row>
    <row r="49" spans="1:48" x14ac:dyDescent="0.2">
      <c r="A49" s="1" t="s">
        <v>1442</v>
      </c>
      <c r="B49" s="1" t="s">
        <v>55</v>
      </c>
      <c r="C49" s="1" t="s">
        <v>1380</v>
      </c>
      <c r="E49" s="1">
        <v>13</v>
      </c>
      <c r="F49" s="1" t="s">
        <v>1443</v>
      </c>
      <c r="G49" s="1" t="s">
        <v>1444</v>
      </c>
      <c r="H49" s="1" t="s">
        <v>1396</v>
      </c>
      <c r="I49" s="1" t="s">
        <v>7</v>
      </c>
      <c r="J49" s="1" t="s">
        <v>1445</v>
      </c>
      <c r="L49" s="1" t="s">
        <v>1445</v>
      </c>
      <c r="P49" s="1" t="s">
        <v>1386</v>
      </c>
      <c r="Q49" s="1">
        <v>1995</v>
      </c>
      <c r="R49" s="1" t="s">
        <v>1387</v>
      </c>
      <c r="S49" s="1" t="s">
        <v>27</v>
      </c>
      <c r="T49" s="38">
        <v>1</v>
      </c>
      <c r="AH49" s="1">
        <v>2.6</v>
      </c>
      <c r="AK49" s="1">
        <v>0.69543012134510596</v>
      </c>
      <c r="AM49" s="1">
        <v>0.39319180253761699</v>
      </c>
      <c r="AN49" s="1">
        <v>0.21225378284513299</v>
      </c>
    </row>
    <row r="50" spans="1:48" x14ac:dyDescent="0.2">
      <c r="A50" s="1" t="s">
        <v>1446</v>
      </c>
      <c r="B50" s="1" t="s">
        <v>55</v>
      </c>
      <c r="C50" s="1" t="s">
        <v>1380</v>
      </c>
      <c r="E50" s="1">
        <v>13</v>
      </c>
      <c r="F50" s="1" t="s">
        <v>1447</v>
      </c>
      <c r="G50" s="1" t="s">
        <v>1448</v>
      </c>
      <c r="H50" s="1" t="s">
        <v>1449</v>
      </c>
      <c r="I50" s="1" t="s">
        <v>7</v>
      </c>
      <c r="J50" s="1" t="s">
        <v>1450</v>
      </c>
      <c r="K50" s="1" t="s">
        <v>1451</v>
      </c>
      <c r="L50" s="1" t="s">
        <v>1450</v>
      </c>
      <c r="P50" s="1" t="s">
        <v>1386</v>
      </c>
      <c r="Q50" s="1">
        <v>1995</v>
      </c>
      <c r="R50" s="1" t="s">
        <v>1387</v>
      </c>
      <c r="S50" s="1" t="s">
        <v>27</v>
      </c>
      <c r="T50" s="38">
        <v>1</v>
      </c>
      <c r="AH50" s="1">
        <v>1.27</v>
      </c>
      <c r="AK50" s="1">
        <v>0.39463500430358101</v>
      </c>
      <c r="AM50" s="1">
        <v>0.216323536438665</v>
      </c>
      <c r="AN50" s="1">
        <v>0.13251248960661799</v>
      </c>
    </row>
    <row r="51" spans="1:48" x14ac:dyDescent="0.2">
      <c r="A51" s="1" t="s">
        <v>1452</v>
      </c>
      <c r="B51" s="1" t="s">
        <v>55</v>
      </c>
      <c r="C51" s="1" t="s">
        <v>1380</v>
      </c>
      <c r="E51" s="1">
        <v>13</v>
      </c>
      <c r="G51" s="1" t="s">
        <v>1453</v>
      </c>
      <c r="H51" s="1" t="s">
        <v>1396</v>
      </c>
      <c r="I51" s="1" t="s">
        <v>7</v>
      </c>
      <c r="J51" s="1" t="s">
        <v>1454</v>
      </c>
      <c r="L51" s="1" t="s">
        <v>1455</v>
      </c>
      <c r="P51" s="1" t="s">
        <v>1386</v>
      </c>
      <c r="Q51" s="1">
        <v>1995</v>
      </c>
      <c r="R51" s="1" t="s">
        <v>1387</v>
      </c>
      <c r="S51" s="1" t="s">
        <v>27</v>
      </c>
      <c r="T51" s="38">
        <v>1</v>
      </c>
      <c r="AH51" s="1">
        <v>0.7</v>
      </c>
      <c r="AK51" s="1">
        <v>0.171063396039393</v>
      </c>
      <c r="AM51" s="1">
        <v>0.11198243364303399</v>
      </c>
      <c r="AN51" s="1">
        <v>4.9890147442175702E-2</v>
      </c>
    </row>
    <row r="52" spans="1:48" x14ac:dyDescent="0.2">
      <c r="A52" s="1" t="s">
        <v>1456</v>
      </c>
      <c r="B52" s="1" t="s">
        <v>55</v>
      </c>
      <c r="C52" s="1" t="s">
        <v>1380</v>
      </c>
      <c r="E52" s="1">
        <v>12</v>
      </c>
      <c r="F52" s="1" t="s">
        <v>1373</v>
      </c>
      <c r="G52" s="1" t="s">
        <v>1457</v>
      </c>
      <c r="H52" s="1" t="s">
        <v>1458</v>
      </c>
      <c r="I52" s="1" t="s">
        <v>7</v>
      </c>
      <c r="J52" s="1" t="s">
        <v>1375</v>
      </c>
      <c r="K52" s="1" t="s">
        <v>1376</v>
      </c>
      <c r="L52" s="1" t="s">
        <v>1375</v>
      </c>
      <c r="P52" s="1" t="s">
        <v>1386</v>
      </c>
      <c r="Q52" s="1">
        <v>1995</v>
      </c>
      <c r="R52" s="1" t="s">
        <v>1387</v>
      </c>
      <c r="S52" s="1" t="s">
        <v>27</v>
      </c>
      <c r="T52" s="38">
        <v>1</v>
      </c>
      <c r="AH52" s="1">
        <v>2.86</v>
      </c>
      <c r="AK52" s="1">
        <v>0.97185486109956398</v>
      </c>
      <c r="AM52" s="1">
        <v>0.414154931589931</v>
      </c>
      <c r="AN52" s="1">
        <v>2.15795390840294E-2</v>
      </c>
    </row>
    <row r="53" spans="1:48" x14ac:dyDescent="0.2">
      <c r="A53" s="1" t="s">
        <v>1459</v>
      </c>
      <c r="B53" s="1" t="s">
        <v>55</v>
      </c>
      <c r="C53" s="1" t="s">
        <v>1380</v>
      </c>
      <c r="E53" s="1">
        <v>13</v>
      </c>
      <c r="G53" s="1" t="s">
        <v>1460</v>
      </c>
      <c r="H53" s="1" t="s">
        <v>1396</v>
      </c>
      <c r="I53" s="1" t="s">
        <v>7</v>
      </c>
      <c r="J53" s="1" t="s">
        <v>1461</v>
      </c>
      <c r="L53" s="1" t="s">
        <v>1462</v>
      </c>
      <c r="P53" s="1" t="s">
        <v>1386</v>
      </c>
      <c r="Q53" s="1">
        <v>1995</v>
      </c>
      <c r="R53" s="1" t="s">
        <v>1387</v>
      </c>
      <c r="S53" s="1" t="s">
        <v>27</v>
      </c>
      <c r="T53" s="38">
        <v>1</v>
      </c>
      <c r="AH53" s="1">
        <v>0.27</v>
      </c>
      <c r="AK53" s="1">
        <v>3.92805385316186E-2</v>
      </c>
      <c r="AM53" s="1">
        <v>2.52797620612101E-2</v>
      </c>
      <c r="AN53" s="1">
        <v>3.6980393396536797E-2</v>
      </c>
    </row>
    <row r="54" spans="1:48" x14ac:dyDescent="0.2">
      <c r="A54" s="1" t="s">
        <v>1463</v>
      </c>
      <c r="B54" s="1" t="s">
        <v>55</v>
      </c>
      <c r="C54" s="1" t="s">
        <v>1380</v>
      </c>
      <c r="E54" s="1">
        <v>23</v>
      </c>
      <c r="F54" s="1" t="s">
        <v>1464</v>
      </c>
      <c r="G54" s="1" t="s">
        <v>1465</v>
      </c>
      <c r="H54" s="1" t="s">
        <v>1396</v>
      </c>
      <c r="I54" s="1" t="s">
        <v>7</v>
      </c>
      <c r="J54" s="1" t="s">
        <v>1466</v>
      </c>
      <c r="K54" s="1" t="s">
        <v>1467</v>
      </c>
      <c r="L54" s="1" t="s">
        <v>1468</v>
      </c>
      <c r="P54" s="1" t="s">
        <v>1386</v>
      </c>
      <c r="Q54" s="1">
        <v>1995</v>
      </c>
      <c r="R54" s="1" t="s">
        <v>1387</v>
      </c>
      <c r="S54" s="1" t="s">
        <v>27</v>
      </c>
      <c r="T54" s="38">
        <v>1</v>
      </c>
      <c r="AH54" s="1">
        <v>6.42</v>
      </c>
      <c r="AK54" s="1">
        <v>1.7601970458709899</v>
      </c>
      <c r="AM54" s="1">
        <v>1.7302756624973299</v>
      </c>
      <c r="AN54" s="1">
        <v>0.30014149664531198</v>
      </c>
    </row>
    <row r="55" spans="1:48" x14ac:dyDescent="0.2">
      <c r="A55" s="1" t="s">
        <v>1469</v>
      </c>
      <c r="B55" s="1" t="s">
        <v>55</v>
      </c>
      <c r="C55" s="1" t="s">
        <v>1470</v>
      </c>
      <c r="D55" s="1" t="s">
        <v>2</v>
      </c>
      <c r="E55" s="1">
        <v>23</v>
      </c>
      <c r="F55" s="1" t="s">
        <v>1471</v>
      </c>
      <c r="H55" s="1" t="s">
        <v>1472</v>
      </c>
      <c r="I55" s="1" t="s">
        <v>7</v>
      </c>
      <c r="J55" s="1" t="s">
        <v>1473</v>
      </c>
      <c r="K55" s="1" t="s">
        <v>1474</v>
      </c>
      <c r="L55" s="1" t="s">
        <v>1473</v>
      </c>
      <c r="N55" s="1" t="s">
        <v>1475</v>
      </c>
      <c r="O55" s="1">
        <v>1</v>
      </c>
      <c r="Q55" s="1">
        <v>2004</v>
      </c>
      <c r="R55" s="1" t="s">
        <v>1476</v>
      </c>
      <c r="S55" s="1" t="s">
        <v>27</v>
      </c>
      <c r="T55" s="38">
        <v>1</v>
      </c>
      <c r="Z55" s="1">
        <v>73.38</v>
      </c>
      <c r="AA55" s="1">
        <v>6.2</v>
      </c>
      <c r="AC55" s="1">
        <v>19.8</v>
      </c>
      <c r="AI55" s="1">
        <v>3.44</v>
      </c>
      <c r="AV55" s="1">
        <v>1.35</v>
      </c>
    </row>
    <row r="56" spans="1:48" x14ac:dyDescent="0.2">
      <c r="A56" s="1" t="s">
        <v>1477</v>
      </c>
      <c r="B56" s="1" t="s">
        <v>55</v>
      </c>
      <c r="C56" s="1" t="s">
        <v>1470</v>
      </c>
      <c r="D56" s="1" t="s">
        <v>2</v>
      </c>
      <c r="E56" s="1">
        <v>23</v>
      </c>
      <c r="F56" s="1" t="s">
        <v>1471</v>
      </c>
      <c r="H56" s="1" t="s">
        <v>1478</v>
      </c>
      <c r="I56" s="1" t="s">
        <v>11</v>
      </c>
      <c r="J56" s="1" t="s">
        <v>1473</v>
      </c>
      <c r="K56" s="1" t="s">
        <v>1474</v>
      </c>
      <c r="L56" s="1" t="s">
        <v>1473</v>
      </c>
      <c r="N56" s="1" t="s">
        <v>1479</v>
      </c>
      <c r="O56" s="1">
        <v>1</v>
      </c>
      <c r="Q56" s="1">
        <v>2004</v>
      </c>
      <c r="R56" s="1" t="s">
        <v>1476</v>
      </c>
      <c r="S56" s="1" t="s">
        <v>27</v>
      </c>
      <c r="T56" s="38">
        <v>1</v>
      </c>
      <c r="Z56" s="1" t="s">
        <v>1480</v>
      </c>
      <c r="AA56" s="1">
        <v>6.2</v>
      </c>
      <c r="AC56" s="1" t="s">
        <v>1481</v>
      </c>
      <c r="AI56" s="1" t="s">
        <v>1482</v>
      </c>
      <c r="AV56" s="1" t="s">
        <v>1483</v>
      </c>
    </row>
    <row r="57" spans="1:48" x14ac:dyDescent="0.2">
      <c r="A57" s="1" t="s">
        <v>1484</v>
      </c>
      <c r="B57" s="1" t="s">
        <v>55</v>
      </c>
      <c r="C57" s="1" t="s">
        <v>1470</v>
      </c>
      <c r="D57" s="1" t="s">
        <v>2</v>
      </c>
      <c r="E57" s="1">
        <v>23</v>
      </c>
      <c r="F57" s="1" t="s">
        <v>1471</v>
      </c>
      <c r="H57" s="1" t="s">
        <v>1485</v>
      </c>
      <c r="I57" s="1" t="s">
        <v>11</v>
      </c>
      <c r="J57" s="1" t="s">
        <v>1473</v>
      </c>
      <c r="K57" s="1" t="s">
        <v>1474</v>
      </c>
      <c r="L57" s="1" t="s">
        <v>1473</v>
      </c>
      <c r="N57" s="1" t="s">
        <v>1486</v>
      </c>
      <c r="O57" s="1">
        <v>1</v>
      </c>
      <c r="Q57" s="1">
        <v>2004</v>
      </c>
      <c r="R57" s="1" t="s">
        <v>1476</v>
      </c>
      <c r="S57" s="1" t="s">
        <v>27</v>
      </c>
      <c r="T57" s="38">
        <v>1</v>
      </c>
      <c r="Z57" s="1" t="s">
        <v>1487</v>
      </c>
      <c r="AA57" s="1">
        <v>6.2</v>
      </c>
      <c r="AC57" s="1" t="s">
        <v>1488</v>
      </c>
      <c r="AI57" s="1" t="s">
        <v>1489</v>
      </c>
      <c r="AV57" s="1" t="s">
        <v>1490</v>
      </c>
    </row>
    <row r="58" spans="1:48" x14ac:dyDescent="0.2">
      <c r="A58" s="1" t="s">
        <v>1491</v>
      </c>
      <c r="B58" s="1" t="s">
        <v>55</v>
      </c>
      <c r="C58" s="1" t="s">
        <v>1470</v>
      </c>
      <c r="D58" s="1" t="s">
        <v>2</v>
      </c>
      <c r="E58" s="1">
        <v>23</v>
      </c>
      <c r="F58" s="1" t="s">
        <v>1471</v>
      </c>
      <c r="H58" s="1" t="s">
        <v>1492</v>
      </c>
      <c r="I58" s="1" t="s">
        <v>11</v>
      </c>
      <c r="J58" s="1" t="s">
        <v>1473</v>
      </c>
      <c r="K58" s="1" t="s">
        <v>1474</v>
      </c>
      <c r="L58" s="1" t="s">
        <v>1473</v>
      </c>
      <c r="N58" s="1" t="s">
        <v>1475</v>
      </c>
      <c r="O58" s="1">
        <v>1</v>
      </c>
      <c r="Q58" s="1">
        <v>2004</v>
      </c>
      <c r="R58" s="1" t="s">
        <v>1476</v>
      </c>
      <c r="S58" s="1" t="s">
        <v>27</v>
      </c>
      <c r="T58" s="38">
        <v>1</v>
      </c>
      <c r="Z58" s="1" t="s">
        <v>1493</v>
      </c>
      <c r="AA58" s="1">
        <v>6.2</v>
      </c>
      <c r="AC58" s="1" t="s">
        <v>1494</v>
      </c>
      <c r="AI58" s="1" t="s">
        <v>1495</v>
      </c>
      <c r="AV58" s="1" t="s">
        <v>1496</v>
      </c>
    </row>
    <row r="59" spans="1:48" x14ac:dyDescent="0.2">
      <c r="A59" s="1" t="s">
        <v>1497</v>
      </c>
      <c r="B59" s="1" t="s">
        <v>55</v>
      </c>
      <c r="C59" s="1" t="s">
        <v>1470</v>
      </c>
      <c r="D59" s="1" t="s">
        <v>2</v>
      </c>
      <c r="E59" s="1">
        <v>23</v>
      </c>
      <c r="F59" s="1" t="s">
        <v>1471</v>
      </c>
      <c r="H59" s="1" t="s">
        <v>1498</v>
      </c>
      <c r="I59" s="1" t="s">
        <v>11</v>
      </c>
      <c r="J59" s="1" t="s">
        <v>1473</v>
      </c>
      <c r="K59" s="1" t="s">
        <v>1474</v>
      </c>
      <c r="L59" s="1" t="s">
        <v>1473</v>
      </c>
      <c r="N59" s="1" t="s">
        <v>1499</v>
      </c>
      <c r="O59" s="1">
        <v>1</v>
      </c>
      <c r="Q59" s="1">
        <v>2004</v>
      </c>
      <c r="R59" s="1" t="s">
        <v>1476</v>
      </c>
      <c r="S59" s="1" t="s">
        <v>27</v>
      </c>
      <c r="T59" s="38">
        <v>1</v>
      </c>
      <c r="Z59" s="1">
        <v>65.83</v>
      </c>
      <c r="AA59" s="1">
        <v>6.2</v>
      </c>
      <c r="AC59" s="1">
        <v>25</v>
      </c>
      <c r="AI59" s="1">
        <v>5.95</v>
      </c>
      <c r="AV59" s="1">
        <v>1.54</v>
      </c>
    </row>
    <row r="60" spans="1:48" x14ac:dyDescent="0.2">
      <c r="A60" s="1" t="s">
        <v>1500</v>
      </c>
      <c r="B60" s="1" t="s">
        <v>55</v>
      </c>
      <c r="C60" s="1" t="s">
        <v>1470</v>
      </c>
      <c r="D60" s="1" t="s">
        <v>2</v>
      </c>
      <c r="E60" s="1">
        <v>23</v>
      </c>
      <c r="F60" s="1" t="s">
        <v>1471</v>
      </c>
      <c r="H60" s="1" t="s">
        <v>1501</v>
      </c>
      <c r="I60" s="1" t="s">
        <v>11</v>
      </c>
      <c r="J60" s="1" t="s">
        <v>1473</v>
      </c>
      <c r="K60" s="1" t="s">
        <v>1474</v>
      </c>
      <c r="L60" s="1" t="s">
        <v>1473</v>
      </c>
      <c r="N60" s="1" t="s">
        <v>1502</v>
      </c>
      <c r="O60" s="1">
        <v>1</v>
      </c>
      <c r="Q60" s="1">
        <v>2004</v>
      </c>
      <c r="R60" s="1" t="s">
        <v>1476</v>
      </c>
      <c r="S60" s="1" t="s">
        <v>27</v>
      </c>
      <c r="T60" s="38">
        <v>1</v>
      </c>
      <c r="Z60" s="1">
        <v>63.52</v>
      </c>
      <c r="AA60" s="1">
        <v>6.2</v>
      </c>
      <c r="AC60" s="1">
        <v>29.04</v>
      </c>
      <c r="AI60" s="1">
        <v>4.5199999999999996</v>
      </c>
      <c r="AV60" s="1">
        <v>1.53</v>
      </c>
    </row>
    <row r="61" spans="1:48" x14ac:dyDescent="0.2">
      <c r="A61" s="1" t="s">
        <v>1503</v>
      </c>
      <c r="B61" s="1" t="s">
        <v>55</v>
      </c>
      <c r="C61" s="1" t="s">
        <v>236</v>
      </c>
      <c r="D61" s="1" t="s">
        <v>2</v>
      </c>
      <c r="E61" s="1">
        <v>21</v>
      </c>
      <c r="F61" s="1" t="s">
        <v>1504</v>
      </c>
      <c r="H61" s="1" t="s">
        <v>1505</v>
      </c>
      <c r="I61" s="1" t="s">
        <v>7</v>
      </c>
      <c r="J61" s="1" t="s">
        <v>1506</v>
      </c>
      <c r="K61" s="1" t="s">
        <v>1507</v>
      </c>
      <c r="L61" s="1" t="s">
        <v>1508</v>
      </c>
      <c r="N61" s="1" t="s">
        <v>1509</v>
      </c>
      <c r="Q61" s="1">
        <v>2005</v>
      </c>
      <c r="R61" s="1" t="s">
        <v>1510</v>
      </c>
      <c r="S61" s="1" t="s">
        <v>27</v>
      </c>
      <c r="T61" s="38">
        <v>1</v>
      </c>
      <c r="U61" s="1">
        <v>0.26</v>
      </c>
      <c r="Z61" s="1" t="s">
        <v>1511</v>
      </c>
      <c r="AA61" s="1">
        <v>6.25</v>
      </c>
      <c r="AC61" s="1" t="s">
        <v>1512</v>
      </c>
      <c r="AI61" s="1" t="s">
        <v>1513</v>
      </c>
      <c r="AV61" s="1" t="s">
        <v>1514</v>
      </c>
    </row>
    <row r="62" spans="1:48" x14ac:dyDescent="0.2">
      <c r="A62" s="1" t="s">
        <v>1515</v>
      </c>
      <c r="B62" s="1" t="s">
        <v>55</v>
      </c>
      <c r="C62" s="1" t="s">
        <v>236</v>
      </c>
      <c r="D62" s="1" t="s">
        <v>2</v>
      </c>
      <c r="E62" s="1">
        <v>21</v>
      </c>
      <c r="F62" s="1" t="s">
        <v>1516</v>
      </c>
      <c r="H62" s="1" t="s">
        <v>1517</v>
      </c>
      <c r="I62" s="1" t="s">
        <v>7</v>
      </c>
      <c r="J62" s="1" t="s">
        <v>1518</v>
      </c>
      <c r="K62" s="1" t="s">
        <v>1519</v>
      </c>
      <c r="L62" s="1" t="s">
        <v>1520</v>
      </c>
      <c r="N62" s="1" t="s">
        <v>1521</v>
      </c>
      <c r="Q62" s="1">
        <v>2005</v>
      </c>
      <c r="R62" s="1" t="s">
        <v>1510</v>
      </c>
      <c r="S62" s="1" t="s">
        <v>27</v>
      </c>
      <c r="T62" s="38">
        <v>1</v>
      </c>
      <c r="U62" s="1">
        <v>0.32</v>
      </c>
      <c r="Z62" s="1" t="s">
        <v>1522</v>
      </c>
      <c r="AA62" s="1">
        <v>6.25</v>
      </c>
      <c r="AC62" s="1" t="s">
        <v>1523</v>
      </c>
      <c r="AI62" s="1" t="s">
        <v>1524</v>
      </c>
      <c r="AV62" s="1" t="s">
        <v>1525</v>
      </c>
    </row>
    <row r="63" spans="1:48" x14ac:dyDescent="0.2">
      <c r="A63" s="1" t="s">
        <v>1526</v>
      </c>
      <c r="B63" s="1" t="s">
        <v>55</v>
      </c>
      <c r="C63" s="1" t="s">
        <v>1527</v>
      </c>
      <c r="D63" s="1" t="s">
        <v>2</v>
      </c>
      <c r="E63" s="1">
        <v>22</v>
      </c>
      <c r="F63" s="1" t="s">
        <v>1528</v>
      </c>
      <c r="H63" s="1" t="s">
        <v>1529</v>
      </c>
      <c r="I63" s="1" t="s">
        <v>7</v>
      </c>
      <c r="J63" s="1" t="s">
        <v>1530</v>
      </c>
      <c r="K63" s="1" t="s">
        <v>1531</v>
      </c>
      <c r="L63" s="1" t="s">
        <v>1530</v>
      </c>
      <c r="N63" s="1" t="s">
        <v>1532</v>
      </c>
      <c r="P63" s="1" t="s">
        <v>1533</v>
      </c>
      <c r="Q63" s="1">
        <v>1981</v>
      </c>
      <c r="R63" s="1" t="s">
        <v>1534</v>
      </c>
      <c r="S63" s="1" t="s">
        <v>27</v>
      </c>
      <c r="T63" s="38">
        <v>1</v>
      </c>
      <c r="U63" s="1">
        <v>0.495</v>
      </c>
      <c r="Z63" s="1">
        <v>67.3</v>
      </c>
      <c r="AE63" s="1">
        <v>16</v>
      </c>
      <c r="AI63" s="1">
        <v>14.7</v>
      </c>
      <c r="AK63" s="1">
        <v>3.8951927</v>
      </c>
      <c r="AL63" s="1">
        <v>7.1796408999999999</v>
      </c>
      <c r="AM63" s="1">
        <v>2.0901033999999998</v>
      </c>
    </row>
    <row r="64" spans="1:48" x14ac:dyDescent="0.2">
      <c r="A64" s="1" t="s">
        <v>1535</v>
      </c>
      <c r="B64" s="1" t="s">
        <v>55</v>
      </c>
      <c r="C64" s="1" t="s">
        <v>1536</v>
      </c>
      <c r="D64" s="1" t="s">
        <v>2</v>
      </c>
      <c r="E64" s="1">
        <v>13</v>
      </c>
      <c r="F64" s="1" t="s">
        <v>1537</v>
      </c>
      <c r="G64" s="1" t="s">
        <v>1538</v>
      </c>
      <c r="H64" s="1" t="s">
        <v>1539</v>
      </c>
      <c r="I64" s="1" t="s">
        <v>7</v>
      </c>
      <c r="J64" s="1" t="s">
        <v>1540</v>
      </c>
      <c r="K64" s="1" t="s">
        <v>1541</v>
      </c>
      <c r="L64" s="1" t="s">
        <v>1540</v>
      </c>
      <c r="M64" s="1" t="s">
        <v>1542</v>
      </c>
      <c r="N64" s="1" t="s">
        <v>1543</v>
      </c>
      <c r="Q64" s="1">
        <v>2010</v>
      </c>
      <c r="R64" s="1" t="s">
        <v>1544</v>
      </c>
      <c r="S64" s="1" t="s">
        <v>27</v>
      </c>
      <c r="T64" s="38">
        <v>1</v>
      </c>
      <c r="W64" s="1">
        <v>110.62</v>
      </c>
      <c r="Z64" s="1">
        <v>79.41</v>
      </c>
      <c r="AA64" s="1">
        <v>6.25</v>
      </c>
      <c r="AC64" s="1">
        <v>19.05</v>
      </c>
      <c r="AI64" s="1">
        <v>0.56000000000000005</v>
      </c>
      <c r="AV64" s="1">
        <v>1.17</v>
      </c>
    </row>
    <row r="65" spans="1:68" x14ac:dyDescent="0.2">
      <c r="A65" s="1" t="s">
        <v>1545</v>
      </c>
      <c r="B65" s="1" t="s">
        <v>55</v>
      </c>
      <c r="C65" s="1" t="s">
        <v>1536</v>
      </c>
      <c r="D65" s="1" t="s">
        <v>2</v>
      </c>
      <c r="E65" s="1">
        <v>13</v>
      </c>
      <c r="F65" s="1" t="s">
        <v>1537</v>
      </c>
      <c r="G65" s="1" t="s">
        <v>1538</v>
      </c>
      <c r="H65" s="1" t="s">
        <v>1539</v>
      </c>
      <c r="I65" s="1" t="s">
        <v>7</v>
      </c>
      <c r="J65" s="1" t="s">
        <v>1540</v>
      </c>
      <c r="K65" s="1" t="s">
        <v>1541</v>
      </c>
      <c r="L65" s="1" t="s">
        <v>1540</v>
      </c>
      <c r="M65" s="1" t="s">
        <v>1546</v>
      </c>
      <c r="N65" s="1" t="s">
        <v>1547</v>
      </c>
      <c r="Q65" s="1">
        <v>2010</v>
      </c>
      <c r="R65" s="1" t="s">
        <v>1544</v>
      </c>
      <c r="S65" s="1" t="s">
        <v>27</v>
      </c>
      <c r="T65" s="38">
        <v>1</v>
      </c>
      <c r="W65" s="1">
        <v>118.91</v>
      </c>
      <c r="Z65" s="1">
        <v>77.790000000000006</v>
      </c>
      <c r="AA65" s="1">
        <v>6.25</v>
      </c>
      <c r="AC65" s="1">
        <v>20.5</v>
      </c>
      <c r="AI65" s="1">
        <v>0.56000000000000005</v>
      </c>
      <c r="AV65" s="1">
        <v>1.29</v>
      </c>
    </row>
    <row r="66" spans="1:68" x14ac:dyDescent="0.2">
      <c r="A66" s="1" t="s">
        <v>1548</v>
      </c>
      <c r="B66" s="1" t="s">
        <v>55</v>
      </c>
      <c r="C66" s="1" t="s">
        <v>1549</v>
      </c>
      <c r="E66" s="1">
        <v>12</v>
      </c>
      <c r="F66" s="1" t="s">
        <v>1550</v>
      </c>
      <c r="H66" s="1" t="s">
        <v>1551</v>
      </c>
      <c r="I66" s="1" t="s">
        <v>7</v>
      </c>
      <c r="J66" s="1" t="s">
        <v>1552</v>
      </c>
      <c r="K66" s="1" t="s">
        <v>1553</v>
      </c>
      <c r="L66" s="1" t="s">
        <v>1552</v>
      </c>
      <c r="N66" s="1" t="s">
        <v>1554</v>
      </c>
      <c r="Q66" s="1">
        <v>1996</v>
      </c>
      <c r="R66" s="1" t="s">
        <v>1555</v>
      </c>
      <c r="S66" s="1" t="s">
        <v>27</v>
      </c>
      <c r="T66" s="38">
        <v>1</v>
      </c>
      <c r="U66" s="1">
        <v>0.48199999999999998</v>
      </c>
      <c r="Z66" s="1">
        <v>78.3</v>
      </c>
      <c r="AC66" s="1">
        <v>17.8</v>
      </c>
      <c r="AH66" s="1">
        <v>2.2999999999999998</v>
      </c>
      <c r="AR66" s="1">
        <v>0</v>
      </c>
      <c r="AV66" s="1">
        <v>1.1000000000000001</v>
      </c>
      <c r="AY66" s="1">
        <v>47.3</v>
      </c>
      <c r="BF66" s="1">
        <v>0.2</v>
      </c>
      <c r="BH66" s="1">
        <v>293.7</v>
      </c>
      <c r="BM66" s="1">
        <v>53.1</v>
      </c>
      <c r="BP66" s="1">
        <v>276.5</v>
      </c>
    </row>
    <row r="67" spans="1:68" x14ac:dyDescent="0.2">
      <c r="A67" s="1" t="s">
        <v>1556</v>
      </c>
      <c r="B67" s="1" t="s">
        <v>55</v>
      </c>
      <c r="C67" s="1" t="s">
        <v>1557</v>
      </c>
      <c r="E67" s="1">
        <v>13</v>
      </c>
      <c r="F67" s="1" t="s">
        <v>1558</v>
      </c>
      <c r="G67" s="1" t="s">
        <v>1559</v>
      </c>
      <c r="H67" s="1" t="s">
        <v>1560</v>
      </c>
      <c r="I67" s="1" t="s">
        <v>7</v>
      </c>
      <c r="J67" s="1" t="s">
        <v>1561</v>
      </c>
      <c r="K67" s="1" t="s">
        <v>1562</v>
      </c>
      <c r="L67" s="1" t="s">
        <v>1563</v>
      </c>
      <c r="N67" s="1" t="s">
        <v>1564</v>
      </c>
      <c r="Q67" s="1">
        <v>1996</v>
      </c>
      <c r="R67" s="1" t="s">
        <v>1555</v>
      </c>
      <c r="S67" s="1" t="s">
        <v>27</v>
      </c>
      <c r="T67" s="38">
        <v>1</v>
      </c>
      <c r="U67" s="1">
        <v>0.49199999999999999</v>
      </c>
      <c r="Z67" s="1" t="s">
        <v>1565</v>
      </c>
      <c r="AC67" s="1" t="s">
        <v>1566</v>
      </c>
      <c r="AH67" s="1" t="s">
        <v>1567</v>
      </c>
      <c r="AR67" s="1" t="s">
        <v>1568</v>
      </c>
      <c r="AV67" s="1" t="s">
        <v>1569</v>
      </c>
      <c r="AY67" s="1">
        <v>108.3</v>
      </c>
      <c r="BF67" s="1">
        <v>0.5</v>
      </c>
      <c r="BH67" s="1">
        <v>242.1</v>
      </c>
      <c r="BM67" s="1">
        <v>63.7</v>
      </c>
      <c r="BP67" s="1">
        <v>456.5</v>
      </c>
    </row>
    <row r="68" spans="1:68" x14ac:dyDescent="0.2">
      <c r="A68" s="1" t="s">
        <v>1570</v>
      </c>
      <c r="B68" s="1" t="s">
        <v>55</v>
      </c>
      <c r="C68" s="1" t="s">
        <v>1549</v>
      </c>
      <c r="E68" s="1">
        <v>13</v>
      </c>
      <c r="F68" s="1" t="s">
        <v>1571</v>
      </c>
      <c r="G68" s="1" t="s">
        <v>1572</v>
      </c>
      <c r="H68" s="1" t="s">
        <v>1573</v>
      </c>
      <c r="I68" s="1" t="s">
        <v>7</v>
      </c>
      <c r="J68" s="1" t="s">
        <v>1574</v>
      </c>
      <c r="K68" s="1" t="s">
        <v>1575</v>
      </c>
      <c r="L68" s="1" t="s">
        <v>1574</v>
      </c>
      <c r="N68" s="1" t="s">
        <v>1576</v>
      </c>
      <c r="Q68" s="1">
        <v>1996</v>
      </c>
      <c r="R68" s="1" t="s">
        <v>1555</v>
      </c>
      <c r="S68" s="1" t="s">
        <v>27</v>
      </c>
      <c r="T68" s="38">
        <v>1</v>
      </c>
      <c r="U68" s="1">
        <v>0.41699999999999998</v>
      </c>
      <c r="Z68" s="1">
        <v>81.3</v>
      </c>
      <c r="AC68" s="1">
        <v>12.9</v>
      </c>
      <c r="AH68" s="1">
        <v>0.1</v>
      </c>
      <c r="AR68" s="1">
        <v>2.6</v>
      </c>
      <c r="AV68" s="1" t="s">
        <v>1569</v>
      </c>
      <c r="AY68" s="1" t="s">
        <v>1577</v>
      </c>
      <c r="BF68" s="1" t="s">
        <v>1568</v>
      </c>
      <c r="BH68" s="1" t="s">
        <v>1578</v>
      </c>
      <c r="BM68" s="1" t="s">
        <v>1579</v>
      </c>
      <c r="BP68" s="1" t="s">
        <v>1580</v>
      </c>
    </row>
    <row r="69" spans="1:68" x14ac:dyDescent="0.2">
      <c r="A69" s="1" t="s">
        <v>1581</v>
      </c>
      <c r="B69" s="1" t="s">
        <v>55</v>
      </c>
      <c r="C69" s="1" t="s">
        <v>1582</v>
      </c>
      <c r="E69" s="1">
        <v>33</v>
      </c>
      <c r="F69" s="1" t="s">
        <v>1583</v>
      </c>
      <c r="H69" s="1" t="s">
        <v>1584</v>
      </c>
      <c r="I69" s="1" t="s">
        <v>7</v>
      </c>
      <c r="J69" s="1" t="s">
        <v>1585</v>
      </c>
      <c r="K69" s="1" t="s">
        <v>1586</v>
      </c>
      <c r="L69" s="1" t="s">
        <v>1585</v>
      </c>
      <c r="P69" s="1" t="s">
        <v>1269</v>
      </c>
      <c r="Q69" s="1">
        <v>2007</v>
      </c>
      <c r="R69" s="1" t="s">
        <v>1587</v>
      </c>
      <c r="S69" s="1" t="s">
        <v>27</v>
      </c>
      <c r="T69" s="38">
        <v>1</v>
      </c>
      <c r="AH69" s="1">
        <v>2.14</v>
      </c>
      <c r="AK69" s="1">
        <v>0.70437559999999999</v>
      </c>
      <c r="AL69" s="1">
        <v>0.44857604000000001</v>
      </c>
      <c r="AM69" s="1">
        <v>0.46711224000000001</v>
      </c>
      <c r="AN69" s="1">
        <v>0.23355612000000001</v>
      </c>
    </row>
    <row r="70" spans="1:68" x14ac:dyDescent="0.2">
      <c r="A70" s="1" t="s">
        <v>1588</v>
      </c>
      <c r="B70" s="1" t="s">
        <v>55</v>
      </c>
      <c r="C70" s="1" t="s">
        <v>1582</v>
      </c>
      <c r="E70" s="1">
        <v>34</v>
      </c>
      <c r="F70" s="1" t="s">
        <v>1589</v>
      </c>
      <c r="H70" s="1" t="s">
        <v>1590</v>
      </c>
      <c r="I70" s="1" t="s">
        <v>7</v>
      </c>
      <c r="J70" s="1" t="s">
        <v>1591</v>
      </c>
      <c r="K70" s="1" t="s">
        <v>1592</v>
      </c>
      <c r="L70" s="1" t="s">
        <v>1593</v>
      </c>
      <c r="P70" s="1" t="s">
        <v>1269</v>
      </c>
      <c r="Q70" s="1">
        <v>2007</v>
      </c>
      <c r="R70" s="1" t="s">
        <v>1587</v>
      </c>
      <c r="S70" s="1" t="s">
        <v>27</v>
      </c>
      <c r="T70" s="38">
        <v>1</v>
      </c>
      <c r="AH70" s="1">
        <v>1.59</v>
      </c>
      <c r="AK70" s="1">
        <v>0.40616240999999997</v>
      </c>
      <c r="AL70" s="1">
        <v>0.38873629999999998</v>
      </c>
      <c r="AM70" s="1">
        <v>0.36594831</v>
      </c>
      <c r="AN70" s="1">
        <v>0.17962297999999999</v>
      </c>
    </row>
    <row r="71" spans="1:68" x14ac:dyDescent="0.2">
      <c r="A71" s="1" t="s">
        <v>1594</v>
      </c>
      <c r="B71" s="1" t="s">
        <v>55</v>
      </c>
      <c r="C71" s="1" t="s">
        <v>1582</v>
      </c>
      <c r="E71" s="1">
        <v>32</v>
      </c>
      <c r="F71" s="1" t="s">
        <v>1595</v>
      </c>
      <c r="H71" s="1" t="s">
        <v>1596</v>
      </c>
      <c r="I71" s="1" t="s">
        <v>7</v>
      </c>
      <c r="J71" s="1" t="s">
        <v>1597</v>
      </c>
      <c r="K71" s="1" t="s">
        <v>1598</v>
      </c>
      <c r="L71" s="1" t="s">
        <v>1597</v>
      </c>
      <c r="P71" s="1" t="s">
        <v>1269</v>
      </c>
      <c r="Q71" s="1">
        <v>2007</v>
      </c>
      <c r="R71" s="1" t="s">
        <v>1587</v>
      </c>
      <c r="S71" s="1" t="s">
        <v>27</v>
      </c>
      <c r="T71" s="38">
        <v>1</v>
      </c>
      <c r="AH71" s="1">
        <v>1.2</v>
      </c>
      <c r="AK71" s="1">
        <v>0.28907359999999999</v>
      </c>
      <c r="AL71" s="1">
        <v>0.18750720000000001</v>
      </c>
      <c r="AM71" s="1">
        <v>0.38673360000000001</v>
      </c>
      <c r="AN71" s="1">
        <v>0.11426219999999999</v>
      </c>
    </row>
    <row r="72" spans="1:68" x14ac:dyDescent="0.2">
      <c r="A72" s="1" t="s">
        <v>1599</v>
      </c>
      <c r="B72" s="1" t="s">
        <v>55</v>
      </c>
      <c r="C72" s="1" t="s">
        <v>1582</v>
      </c>
      <c r="E72" s="1">
        <v>37</v>
      </c>
      <c r="F72" s="1" t="s">
        <v>1600</v>
      </c>
      <c r="H72" s="1" t="s">
        <v>1601</v>
      </c>
      <c r="I72" s="1" t="s">
        <v>7</v>
      </c>
      <c r="J72" s="1" t="s">
        <v>1602</v>
      </c>
      <c r="K72" s="1" t="s">
        <v>1603</v>
      </c>
      <c r="L72" s="1" t="s">
        <v>1602</v>
      </c>
      <c r="P72" s="1" t="s">
        <v>1269</v>
      </c>
      <c r="Q72" s="1">
        <v>2007</v>
      </c>
      <c r="R72" s="1" t="s">
        <v>1587</v>
      </c>
      <c r="S72" s="1" t="s">
        <v>27</v>
      </c>
      <c r="T72" s="38">
        <v>1</v>
      </c>
      <c r="AH72" s="1">
        <v>1.1599999999999999</v>
      </c>
      <c r="AK72" s="1">
        <v>0.24327351999999999</v>
      </c>
      <c r="AL72" s="1">
        <v>0.13431704</v>
      </c>
      <c r="AM72" s="1">
        <v>0.45273296000000002</v>
      </c>
      <c r="AN72" s="1">
        <v>0.10895647999999999</v>
      </c>
    </row>
    <row r="73" spans="1:68" x14ac:dyDescent="0.2">
      <c r="A73" s="1" t="s">
        <v>1604</v>
      </c>
      <c r="B73" s="1" t="s">
        <v>55</v>
      </c>
      <c r="C73" s="1" t="s">
        <v>1582</v>
      </c>
      <c r="E73" s="1">
        <v>37</v>
      </c>
      <c r="F73" s="1" t="s">
        <v>1605</v>
      </c>
      <c r="H73" s="1" t="s">
        <v>1606</v>
      </c>
      <c r="I73" s="1" t="s">
        <v>7</v>
      </c>
      <c r="J73" s="1" t="s">
        <v>1607</v>
      </c>
      <c r="K73" s="1" t="s">
        <v>1608</v>
      </c>
      <c r="L73" s="1" t="s">
        <v>1609</v>
      </c>
      <c r="P73" s="1" t="s">
        <v>1610</v>
      </c>
      <c r="Q73" s="1">
        <v>2007</v>
      </c>
      <c r="R73" s="1" t="s">
        <v>1587</v>
      </c>
      <c r="S73" s="1" t="s">
        <v>27</v>
      </c>
      <c r="T73" s="38">
        <v>1</v>
      </c>
      <c r="AH73" s="1">
        <v>1.01</v>
      </c>
      <c r="AK73" s="1">
        <v>0.23740101</v>
      </c>
      <c r="AL73" s="1">
        <v>0.10551156</v>
      </c>
      <c r="AM73" s="1">
        <v>0.37008978999999997</v>
      </c>
      <c r="AN73" s="1">
        <v>8.6327639999999997E-2</v>
      </c>
    </row>
    <row r="74" spans="1:68" x14ac:dyDescent="0.2">
      <c r="A74" s="1" t="s">
        <v>1611</v>
      </c>
      <c r="B74" s="1" t="s">
        <v>55</v>
      </c>
      <c r="C74" s="1" t="s">
        <v>1582</v>
      </c>
      <c r="E74" s="1">
        <v>33</v>
      </c>
      <c r="F74" s="1" t="s">
        <v>1297</v>
      </c>
      <c r="H74" s="1" t="s">
        <v>1612</v>
      </c>
      <c r="I74" s="1" t="s">
        <v>7</v>
      </c>
      <c r="J74" s="1" t="s">
        <v>1613</v>
      </c>
      <c r="K74" s="1" t="s">
        <v>1300</v>
      </c>
      <c r="L74" s="1" t="s">
        <v>1299</v>
      </c>
      <c r="P74" s="1" t="s">
        <v>1269</v>
      </c>
      <c r="Q74" s="1">
        <v>2007</v>
      </c>
      <c r="R74" s="1" t="s">
        <v>1587</v>
      </c>
      <c r="S74" s="1" t="s">
        <v>27</v>
      </c>
      <c r="T74" s="38">
        <v>1</v>
      </c>
      <c r="AH74" s="1">
        <v>12.4</v>
      </c>
      <c r="AK74" s="1">
        <v>2.913681</v>
      </c>
      <c r="AL74" s="1">
        <v>3.1993360000000002</v>
      </c>
      <c r="AM74" s="1">
        <v>3.9420389999999998</v>
      </c>
      <c r="AN74" s="1">
        <v>1.3711439999999999</v>
      </c>
    </row>
    <row r="75" spans="1:68" x14ac:dyDescent="0.2">
      <c r="A75" s="1" t="s">
        <v>1614</v>
      </c>
      <c r="B75" s="1" t="s">
        <v>55</v>
      </c>
      <c r="C75" s="1" t="s">
        <v>1582</v>
      </c>
      <c r="E75" s="1">
        <v>33</v>
      </c>
      <c r="F75" s="1" t="s">
        <v>1288</v>
      </c>
      <c r="H75" s="1" t="s">
        <v>1615</v>
      </c>
      <c r="I75" s="1" t="s">
        <v>7</v>
      </c>
      <c r="J75" s="1" t="s">
        <v>1290</v>
      </c>
      <c r="K75" s="1" t="s">
        <v>1291</v>
      </c>
      <c r="L75" s="1" t="s">
        <v>1290</v>
      </c>
      <c r="P75" s="1" t="s">
        <v>1269</v>
      </c>
      <c r="Q75" s="1">
        <v>2007</v>
      </c>
      <c r="R75" s="1" t="s">
        <v>1587</v>
      </c>
      <c r="S75" s="1" t="s">
        <v>27</v>
      </c>
      <c r="T75" s="38">
        <v>1</v>
      </c>
      <c r="AH75" s="1">
        <v>3.02</v>
      </c>
      <c r="AK75" s="1">
        <v>0.69273693999999997</v>
      </c>
      <c r="AL75" s="1">
        <v>0.65796635999999997</v>
      </c>
      <c r="AM75" s="1">
        <v>1.05114138</v>
      </c>
      <c r="AN75" s="1">
        <v>0.27548998000000002</v>
      </c>
    </row>
    <row r="76" spans="1:68" x14ac:dyDescent="0.2">
      <c r="A76" s="1" t="s">
        <v>1616</v>
      </c>
      <c r="B76" s="1" t="s">
        <v>55</v>
      </c>
      <c r="C76" s="1" t="s">
        <v>1582</v>
      </c>
      <c r="E76" s="1">
        <v>33</v>
      </c>
      <c r="F76" s="1" t="s">
        <v>1617</v>
      </c>
      <c r="H76" s="1" t="s">
        <v>1618</v>
      </c>
      <c r="I76" s="1" t="s">
        <v>7</v>
      </c>
      <c r="J76" s="1" t="s">
        <v>1619</v>
      </c>
      <c r="K76" s="1" t="s">
        <v>1620</v>
      </c>
      <c r="L76" s="1" t="s">
        <v>1619</v>
      </c>
      <c r="P76" s="1" t="s">
        <v>1269</v>
      </c>
      <c r="Q76" s="1">
        <v>2007</v>
      </c>
      <c r="R76" s="1" t="s">
        <v>1587</v>
      </c>
      <c r="S76" s="1" t="s">
        <v>27</v>
      </c>
      <c r="T76" s="38">
        <v>1</v>
      </c>
      <c r="AH76" s="1">
        <v>1.21</v>
      </c>
      <c r="AK76" s="1">
        <v>0.38845642000000002</v>
      </c>
      <c r="AL76" s="1">
        <v>0.15873472999999999</v>
      </c>
      <c r="AM76" s="1">
        <v>0.28099004999999999</v>
      </c>
      <c r="AN76" s="1">
        <v>0.15774879999999999</v>
      </c>
    </row>
    <row r="77" spans="1:68" x14ac:dyDescent="0.2">
      <c r="A77" s="1" t="s">
        <v>1621</v>
      </c>
      <c r="B77" s="1" t="s">
        <v>55</v>
      </c>
      <c r="C77" s="1" t="s">
        <v>1622</v>
      </c>
      <c r="D77" s="1" t="s">
        <v>2</v>
      </c>
      <c r="E77" s="1">
        <v>21</v>
      </c>
      <c r="F77" s="1" t="s">
        <v>1623</v>
      </c>
      <c r="H77" s="1" t="s">
        <v>1624</v>
      </c>
      <c r="I77" s="1" t="s">
        <v>7</v>
      </c>
      <c r="J77" s="1" t="s">
        <v>1625</v>
      </c>
      <c r="K77" s="1" t="s">
        <v>1626</v>
      </c>
      <c r="L77" s="1" t="s">
        <v>1625</v>
      </c>
      <c r="N77" s="1" t="s">
        <v>1627</v>
      </c>
      <c r="P77" s="1" t="s">
        <v>1628</v>
      </c>
      <c r="Q77" s="1">
        <v>1997</v>
      </c>
      <c r="R77" s="1" t="s">
        <v>1629</v>
      </c>
      <c r="S77" s="1" t="s">
        <v>27</v>
      </c>
      <c r="T77" s="38">
        <v>1</v>
      </c>
      <c r="Z77" s="1">
        <v>77.41</v>
      </c>
      <c r="AE77" s="1">
        <v>18.78</v>
      </c>
      <c r="AJ77" s="1">
        <v>2.5</v>
      </c>
      <c r="AV77" s="1">
        <v>1.31</v>
      </c>
    </row>
    <row r="78" spans="1:68" x14ac:dyDescent="0.2">
      <c r="A78" s="1" t="s">
        <v>1630</v>
      </c>
      <c r="B78" s="1" t="s">
        <v>55</v>
      </c>
      <c r="C78" s="1" t="s">
        <v>1622</v>
      </c>
      <c r="D78" s="1" t="s">
        <v>2</v>
      </c>
      <c r="E78" s="1">
        <v>21</v>
      </c>
      <c r="F78" s="1" t="s">
        <v>1623</v>
      </c>
      <c r="H78" s="1" t="s">
        <v>1631</v>
      </c>
      <c r="I78" s="1" t="s">
        <v>7</v>
      </c>
      <c r="J78" s="1" t="s">
        <v>1625</v>
      </c>
      <c r="K78" s="1" t="s">
        <v>1626</v>
      </c>
      <c r="L78" s="1" t="s">
        <v>1625</v>
      </c>
      <c r="M78" s="1" t="s">
        <v>1632</v>
      </c>
      <c r="N78" s="1" t="s">
        <v>1627</v>
      </c>
      <c r="P78" s="1" t="s">
        <v>1633</v>
      </c>
      <c r="Q78" s="1">
        <v>1997</v>
      </c>
      <c r="R78" s="1" t="s">
        <v>1629</v>
      </c>
      <c r="S78" s="1" t="s">
        <v>27</v>
      </c>
      <c r="T78" s="38">
        <v>1</v>
      </c>
      <c r="Z78" s="1">
        <v>77.540000000000006</v>
      </c>
      <c r="AE78" s="1">
        <v>18.66</v>
      </c>
      <c r="AJ78" s="1">
        <v>2.54</v>
      </c>
      <c r="AV78" s="1">
        <v>1.26</v>
      </c>
    </row>
    <row r="79" spans="1:68" x14ac:dyDescent="0.2">
      <c r="A79" s="1" t="s">
        <v>1634</v>
      </c>
      <c r="B79" s="1" t="s">
        <v>55</v>
      </c>
      <c r="C79" s="1" t="s">
        <v>1622</v>
      </c>
      <c r="D79" s="1" t="s">
        <v>2</v>
      </c>
      <c r="E79" s="1">
        <v>21</v>
      </c>
      <c r="F79" s="1" t="s">
        <v>1623</v>
      </c>
      <c r="H79" s="1" t="s">
        <v>1631</v>
      </c>
      <c r="I79" s="1" t="s">
        <v>7</v>
      </c>
      <c r="J79" s="1" t="s">
        <v>1625</v>
      </c>
      <c r="K79" s="1" t="s">
        <v>1626</v>
      </c>
      <c r="L79" s="1" t="s">
        <v>1625</v>
      </c>
      <c r="M79" s="1" t="s">
        <v>1632</v>
      </c>
      <c r="N79" s="1" t="s">
        <v>1627</v>
      </c>
      <c r="P79" s="1" t="s">
        <v>1635</v>
      </c>
      <c r="Q79" s="1">
        <v>1997</v>
      </c>
      <c r="R79" s="1" t="s">
        <v>1629</v>
      </c>
      <c r="S79" s="1" t="s">
        <v>27</v>
      </c>
      <c r="T79" s="38">
        <v>1</v>
      </c>
      <c r="Z79" s="1">
        <v>77.540000000000006</v>
      </c>
      <c r="AE79" s="1">
        <v>18.66</v>
      </c>
      <c r="AJ79" s="1" t="s">
        <v>1636</v>
      </c>
      <c r="AK79" s="1" t="s">
        <v>1637</v>
      </c>
      <c r="AN79" s="1" t="s">
        <v>1638</v>
      </c>
      <c r="AV79" s="1">
        <v>1.26</v>
      </c>
    </row>
    <row r="80" spans="1:68" x14ac:dyDescent="0.2">
      <c r="A80" s="1" t="s">
        <v>1639</v>
      </c>
      <c r="B80" s="1" t="s">
        <v>55</v>
      </c>
      <c r="C80" s="1" t="s">
        <v>1622</v>
      </c>
      <c r="D80" s="1" t="s">
        <v>2</v>
      </c>
      <c r="E80" s="1">
        <v>21</v>
      </c>
      <c r="F80" s="1" t="s">
        <v>1623</v>
      </c>
      <c r="H80" s="1" t="s">
        <v>1631</v>
      </c>
      <c r="I80" s="1" t="s">
        <v>7</v>
      </c>
      <c r="J80" s="1" t="s">
        <v>1625</v>
      </c>
      <c r="K80" s="1" t="s">
        <v>1626</v>
      </c>
      <c r="L80" s="1" t="s">
        <v>1625</v>
      </c>
      <c r="M80" s="1" t="s">
        <v>1640</v>
      </c>
      <c r="N80" s="1" t="s">
        <v>1627</v>
      </c>
      <c r="P80" s="1" t="s">
        <v>1635</v>
      </c>
      <c r="Q80" s="1">
        <v>1997</v>
      </c>
      <c r="R80" s="1" t="s">
        <v>1629</v>
      </c>
      <c r="S80" s="1" t="s">
        <v>27</v>
      </c>
      <c r="T80" s="38">
        <v>1</v>
      </c>
      <c r="Z80" s="1">
        <v>77.540000000000006</v>
      </c>
      <c r="AE80" s="1">
        <v>18.66</v>
      </c>
      <c r="AJ80" s="1" t="s">
        <v>1636</v>
      </c>
      <c r="AK80" s="1" t="s">
        <v>1641</v>
      </c>
      <c r="AN80" s="1" t="s">
        <v>1642</v>
      </c>
      <c r="AV80" s="1">
        <v>1.26</v>
      </c>
    </row>
    <row r="81" spans="1:153" x14ac:dyDescent="0.2">
      <c r="A81" s="1" t="s">
        <v>1643</v>
      </c>
      <c r="B81" s="1" t="s">
        <v>55</v>
      </c>
      <c r="C81" s="1" t="s">
        <v>1622</v>
      </c>
      <c r="D81" s="1" t="s">
        <v>2</v>
      </c>
      <c r="E81" s="1">
        <v>21</v>
      </c>
      <c r="F81" s="1" t="s">
        <v>1623</v>
      </c>
      <c r="H81" s="1" t="s">
        <v>1631</v>
      </c>
      <c r="I81" s="1" t="s">
        <v>7</v>
      </c>
      <c r="J81" s="1" t="s">
        <v>1625</v>
      </c>
      <c r="K81" s="1" t="s">
        <v>1626</v>
      </c>
      <c r="L81" s="1" t="s">
        <v>1625</v>
      </c>
      <c r="M81" s="1" t="s">
        <v>1644</v>
      </c>
      <c r="N81" s="1" t="s">
        <v>1627</v>
      </c>
      <c r="P81" s="1" t="s">
        <v>1635</v>
      </c>
      <c r="Q81" s="1">
        <v>1997</v>
      </c>
      <c r="R81" s="1" t="s">
        <v>1629</v>
      </c>
      <c r="S81" s="1" t="s">
        <v>27</v>
      </c>
      <c r="T81" s="38">
        <v>1</v>
      </c>
      <c r="Z81" s="1">
        <v>77.540000000000006</v>
      </c>
      <c r="AE81" s="1">
        <v>18.66</v>
      </c>
      <c r="AJ81" s="1" t="s">
        <v>1636</v>
      </c>
      <c r="AK81" s="1" t="s">
        <v>1645</v>
      </c>
      <c r="AN81" s="1" t="s">
        <v>1646</v>
      </c>
      <c r="AV81" s="1">
        <v>1.26</v>
      </c>
    </row>
    <row r="82" spans="1:153" x14ac:dyDescent="0.2">
      <c r="A82" s="1" t="s">
        <v>1647</v>
      </c>
      <c r="B82" s="1" t="s">
        <v>55</v>
      </c>
      <c r="C82" s="1" t="s">
        <v>1622</v>
      </c>
      <c r="D82" s="1" t="s">
        <v>2</v>
      </c>
      <c r="E82" s="1">
        <v>21</v>
      </c>
      <c r="F82" s="1" t="s">
        <v>1623</v>
      </c>
      <c r="H82" s="1" t="s">
        <v>1631</v>
      </c>
      <c r="I82" s="1" t="s">
        <v>7</v>
      </c>
      <c r="J82" s="1" t="s">
        <v>1625</v>
      </c>
      <c r="K82" s="1" t="s">
        <v>1626</v>
      </c>
      <c r="L82" s="1" t="s">
        <v>1625</v>
      </c>
      <c r="M82" s="1" t="s">
        <v>1648</v>
      </c>
      <c r="N82" s="1" t="s">
        <v>1627</v>
      </c>
      <c r="P82" s="1" t="s">
        <v>1635</v>
      </c>
      <c r="Q82" s="1">
        <v>1997</v>
      </c>
      <c r="R82" s="1" t="s">
        <v>1629</v>
      </c>
      <c r="S82" s="1" t="s">
        <v>27</v>
      </c>
      <c r="T82" s="38">
        <v>1</v>
      </c>
      <c r="Z82" s="1">
        <v>77.540000000000006</v>
      </c>
      <c r="AE82" s="1">
        <v>18.66</v>
      </c>
      <c r="AJ82" s="1" t="s">
        <v>1636</v>
      </c>
      <c r="AK82" s="1" t="s">
        <v>1649</v>
      </c>
      <c r="AN82" s="1" t="s">
        <v>1650</v>
      </c>
      <c r="AV82" s="1">
        <v>1.26</v>
      </c>
    </row>
    <row r="83" spans="1:153" x14ac:dyDescent="0.2">
      <c r="A83" s="1" t="s">
        <v>1651</v>
      </c>
      <c r="B83" s="1" t="s">
        <v>55</v>
      </c>
      <c r="C83" s="1" t="s">
        <v>1622</v>
      </c>
      <c r="D83" s="1" t="s">
        <v>2</v>
      </c>
      <c r="E83" s="1">
        <v>21</v>
      </c>
      <c r="F83" s="1" t="s">
        <v>1623</v>
      </c>
      <c r="H83" s="1" t="s">
        <v>1652</v>
      </c>
      <c r="I83" s="1" t="s">
        <v>7</v>
      </c>
      <c r="J83" s="1" t="s">
        <v>1625</v>
      </c>
      <c r="K83" s="1" t="s">
        <v>1626</v>
      </c>
      <c r="L83" s="1" t="s">
        <v>1625</v>
      </c>
      <c r="M83" s="1" t="s">
        <v>1632</v>
      </c>
      <c r="N83" s="1" t="s">
        <v>1653</v>
      </c>
      <c r="P83" s="1" t="s">
        <v>1628</v>
      </c>
      <c r="Q83" s="1">
        <v>1997</v>
      </c>
      <c r="R83" s="1" t="s">
        <v>1629</v>
      </c>
      <c r="S83" s="1" t="s">
        <v>27</v>
      </c>
      <c r="T83" s="38">
        <v>1</v>
      </c>
      <c r="Z83" s="1">
        <v>76.349999999999994</v>
      </c>
      <c r="AE83" s="1">
        <v>18.98</v>
      </c>
      <c r="AJ83" s="1">
        <v>3.36</v>
      </c>
      <c r="AV83" s="1">
        <v>1.31</v>
      </c>
    </row>
    <row r="84" spans="1:153" x14ac:dyDescent="0.2">
      <c r="A84" s="1" t="s">
        <v>1654</v>
      </c>
      <c r="B84" s="1" t="s">
        <v>55</v>
      </c>
      <c r="C84" s="1" t="s">
        <v>1622</v>
      </c>
      <c r="D84" s="1" t="s">
        <v>2</v>
      </c>
      <c r="E84" s="1">
        <v>21</v>
      </c>
      <c r="F84" s="1" t="s">
        <v>1623</v>
      </c>
      <c r="H84" s="1" t="s">
        <v>1652</v>
      </c>
      <c r="I84" s="1" t="s">
        <v>7</v>
      </c>
      <c r="J84" s="1" t="s">
        <v>1625</v>
      </c>
      <c r="K84" s="1" t="s">
        <v>1626</v>
      </c>
      <c r="L84" s="1" t="s">
        <v>1625</v>
      </c>
      <c r="M84" s="1" t="s">
        <v>1632</v>
      </c>
      <c r="N84" s="1" t="s">
        <v>1653</v>
      </c>
      <c r="P84" s="1" t="s">
        <v>1635</v>
      </c>
      <c r="Q84" s="1">
        <v>1997</v>
      </c>
      <c r="R84" s="1" t="s">
        <v>1629</v>
      </c>
      <c r="S84" s="1" t="s">
        <v>27</v>
      </c>
      <c r="T84" s="38">
        <v>1</v>
      </c>
      <c r="Z84" s="1">
        <v>76.349999999999994</v>
      </c>
      <c r="AE84" s="1">
        <v>18.98</v>
      </c>
      <c r="AJ84" s="1" t="s">
        <v>1655</v>
      </c>
      <c r="AK84" s="1" t="s">
        <v>1656</v>
      </c>
      <c r="AN84" s="1" t="s">
        <v>1657</v>
      </c>
      <c r="AV84" s="1">
        <v>1.31</v>
      </c>
    </row>
    <row r="85" spans="1:153" x14ac:dyDescent="0.2">
      <c r="A85" s="1" t="s">
        <v>1658</v>
      </c>
      <c r="B85" s="1" t="s">
        <v>55</v>
      </c>
      <c r="C85" s="1" t="s">
        <v>1622</v>
      </c>
      <c r="D85" s="1" t="s">
        <v>2</v>
      </c>
      <c r="E85" s="1">
        <v>21</v>
      </c>
      <c r="F85" s="1" t="s">
        <v>1623</v>
      </c>
      <c r="H85" s="1" t="s">
        <v>1652</v>
      </c>
      <c r="I85" s="1" t="s">
        <v>7</v>
      </c>
      <c r="J85" s="1" t="s">
        <v>1625</v>
      </c>
      <c r="K85" s="1" t="s">
        <v>1626</v>
      </c>
      <c r="L85" s="1" t="s">
        <v>1625</v>
      </c>
      <c r="M85" s="1" t="s">
        <v>1640</v>
      </c>
      <c r="N85" s="1" t="s">
        <v>1653</v>
      </c>
      <c r="P85" s="1" t="s">
        <v>1635</v>
      </c>
      <c r="Q85" s="1">
        <v>1997</v>
      </c>
      <c r="R85" s="1" t="s">
        <v>1629</v>
      </c>
      <c r="S85" s="1" t="s">
        <v>27</v>
      </c>
      <c r="T85" s="38">
        <v>1</v>
      </c>
      <c r="Z85" s="1">
        <v>76.349999999999994</v>
      </c>
      <c r="AE85" s="1">
        <v>18.98</v>
      </c>
      <c r="AJ85" s="1" t="s">
        <v>1655</v>
      </c>
      <c r="AK85" s="1" t="s">
        <v>1659</v>
      </c>
      <c r="AN85" s="1" t="s">
        <v>1660</v>
      </c>
      <c r="AV85" s="1">
        <v>1.31</v>
      </c>
    </row>
    <row r="86" spans="1:153" x14ac:dyDescent="0.2">
      <c r="A86" s="1" t="s">
        <v>1661</v>
      </c>
      <c r="B86" s="1" t="s">
        <v>55</v>
      </c>
      <c r="C86" s="1" t="s">
        <v>1622</v>
      </c>
      <c r="D86" s="1" t="s">
        <v>2</v>
      </c>
      <c r="E86" s="1">
        <v>21</v>
      </c>
      <c r="F86" s="1" t="s">
        <v>1623</v>
      </c>
      <c r="H86" s="1" t="s">
        <v>1652</v>
      </c>
      <c r="I86" s="1" t="s">
        <v>7</v>
      </c>
      <c r="J86" s="1" t="s">
        <v>1625</v>
      </c>
      <c r="K86" s="1" t="s">
        <v>1626</v>
      </c>
      <c r="L86" s="1" t="s">
        <v>1625</v>
      </c>
      <c r="M86" s="1" t="s">
        <v>1644</v>
      </c>
      <c r="N86" s="1" t="s">
        <v>1653</v>
      </c>
      <c r="P86" s="1" t="s">
        <v>1635</v>
      </c>
      <c r="Q86" s="1">
        <v>1997</v>
      </c>
      <c r="R86" s="1" t="s">
        <v>1629</v>
      </c>
      <c r="S86" s="1" t="s">
        <v>27</v>
      </c>
      <c r="T86" s="38">
        <v>1</v>
      </c>
      <c r="Z86" s="1">
        <v>76.349999999999994</v>
      </c>
      <c r="AE86" s="1">
        <v>18.98</v>
      </c>
      <c r="AJ86" s="1" t="s">
        <v>1655</v>
      </c>
      <c r="AK86" s="1" t="s">
        <v>1662</v>
      </c>
      <c r="AN86" s="1" t="s">
        <v>1663</v>
      </c>
      <c r="AV86" s="1">
        <v>1.31</v>
      </c>
    </row>
    <row r="87" spans="1:153" x14ac:dyDescent="0.2">
      <c r="A87" s="1" t="s">
        <v>1664</v>
      </c>
      <c r="B87" s="1" t="s">
        <v>55</v>
      </c>
      <c r="C87" s="1" t="s">
        <v>1622</v>
      </c>
      <c r="D87" s="1" t="s">
        <v>2</v>
      </c>
      <c r="E87" s="1">
        <v>21</v>
      </c>
      <c r="F87" s="1" t="s">
        <v>1623</v>
      </c>
      <c r="H87" s="1" t="s">
        <v>1652</v>
      </c>
      <c r="I87" s="1" t="s">
        <v>7</v>
      </c>
      <c r="J87" s="1" t="s">
        <v>1625</v>
      </c>
      <c r="K87" s="1" t="s">
        <v>1626</v>
      </c>
      <c r="L87" s="1" t="s">
        <v>1625</v>
      </c>
      <c r="M87" s="1" t="s">
        <v>1648</v>
      </c>
      <c r="N87" s="1" t="s">
        <v>1653</v>
      </c>
      <c r="P87" s="1" t="s">
        <v>1635</v>
      </c>
      <c r="Q87" s="1">
        <v>1997</v>
      </c>
      <c r="R87" s="1" t="s">
        <v>1629</v>
      </c>
      <c r="S87" s="1" t="s">
        <v>27</v>
      </c>
      <c r="T87" s="38">
        <v>1</v>
      </c>
      <c r="Z87" s="1">
        <v>76.349999999999994</v>
      </c>
      <c r="AE87" s="1">
        <v>18.98</v>
      </c>
      <c r="AJ87" s="1" t="s">
        <v>1655</v>
      </c>
      <c r="AK87" s="1" t="s">
        <v>1665</v>
      </c>
      <c r="AN87" s="1" t="s">
        <v>1666</v>
      </c>
      <c r="AV87" s="1">
        <v>1.31</v>
      </c>
    </row>
    <row r="88" spans="1:153" x14ac:dyDescent="0.2">
      <c r="A88" s="1" t="s">
        <v>1667</v>
      </c>
      <c r="B88" s="1" t="s">
        <v>55</v>
      </c>
      <c r="C88" s="1" t="s">
        <v>236</v>
      </c>
      <c r="D88" s="1" t="s">
        <v>2</v>
      </c>
      <c r="E88" s="1">
        <v>21</v>
      </c>
      <c r="F88" s="1" t="s">
        <v>1516</v>
      </c>
      <c r="H88" s="1" t="s">
        <v>1668</v>
      </c>
      <c r="I88" s="1" t="s">
        <v>7</v>
      </c>
      <c r="J88" s="1" t="s">
        <v>1518</v>
      </c>
      <c r="K88" s="1" t="s">
        <v>1519</v>
      </c>
      <c r="L88" s="1" t="s">
        <v>1518</v>
      </c>
      <c r="N88" s="1" t="s">
        <v>1669</v>
      </c>
      <c r="P88" s="1" t="s">
        <v>1670</v>
      </c>
      <c r="Q88" s="1">
        <v>1997</v>
      </c>
      <c r="R88" s="1" t="s">
        <v>1671</v>
      </c>
      <c r="S88" s="1" t="s">
        <v>27</v>
      </c>
      <c r="T88" s="38">
        <v>1</v>
      </c>
      <c r="U88" s="1">
        <v>0.58040000000000003</v>
      </c>
      <c r="V88" s="1">
        <v>618</v>
      </c>
      <c r="Z88" s="1">
        <v>72.099999999999994</v>
      </c>
      <c r="AA88" s="1">
        <v>6.25</v>
      </c>
      <c r="AC88" s="1">
        <v>19.399999999999999</v>
      </c>
      <c r="AH88" s="1">
        <v>7.76</v>
      </c>
      <c r="AK88" s="1">
        <v>1.7486304974682001</v>
      </c>
      <c r="AL88" s="1">
        <v>3.19218162921424</v>
      </c>
      <c r="AM88" s="1">
        <v>1.8027061250737699</v>
      </c>
      <c r="AN88" s="1">
        <v>0.353561748243787</v>
      </c>
      <c r="AV88" s="1">
        <v>1.1000000000000001</v>
      </c>
      <c r="EW88" s="1">
        <v>70.400000000000006</v>
      </c>
    </row>
    <row r="89" spans="1:153" x14ac:dyDescent="0.2">
      <c r="A89" s="1" t="s">
        <v>1672</v>
      </c>
      <c r="B89" s="1" t="s">
        <v>55</v>
      </c>
      <c r="C89" s="1" t="s">
        <v>236</v>
      </c>
      <c r="D89" s="1" t="s">
        <v>2</v>
      </c>
      <c r="E89" s="1">
        <v>21</v>
      </c>
      <c r="F89" s="1" t="s">
        <v>1673</v>
      </c>
      <c r="H89" s="1" t="s">
        <v>1674</v>
      </c>
      <c r="I89" s="1" t="s">
        <v>7</v>
      </c>
      <c r="J89" s="1" t="s">
        <v>1675</v>
      </c>
      <c r="K89" s="1" t="s">
        <v>1676</v>
      </c>
      <c r="L89" s="1" t="s">
        <v>1675</v>
      </c>
      <c r="N89" s="1" t="s">
        <v>1677</v>
      </c>
      <c r="P89" s="1" t="s">
        <v>1670</v>
      </c>
      <c r="Q89" s="1">
        <v>1997</v>
      </c>
      <c r="R89" s="1" t="s">
        <v>1671</v>
      </c>
      <c r="S89" s="1" t="s">
        <v>27</v>
      </c>
      <c r="T89" s="38">
        <v>1</v>
      </c>
      <c r="U89" s="1">
        <v>0.54810000000000003</v>
      </c>
      <c r="V89" s="1">
        <v>710</v>
      </c>
      <c r="Z89" s="1">
        <v>69.8</v>
      </c>
      <c r="AA89" s="1">
        <v>6.25</v>
      </c>
      <c r="AC89" s="1">
        <v>18.600000000000001</v>
      </c>
      <c r="AH89" s="1">
        <v>10.64</v>
      </c>
      <c r="AK89" s="1">
        <v>2.5661656935949599</v>
      </c>
      <c r="AL89" s="1">
        <v>4.6710406363531698</v>
      </c>
      <c r="AM89" s="1">
        <v>1.9922323206186801</v>
      </c>
      <c r="AN89" s="1">
        <v>0.55468134943318603</v>
      </c>
      <c r="AV89" s="1">
        <v>1.02</v>
      </c>
      <c r="EW89" s="1">
        <v>64.8</v>
      </c>
    </row>
    <row r="90" spans="1:153" x14ac:dyDescent="0.2">
      <c r="A90" s="1" t="s">
        <v>1678</v>
      </c>
      <c r="B90" s="1" t="s">
        <v>55</v>
      </c>
      <c r="C90" s="1" t="s">
        <v>236</v>
      </c>
      <c r="D90" s="1" t="s">
        <v>2</v>
      </c>
      <c r="E90" s="1">
        <v>21</v>
      </c>
      <c r="F90" s="1" t="s">
        <v>1623</v>
      </c>
      <c r="H90" s="1" t="s">
        <v>1679</v>
      </c>
      <c r="I90" s="1" t="s">
        <v>7</v>
      </c>
      <c r="J90" s="1" t="s">
        <v>1625</v>
      </c>
      <c r="K90" s="1" t="s">
        <v>1626</v>
      </c>
      <c r="L90" s="1" t="s">
        <v>1625</v>
      </c>
      <c r="N90" s="1" t="s">
        <v>1680</v>
      </c>
      <c r="P90" s="1" t="s">
        <v>1670</v>
      </c>
      <c r="Q90" s="1">
        <v>1997</v>
      </c>
      <c r="R90" s="1" t="s">
        <v>1671</v>
      </c>
      <c r="S90" s="1" t="s">
        <v>27</v>
      </c>
      <c r="T90" s="38">
        <v>1</v>
      </c>
      <c r="U90" s="1">
        <v>0.64659999999999995</v>
      </c>
      <c r="V90" s="1">
        <v>499</v>
      </c>
      <c r="Z90" s="1">
        <v>75.5</v>
      </c>
      <c r="AA90" s="1">
        <v>6.25</v>
      </c>
      <c r="AC90" s="1">
        <v>19.5</v>
      </c>
      <c r="AH90" s="1">
        <v>4.49</v>
      </c>
      <c r="AK90" s="1">
        <v>1.08361822868222</v>
      </c>
      <c r="AL90" s="1">
        <v>1.8413158939033401</v>
      </c>
      <c r="AM90" s="1">
        <v>0.89031228409170704</v>
      </c>
      <c r="AN90" s="1">
        <v>0.23092359332274101</v>
      </c>
      <c r="AV90" s="1">
        <v>1.1399999999999999</v>
      </c>
      <c r="EW90" s="1">
        <v>61.4</v>
      </c>
    </row>
    <row r="91" spans="1:153" x14ac:dyDescent="0.2">
      <c r="A91" s="1" t="s">
        <v>1681</v>
      </c>
      <c r="B91" s="1" t="s">
        <v>55</v>
      </c>
      <c r="C91" s="1" t="s">
        <v>236</v>
      </c>
      <c r="E91" s="1">
        <v>11</v>
      </c>
      <c r="F91" s="1" t="s">
        <v>1389</v>
      </c>
      <c r="H91" s="1" t="s">
        <v>1682</v>
      </c>
      <c r="I91" s="1" t="s">
        <v>7</v>
      </c>
      <c r="J91" s="1" t="s">
        <v>1392</v>
      </c>
      <c r="K91" s="1" t="s">
        <v>1393</v>
      </c>
      <c r="L91" s="1" t="s">
        <v>1392</v>
      </c>
      <c r="M91" s="1" t="s">
        <v>1683</v>
      </c>
      <c r="N91" s="1" t="s">
        <v>1684</v>
      </c>
      <c r="O91" s="1">
        <v>1</v>
      </c>
      <c r="Q91" s="1">
        <v>2008</v>
      </c>
      <c r="R91" s="1" t="s">
        <v>1685</v>
      </c>
      <c r="S91" s="1" t="s">
        <v>27</v>
      </c>
      <c r="T91" s="38">
        <v>1</v>
      </c>
      <c r="V91" s="1">
        <v>717.3</v>
      </c>
      <c r="Y91" s="1">
        <v>25.45</v>
      </c>
      <c r="Z91" s="1">
        <v>74.55</v>
      </c>
      <c r="AC91" s="1">
        <v>16.21</v>
      </c>
      <c r="AI91" s="1">
        <v>8.3000000000000007</v>
      </c>
      <c r="AV91" s="1">
        <v>0.94</v>
      </c>
    </row>
    <row r="92" spans="1:153" x14ac:dyDescent="0.2">
      <c r="A92" s="1" t="s">
        <v>1686</v>
      </c>
      <c r="B92" s="1" t="s">
        <v>55</v>
      </c>
      <c r="C92" s="1" t="s">
        <v>236</v>
      </c>
      <c r="E92" s="1">
        <v>11</v>
      </c>
      <c r="F92" s="1" t="s">
        <v>1687</v>
      </c>
      <c r="H92" s="1" t="s">
        <v>1688</v>
      </c>
      <c r="I92" s="1" t="s">
        <v>7</v>
      </c>
      <c r="J92" s="1" t="s">
        <v>1689</v>
      </c>
      <c r="K92" s="1" t="s">
        <v>1690</v>
      </c>
      <c r="L92" s="1" t="s">
        <v>1691</v>
      </c>
      <c r="M92" s="1" t="s">
        <v>1683</v>
      </c>
      <c r="N92" s="1" t="s">
        <v>1692</v>
      </c>
      <c r="O92" s="1">
        <v>1</v>
      </c>
      <c r="Q92" s="1">
        <v>2008</v>
      </c>
      <c r="R92" s="1" t="s">
        <v>1685</v>
      </c>
      <c r="S92" s="1" t="s">
        <v>27</v>
      </c>
      <c r="T92" s="38">
        <v>1</v>
      </c>
      <c r="V92" s="1">
        <v>755.8</v>
      </c>
      <c r="Y92" s="1">
        <v>25.8</v>
      </c>
      <c r="Z92" s="1">
        <v>74.2</v>
      </c>
      <c r="AC92" s="1">
        <v>14.56</v>
      </c>
      <c r="AI92" s="1">
        <v>10.26</v>
      </c>
      <c r="AV92" s="1">
        <v>0.98</v>
      </c>
    </row>
    <row r="93" spans="1:153" x14ac:dyDescent="0.2">
      <c r="A93" s="1" t="s">
        <v>1693</v>
      </c>
      <c r="B93" s="1" t="s">
        <v>55</v>
      </c>
      <c r="C93" s="1" t="s">
        <v>236</v>
      </c>
      <c r="E93" s="1">
        <v>13</v>
      </c>
      <c r="F93" s="1" t="s">
        <v>1694</v>
      </c>
      <c r="H93" s="1" t="s">
        <v>1695</v>
      </c>
      <c r="I93" s="1" t="s">
        <v>7</v>
      </c>
      <c r="J93" s="1" t="s">
        <v>1696</v>
      </c>
      <c r="K93" s="1" t="s">
        <v>1697</v>
      </c>
      <c r="L93" s="1" t="s">
        <v>1696</v>
      </c>
      <c r="M93" s="1" t="s">
        <v>1698</v>
      </c>
      <c r="N93" s="1" t="s">
        <v>1699</v>
      </c>
      <c r="O93" s="1">
        <v>1</v>
      </c>
      <c r="Q93" s="1">
        <v>2008</v>
      </c>
      <c r="R93" s="1" t="s">
        <v>1685</v>
      </c>
      <c r="S93" s="1" t="s">
        <v>27</v>
      </c>
      <c r="T93" s="38">
        <v>1</v>
      </c>
      <c r="V93" s="1">
        <v>596.70000000000005</v>
      </c>
      <c r="Y93" s="1">
        <v>21.85</v>
      </c>
      <c r="Z93" s="1">
        <v>78.150000000000006</v>
      </c>
      <c r="AC93" s="1">
        <v>14.42</v>
      </c>
      <c r="AI93" s="1">
        <v>6.34</v>
      </c>
      <c r="AV93" s="1">
        <v>1.0900000000000001</v>
      </c>
    </row>
    <row r="94" spans="1:153" x14ac:dyDescent="0.2">
      <c r="A94" s="1" t="s">
        <v>1700</v>
      </c>
      <c r="B94" s="1" t="s">
        <v>55</v>
      </c>
      <c r="C94" s="1" t="s">
        <v>1701</v>
      </c>
      <c r="D94" s="1" t="s">
        <v>4</v>
      </c>
      <c r="E94" s="1">
        <v>38</v>
      </c>
      <c r="F94" s="1" t="s">
        <v>1702</v>
      </c>
      <c r="H94" s="1" t="s">
        <v>1703</v>
      </c>
      <c r="I94" s="1" t="s">
        <v>7</v>
      </c>
      <c r="K94" s="1" t="s">
        <v>1704</v>
      </c>
      <c r="L94" s="1" t="s">
        <v>1705</v>
      </c>
      <c r="M94" s="1" t="s">
        <v>1706</v>
      </c>
      <c r="N94" s="1" t="s">
        <v>1707</v>
      </c>
      <c r="O94" s="1">
        <v>1</v>
      </c>
      <c r="Q94" s="1">
        <v>1985</v>
      </c>
      <c r="R94" s="1" t="s">
        <v>1708</v>
      </c>
      <c r="S94" s="1" t="s">
        <v>27</v>
      </c>
      <c r="T94" s="38">
        <v>1</v>
      </c>
      <c r="U94" s="1">
        <v>0.35499999999999998</v>
      </c>
      <c r="Z94" s="1">
        <v>75.3</v>
      </c>
      <c r="AC94" s="1">
        <v>22.5</v>
      </c>
      <c r="AH94" s="1">
        <v>1</v>
      </c>
      <c r="AV94" s="1">
        <v>1.2</v>
      </c>
    </row>
    <row r="95" spans="1:153" x14ac:dyDescent="0.2">
      <c r="A95" s="1" t="s">
        <v>1709</v>
      </c>
      <c r="B95" s="1" t="s">
        <v>55</v>
      </c>
      <c r="C95" s="1" t="s">
        <v>1701</v>
      </c>
      <c r="D95" s="1" t="s">
        <v>2</v>
      </c>
      <c r="E95" s="1">
        <v>23</v>
      </c>
      <c r="F95" s="1" t="s">
        <v>1710</v>
      </c>
      <c r="H95" s="1" t="s">
        <v>1711</v>
      </c>
      <c r="I95" s="1" t="s">
        <v>7</v>
      </c>
      <c r="J95" s="1" t="s">
        <v>1712</v>
      </c>
      <c r="K95" s="1" t="s">
        <v>1713</v>
      </c>
      <c r="L95" s="1" t="s">
        <v>1712</v>
      </c>
      <c r="M95" s="1" t="s">
        <v>1714</v>
      </c>
      <c r="N95" s="1" t="s">
        <v>1715</v>
      </c>
      <c r="O95" s="1">
        <v>1</v>
      </c>
      <c r="Q95" s="1">
        <v>1985</v>
      </c>
      <c r="R95" s="1" t="s">
        <v>1708</v>
      </c>
      <c r="S95" s="1" t="s">
        <v>27</v>
      </c>
      <c r="T95" s="38">
        <v>1</v>
      </c>
      <c r="U95" s="1">
        <v>0.49</v>
      </c>
      <c r="Z95" s="1">
        <v>72.400000000000006</v>
      </c>
      <c r="AC95" s="1">
        <v>19.2</v>
      </c>
      <c r="AH95" s="1">
        <v>7.2</v>
      </c>
      <c r="AV95" s="1">
        <v>1.3</v>
      </c>
    </row>
    <row r="96" spans="1:153" x14ac:dyDescent="0.2">
      <c r="A96" s="1" t="s">
        <v>1716</v>
      </c>
      <c r="B96" s="1" t="s">
        <v>55</v>
      </c>
      <c r="C96" s="1" t="s">
        <v>1701</v>
      </c>
      <c r="D96" s="1" t="s">
        <v>2</v>
      </c>
      <c r="E96" s="1">
        <v>23</v>
      </c>
      <c r="F96" s="1" t="s">
        <v>1710</v>
      </c>
      <c r="H96" s="1" t="s">
        <v>1717</v>
      </c>
      <c r="I96" s="1" t="s">
        <v>7</v>
      </c>
      <c r="J96" s="1" t="s">
        <v>1712</v>
      </c>
      <c r="K96" s="1" t="s">
        <v>1713</v>
      </c>
      <c r="L96" s="1" t="s">
        <v>1712</v>
      </c>
      <c r="M96" s="1" t="s">
        <v>1714</v>
      </c>
      <c r="N96" s="1" t="s">
        <v>1718</v>
      </c>
      <c r="O96" s="1">
        <v>1</v>
      </c>
      <c r="Q96" s="1">
        <v>1985</v>
      </c>
      <c r="R96" s="1" t="s">
        <v>1708</v>
      </c>
      <c r="S96" s="1" t="s">
        <v>27</v>
      </c>
      <c r="T96" s="38">
        <v>1</v>
      </c>
      <c r="U96" s="1">
        <v>0.38400000000000001</v>
      </c>
      <c r="Z96" s="1">
        <v>75.599999999999994</v>
      </c>
      <c r="AC96" s="1">
        <v>18.8</v>
      </c>
      <c r="AH96" s="1">
        <v>4.3</v>
      </c>
      <c r="AV96" s="1">
        <v>1.4</v>
      </c>
    </row>
    <row r="97" spans="1:48" x14ac:dyDescent="0.2">
      <c r="A97" s="1" t="s">
        <v>1719</v>
      </c>
      <c r="B97" s="1" t="s">
        <v>55</v>
      </c>
      <c r="C97" s="1" t="s">
        <v>236</v>
      </c>
      <c r="E97" s="1">
        <v>11</v>
      </c>
      <c r="F97" s="1" t="s">
        <v>1720</v>
      </c>
      <c r="G97" s="1" t="s">
        <v>1721</v>
      </c>
      <c r="H97" s="1" t="s">
        <v>1722</v>
      </c>
      <c r="I97" s="1" t="s">
        <v>7</v>
      </c>
      <c r="J97" s="1" t="s">
        <v>1723</v>
      </c>
      <c r="L97" s="1" t="s">
        <v>1724</v>
      </c>
      <c r="P97" s="1" t="s">
        <v>1725</v>
      </c>
      <c r="Q97" s="1">
        <v>2008</v>
      </c>
      <c r="R97" s="1" t="s">
        <v>1726</v>
      </c>
      <c r="S97" s="1" t="s">
        <v>27</v>
      </c>
      <c r="T97" s="38">
        <v>1</v>
      </c>
      <c r="Z97" s="1">
        <v>78.3</v>
      </c>
      <c r="AE97" s="1">
        <v>19.5</v>
      </c>
      <c r="AJ97" s="1">
        <v>1.5</v>
      </c>
      <c r="AV97" s="1">
        <v>0.7</v>
      </c>
    </row>
    <row r="98" spans="1:48" x14ac:dyDescent="0.2">
      <c r="A98" s="1" t="s">
        <v>1727</v>
      </c>
      <c r="B98" s="1" t="s">
        <v>55</v>
      </c>
      <c r="C98" s="1" t="s">
        <v>236</v>
      </c>
      <c r="E98" s="1">
        <v>11</v>
      </c>
      <c r="F98" s="1" t="s">
        <v>1720</v>
      </c>
      <c r="G98" s="1" t="s">
        <v>1728</v>
      </c>
      <c r="H98" s="1" t="s">
        <v>1722</v>
      </c>
      <c r="I98" s="1" t="s">
        <v>7</v>
      </c>
      <c r="J98" s="1" t="s">
        <v>1729</v>
      </c>
      <c r="L98" s="1" t="s">
        <v>1724</v>
      </c>
      <c r="P98" s="1" t="s">
        <v>1725</v>
      </c>
      <c r="Q98" s="1">
        <v>2008</v>
      </c>
      <c r="R98" s="1" t="s">
        <v>1726</v>
      </c>
      <c r="S98" s="1" t="s">
        <v>27</v>
      </c>
      <c r="T98" s="38">
        <v>1</v>
      </c>
      <c r="Z98" s="1">
        <v>74.3</v>
      </c>
      <c r="AE98" s="1">
        <v>18.7</v>
      </c>
      <c r="AJ98" s="1">
        <v>6.1</v>
      </c>
      <c r="AV98" s="1">
        <v>0.75</v>
      </c>
    </row>
    <row r="99" spans="1:48" x14ac:dyDescent="0.2">
      <c r="A99" s="1" t="s">
        <v>1730</v>
      </c>
      <c r="B99" s="1" t="s">
        <v>55</v>
      </c>
      <c r="C99" s="1" t="s">
        <v>236</v>
      </c>
      <c r="E99" s="1">
        <v>11</v>
      </c>
      <c r="F99" s="1" t="s">
        <v>1389</v>
      </c>
      <c r="G99" s="1" t="s">
        <v>1731</v>
      </c>
      <c r="H99" s="1" t="s">
        <v>1732</v>
      </c>
      <c r="I99" s="1" t="s">
        <v>7</v>
      </c>
      <c r="J99" s="1" t="s">
        <v>1392</v>
      </c>
      <c r="K99" s="1" t="s">
        <v>1393</v>
      </c>
      <c r="L99" s="1" t="s">
        <v>1392</v>
      </c>
      <c r="P99" s="1" t="s">
        <v>1725</v>
      </c>
      <c r="Q99" s="1">
        <v>2008</v>
      </c>
      <c r="R99" s="1" t="s">
        <v>1726</v>
      </c>
      <c r="S99" s="1" t="s">
        <v>27</v>
      </c>
      <c r="T99" s="38">
        <v>1</v>
      </c>
      <c r="Z99" s="1">
        <v>73.099999999999994</v>
      </c>
      <c r="AE99" s="1">
        <v>17.399999999999999</v>
      </c>
      <c r="AJ99" s="1">
        <v>8.9</v>
      </c>
      <c r="AV99" s="1">
        <v>0.62</v>
      </c>
    </row>
    <row r="100" spans="1:48" x14ac:dyDescent="0.2">
      <c r="A100" s="1" t="s">
        <v>1733</v>
      </c>
      <c r="B100" s="1" t="s">
        <v>55</v>
      </c>
      <c r="C100" s="1" t="s">
        <v>236</v>
      </c>
      <c r="E100" s="1">
        <v>23</v>
      </c>
      <c r="F100" s="1" t="s">
        <v>1734</v>
      </c>
      <c r="G100" s="1" t="s">
        <v>1735</v>
      </c>
      <c r="H100" s="1" t="s">
        <v>1736</v>
      </c>
      <c r="I100" s="1" t="s">
        <v>7</v>
      </c>
      <c r="J100" s="1" t="s">
        <v>1737</v>
      </c>
      <c r="K100" s="1" t="s">
        <v>1738</v>
      </c>
      <c r="L100" s="1" t="s">
        <v>1737</v>
      </c>
      <c r="P100" s="1" t="s">
        <v>1725</v>
      </c>
      <c r="Q100" s="1">
        <v>2008</v>
      </c>
      <c r="R100" s="1" t="s">
        <v>1726</v>
      </c>
      <c r="S100" s="1" t="s">
        <v>27</v>
      </c>
      <c r="T100" s="38">
        <v>1</v>
      </c>
      <c r="Z100" s="1">
        <v>74.900000000000006</v>
      </c>
      <c r="AE100" s="1">
        <v>19.8</v>
      </c>
      <c r="AJ100" s="1">
        <v>4.5999999999999996</v>
      </c>
      <c r="AV100" s="1">
        <v>0.67</v>
      </c>
    </row>
    <row r="101" spans="1:48" x14ac:dyDescent="0.2">
      <c r="A101" s="1" t="s">
        <v>1739</v>
      </c>
      <c r="B101" s="1" t="s">
        <v>55</v>
      </c>
      <c r="C101" s="1" t="s">
        <v>236</v>
      </c>
      <c r="E101" s="1">
        <v>35</v>
      </c>
      <c r="F101" s="1" t="s">
        <v>1740</v>
      </c>
      <c r="H101" s="1" t="s">
        <v>1741</v>
      </c>
      <c r="I101" s="1" t="s">
        <v>7</v>
      </c>
      <c r="J101" s="1" t="s">
        <v>1742</v>
      </c>
      <c r="K101" s="1" t="s">
        <v>1743</v>
      </c>
      <c r="L101" s="1" t="s">
        <v>1742</v>
      </c>
      <c r="O101" s="1">
        <v>1</v>
      </c>
      <c r="P101" s="1" t="s">
        <v>1744</v>
      </c>
      <c r="Q101" s="1">
        <v>2008</v>
      </c>
      <c r="R101" s="1" t="s">
        <v>1745</v>
      </c>
      <c r="S101" s="1" t="s">
        <v>27</v>
      </c>
      <c r="T101" s="38">
        <v>1</v>
      </c>
      <c r="AH101" s="1">
        <v>7.51</v>
      </c>
      <c r="AK101" s="1">
        <v>1.52</v>
      </c>
      <c r="AL101" s="1">
        <v>0.93700000000000006</v>
      </c>
      <c r="AM101" s="1">
        <v>3.923</v>
      </c>
    </row>
    <row r="102" spans="1:48" x14ac:dyDescent="0.2">
      <c r="A102" s="1" t="s">
        <v>1746</v>
      </c>
      <c r="B102" s="1" t="s">
        <v>55</v>
      </c>
      <c r="C102" s="1" t="s">
        <v>236</v>
      </c>
      <c r="E102" s="1">
        <v>32</v>
      </c>
      <c r="F102" s="1" t="s">
        <v>1747</v>
      </c>
      <c r="H102" s="1" t="s">
        <v>1748</v>
      </c>
      <c r="I102" s="1" t="s">
        <v>7</v>
      </c>
      <c r="J102" s="1" t="s">
        <v>1749</v>
      </c>
      <c r="K102" s="1" t="s">
        <v>1750</v>
      </c>
      <c r="L102" s="1" t="s">
        <v>1749</v>
      </c>
      <c r="O102" s="1">
        <v>4</v>
      </c>
      <c r="P102" s="1" t="s">
        <v>1751</v>
      </c>
      <c r="Q102" s="1">
        <v>2008</v>
      </c>
      <c r="R102" s="1" t="s">
        <v>1745</v>
      </c>
      <c r="S102" s="1" t="s">
        <v>27</v>
      </c>
      <c r="T102" s="38">
        <v>1</v>
      </c>
      <c r="AH102" s="1">
        <v>0.3</v>
      </c>
      <c r="AK102" s="1">
        <v>5.7000000000000002E-2</v>
      </c>
      <c r="AL102" s="1">
        <v>2.4E-2</v>
      </c>
      <c r="AM102" s="1">
        <v>0.121</v>
      </c>
    </row>
    <row r="103" spans="1:48" x14ac:dyDescent="0.2">
      <c r="A103" s="1" t="s">
        <v>1752</v>
      </c>
      <c r="B103" s="1" t="s">
        <v>55</v>
      </c>
      <c r="C103" s="1" t="s">
        <v>236</v>
      </c>
      <c r="E103" s="1">
        <v>22</v>
      </c>
      <c r="F103" s="1" t="s">
        <v>1753</v>
      </c>
      <c r="H103" s="1" t="s">
        <v>1754</v>
      </c>
      <c r="I103" s="1" t="s">
        <v>7</v>
      </c>
      <c r="J103" s="1" t="s">
        <v>1755</v>
      </c>
      <c r="K103" s="1" t="s">
        <v>1756</v>
      </c>
      <c r="L103" s="1" t="s">
        <v>1755</v>
      </c>
      <c r="O103" s="1">
        <v>1</v>
      </c>
      <c r="P103" s="1" t="s">
        <v>1751</v>
      </c>
      <c r="Q103" s="1">
        <v>2008</v>
      </c>
      <c r="R103" s="1" t="s">
        <v>1745</v>
      </c>
      <c r="S103" s="1" t="s">
        <v>27</v>
      </c>
      <c r="T103" s="38">
        <v>1</v>
      </c>
      <c r="AH103" s="1">
        <v>20.399999999999999</v>
      </c>
      <c r="AK103" s="1">
        <v>5.5830000000000002</v>
      </c>
      <c r="AL103" s="1">
        <v>9.5909999999999993</v>
      </c>
      <c r="AM103" s="1">
        <v>3.2050000000000001</v>
      </c>
    </row>
    <row r="104" spans="1:48" x14ac:dyDescent="0.2">
      <c r="A104" s="1" t="s">
        <v>1757</v>
      </c>
      <c r="B104" s="1" t="s">
        <v>55</v>
      </c>
      <c r="C104" s="1" t="s">
        <v>236</v>
      </c>
      <c r="E104" s="1">
        <v>34</v>
      </c>
      <c r="F104" s="1" t="s">
        <v>1758</v>
      </c>
      <c r="H104" s="1" t="s">
        <v>1759</v>
      </c>
      <c r="I104" s="1" t="s">
        <v>7</v>
      </c>
      <c r="J104" s="1" t="s">
        <v>1760</v>
      </c>
      <c r="K104" s="1" t="s">
        <v>1761</v>
      </c>
      <c r="L104" s="1" t="s">
        <v>1760</v>
      </c>
      <c r="O104" s="1">
        <v>3</v>
      </c>
      <c r="P104" s="1" t="s">
        <v>1751</v>
      </c>
      <c r="Q104" s="1">
        <v>2008</v>
      </c>
      <c r="R104" s="1" t="s">
        <v>1745</v>
      </c>
      <c r="S104" s="1" t="s">
        <v>27</v>
      </c>
      <c r="T104" s="38">
        <v>1</v>
      </c>
      <c r="AH104" s="1">
        <v>5.78</v>
      </c>
      <c r="AK104" s="1">
        <v>0.84699999999999998</v>
      </c>
      <c r="AL104" s="1">
        <v>2.2120000000000002</v>
      </c>
      <c r="AM104" s="1">
        <v>2.141</v>
      </c>
    </row>
    <row r="105" spans="1:48" x14ac:dyDescent="0.2">
      <c r="A105" s="1" t="s">
        <v>1762</v>
      </c>
      <c r="B105" s="1" t="s">
        <v>55</v>
      </c>
      <c r="C105" s="1" t="s">
        <v>236</v>
      </c>
      <c r="E105" s="1">
        <v>23</v>
      </c>
      <c r="F105" s="1" t="s">
        <v>1763</v>
      </c>
      <c r="H105" s="1" t="s">
        <v>1764</v>
      </c>
      <c r="I105" s="1" t="s">
        <v>7</v>
      </c>
      <c r="J105" s="1" t="s">
        <v>1765</v>
      </c>
      <c r="K105" s="1" t="s">
        <v>1766</v>
      </c>
      <c r="L105" s="1" t="s">
        <v>1765</v>
      </c>
      <c r="O105" s="1">
        <v>4</v>
      </c>
      <c r="P105" s="1" t="s">
        <v>1751</v>
      </c>
      <c r="Q105" s="1">
        <v>2008</v>
      </c>
      <c r="R105" s="1" t="s">
        <v>1745</v>
      </c>
      <c r="S105" s="1" t="s">
        <v>27</v>
      </c>
      <c r="T105" s="38">
        <v>1</v>
      </c>
      <c r="AH105" s="1">
        <v>0.44</v>
      </c>
      <c r="AK105" s="1">
        <v>7.3999999999999996E-2</v>
      </c>
      <c r="AL105" s="1">
        <v>6.6000000000000003E-2</v>
      </c>
      <c r="AM105" s="1">
        <v>0.16800000000000001</v>
      </c>
    </row>
    <row r="106" spans="1:48" x14ac:dyDescent="0.2">
      <c r="A106" s="1" t="s">
        <v>1767</v>
      </c>
      <c r="B106" s="1" t="s">
        <v>55</v>
      </c>
      <c r="C106" s="1" t="s">
        <v>236</v>
      </c>
      <c r="E106" s="1">
        <v>32</v>
      </c>
      <c r="F106" s="1" t="s">
        <v>1768</v>
      </c>
      <c r="H106" s="1" t="s">
        <v>1769</v>
      </c>
      <c r="I106" s="1" t="s">
        <v>7</v>
      </c>
      <c r="J106" s="1" t="s">
        <v>1770</v>
      </c>
      <c r="K106" s="1" t="s">
        <v>1771</v>
      </c>
      <c r="L106" s="1" t="s">
        <v>1770</v>
      </c>
      <c r="O106" s="1">
        <v>2</v>
      </c>
      <c r="P106" s="1" t="s">
        <v>1751</v>
      </c>
      <c r="Q106" s="1">
        <v>2008</v>
      </c>
      <c r="R106" s="1" t="s">
        <v>1745</v>
      </c>
      <c r="S106" s="1" t="s">
        <v>27</v>
      </c>
      <c r="T106" s="38">
        <v>1</v>
      </c>
      <c r="AH106" s="1">
        <v>0.25</v>
      </c>
      <c r="AK106" s="1">
        <v>0.06</v>
      </c>
      <c r="AL106" s="1">
        <v>1.7999999999999999E-2</v>
      </c>
      <c r="AM106" s="1">
        <v>9.4E-2</v>
      </c>
    </row>
    <row r="107" spans="1:48" x14ac:dyDescent="0.2">
      <c r="A107" s="1" t="s">
        <v>1772</v>
      </c>
      <c r="B107" s="1" t="s">
        <v>55</v>
      </c>
      <c r="C107" s="1" t="s">
        <v>236</v>
      </c>
      <c r="E107" s="1">
        <v>32</v>
      </c>
      <c r="F107" s="1" t="s">
        <v>1773</v>
      </c>
      <c r="H107" s="1" t="s">
        <v>1774</v>
      </c>
      <c r="I107" s="1" t="s">
        <v>7</v>
      </c>
      <c r="J107" s="1" t="s">
        <v>1775</v>
      </c>
      <c r="K107" s="1" t="s">
        <v>1776</v>
      </c>
      <c r="L107" s="1" t="s">
        <v>1775</v>
      </c>
      <c r="O107" s="1">
        <v>4</v>
      </c>
      <c r="P107" s="1" t="s">
        <v>1751</v>
      </c>
      <c r="Q107" s="1">
        <v>2008</v>
      </c>
      <c r="R107" s="1" t="s">
        <v>1745</v>
      </c>
      <c r="S107" s="1" t="s">
        <v>27</v>
      </c>
      <c r="T107" s="38">
        <v>1</v>
      </c>
      <c r="AH107" s="1">
        <v>0.59</v>
      </c>
      <c r="AK107" s="1">
        <v>0.13</v>
      </c>
      <c r="AL107" s="1">
        <v>8.6999999999999994E-2</v>
      </c>
      <c r="AM107" s="1">
        <v>0.193</v>
      </c>
    </row>
    <row r="108" spans="1:48" x14ac:dyDescent="0.2">
      <c r="A108" s="1" t="s">
        <v>1777</v>
      </c>
      <c r="B108" s="1" t="s">
        <v>55</v>
      </c>
      <c r="C108" s="1" t="s">
        <v>236</v>
      </c>
      <c r="E108" s="1">
        <v>34</v>
      </c>
      <c r="F108" s="1" t="s">
        <v>1778</v>
      </c>
      <c r="H108" s="1" t="s">
        <v>1779</v>
      </c>
      <c r="I108" s="1" t="s">
        <v>7</v>
      </c>
      <c r="J108" s="1" t="s">
        <v>1780</v>
      </c>
      <c r="K108" s="1" t="s">
        <v>1781</v>
      </c>
      <c r="L108" s="1" t="s">
        <v>1780</v>
      </c>
      <c r="O108" s="1">
        <v>2</v>
      </c>
      <c r="P108" s="1" t="s">
        <v>1751</v>
      </c>
      <c r="Q108" s="1">
        <v>2008</v>
      </c>
      <c r="R108" s="1" t="s">
        <v>1745</v>
      </c>
      <c r="S108" s="1" t="s">
        <v>27</v>
      </c>
      <c r="T108" s="38">
        <v>1</v>
      </c>
      <c r="AH108" s="1">
        <v>0.59</v>
      </c>
      <c r="AK108" s="1">
        <v>0.129</v>
      </c>
      <c r="AL108" s="1">
        <v>6.3E-2</v>
      </c>
      <c r="AM108" s="1">
        <v>0.217</v>
      </c>
    </row>
    <row r="109" spans="1:48" x14ac:dyDescent="0.2">
      <c r="A109" s="1" t="s">
        <v>1782</v>
      </c>
      <c r="B109" s="1" t="s">
        <v>55</v>
      </c>
      <c r="C109" s="1" t="s">
        <v>236</v>
      </c>
      <c r="E109" s="1">
        <v>37</v>
      </c>
      <c r="F109" s="1" t="s">
        <v>1600</v>
      </c>
      <c r="H109" s="1" t="s">
        <v>1783</v>
      </c>
      <c r="I109" s="1" t="s">
        <v>7</v>
      </c>
      <c r="J109" s="1" t="s">
        <v>1602</v>
      </c>
      <c r="K109" s="1" t="s">
        <v>1603</v>
      </c>
      <c r="L109" s="1" t="s">
        <v>1602</v>
      </c>
      <c r="O109" s="1">
        <v>4</v>
      </c>
      <c r="P109" s="1" t="s">
        <v>1751</v>
      </c>
      <c r="Q109" s="1">
        <v>2008</v>
      </c>
      <c r="R109" s="1" t="s">
        <v>1745</v>
      </c>
      <c r="S109" s="1" t="s">
        <v>27</v>
      </c>
      <c r="T109" s="38">
        <v>1</v>
      </c>
      <c r="AH109" s="1">
        <v>7.07</v>
      </c>
      <c r="AK109" s="1">
        <v>1.867</v>
      </c>
      <c r="AL109" s="1">
        <v>1.4359999999999999</v>
      </c>
      <c r="AM109" s="1">
        <v>2.8450000000000002</v>
      </c>
    </row>
    <row r="110" spans="1:48" x14ac:dyDescent="0.2">
      <c r="A110" s="1" t="s">
        <v>1784</v>
      </c>
      <c r="B110" s="1" t="s">
        <v>55</v>
      </c>
      <c r="C110" s="1" t="s">
        <v>236</v>
      </c>
      <c r="E110" s="1">
        <v>32</v>
      </c>
      <c r="F110" s="1" t="s">
        <v>1785</v>
      </c>
      <c r="H110" s="1" t="s">
        <v>1786</v>
      </c>
      <c r="I110" s="1" t="s">
        <v>7</v>
      </c>
      <c r="J110" s="1" t="s">
        <v>1787</v>
      </c>
      <c r="K110" s="1" t="s">
        <v>1788</v>
      </c>
      <c r="L110" s="1" t="s">
        <v>1787</v>
      </c>
      <c r="O110" s="1">
        <v>3</v>
      </c>
      <c r="P110" s="1" t="s">
        <v>1751</v>
      </c>
      <c r="Q110" s="1">
        <v>2008</v>
      </c>
      <c r="R110" s="1" t="s">
        <v>1745</v>
      </c>
      <c r="S110" s="1" t="s">
        <v>27</v>
      </c>
      <c r="T110" s="38">
        <v>1</v>
      </c>
      <c r="AH110" s="1">
        <v>0.27</v>
      </c>
      <c r="AK110" s="1">
        <v>6.4000000000000001E-2</v>
      </c>
      <c r="AL110" s="1">
        <v>2.4E-2</v>
      </c>
      <c r="AM110" s="1">
        <v>0.10299999999999999</v>
      </c>
    </row>
    <row r="111" spans="1:48" x14ac:dyDescent="0.2">
      <c r="A111" s="1" t="s">
        <v>1789</v>
      </c>
      <c r="B111" s="1" t="s">
        <v>55</v>
      </c>
      <c r="C111" s="1" t="s">
        <v>236</v>
      </c>
      <c r="E111" s="1">
        <v>32</v>
      </c>
      <c r="F111" s="1" t="s">
        <v>1790</v>
      </c>
      <c r="H111" s="1" t="s">
        <v>1791</v>
      </c>
      <c r="I111" s="1" t="s">
        <v>7</v>
      </c>
      <c r="J111" s="1" t="s">
        <v>1792</v>
      </c>
      <c r="K111" s="1" t="s">
        <v>1793</v>
      </c>
      <c r="L111" s="1" t="s">
        <v>1792</v>
      </c>
      <c r="O111" s="1">
        <v>4</v>
      </c>
      <c r="P111" s="1" t="s">
        <v>1751</v>
      </c>
      <c r="Q111" s="1">
        <v>2008</v>
      </c>
      <c r="R111" s="1" t="s">
        <v>1745</v>
      </c>
      <c r="S111" s="1" t="s">
        <v>27</v>
      </c>
      <c r="T111" s="38">
        <v>1</v>
      </c>
      <c r="AH111" s="1">
        <v>1.04</v>
      </c>
      <c r="AK111" s="1">
        <v>0.20599999999999999</v>
      </c>
      <c r="AL111" s="1">
        <v>0.17399999999999999</v>
      </c>
      <c r="AM111" s="1">
        <v>0.39100000000000001</v>
      </c>
    </row>
    <row r="112" spans="1:48" x14ac:dyDescent="0.2">
      <c r="A112" s="1" t="s">
        <v>1794</v>
      </c>
      <c r="B112" s="1" t="s">
        <v>55</v>
      </c>
      <c r="C112" s="1" t="s">
        <v>236</v>
      </c>
      <c r="E112" s="1">
        <v>23</v>
      </c>
      <c r="F112" s="1" t="s">
        <v>1273</v>
      </c>
      <c r="H112" s="1" t="s">
        <v>1795</v>
      </c>
      <c r="I112" s="1" t="s">
        <v>7</v>
      </c>
      <c r="J112" s="1" t="s">
        <v>1275</v>
      </c>
      <c r="K112" s="1" t="s">
        <v>1276</v>
      </c>
      <c r="L112" s="1" t="s">
        <v>1275</v>
      </c>
      <c r="O112" s="1">
        <v>4</v>
      </c>
      <c r="P112" s="1" t="s">
        <v>1751</v>
      </c>
      <c r="Q112" s="1">
        <v>2008</v>
      </c>
      <c r="R112" s="1" t="s">
        <v>1745</v>
      </c>
      <c r="S112" s="1" t="s">
        <v>27</v>
      </c>
      <c r="T112" s="38">
        <v>1</v>
      </c>
      <c r="AH112" s="1">
        <v>13.5</v>
      </c>
      <c r="AK112" s="1">
        <v>4.0060000000000002</v>
      </c>
      <c r="AL112" s="1">
        <v>3.2370000000000001</v>
      </c>
      <c r="AM112" s="1">
        <v>5.1459999999999999</v>
      </c>
    </row>
    <row r="113" spans="1:39" x14ac:dyDescent="0.2">
      <c r="A113" s="1" t="s">
        <v>1796</v>
      </c>
      <c r="B113" s="1" t="s">
        <v>55</v>
      </c>
      <c r="C113" s="1" t="s">
        <v>236</v>
      </c>
      <c r="E113" s="1">
        <v>35</v>
      </c>
      <c r="F113" s="1" t="s">
        <v>1797</v>
      </c>
      <c r="H113" s="1" t="s">
        <v>1798</v>
      </c>
      <c r="I113" s="1" t="s">
        <v>7</v>
      </c>
      <c r="J113" s="1" t="s">
        <v>1799</v>
      </c>
      <c r="K113" s="1" t="s">
        <v>1800</v>
      </c>
      <c r="L113" s="1" t="s">
        <v>1799</v>
      </c>
      <c r="O113" s="1">
        <v>4</v>
      </c>
      <c r="P113" s="1" t="s">
        <v>1751</v>
      </c>
      <c r="Q113" s="1">
        <v>2008</v>
      </c>
      <c r="R113" s="1" t="s">
        <v>1745</v>
      </c>
      <c r="S113" s="1" t="s">
        <v>27</v>
      </c>
      <c r="T113" s="38">
        <v>1</v>
      </c>
      <c r="AH113" s="1">
        <v>5.72</v>
      </c>
      <c r="AK113" s="1">
        <v>1.7789999999999999</v>
      </c>
      <c r="AL113" s="1">
        <v>1.081</v>
      </c>
      <c r="AM113" s="1">
        <v>2.407</v>
      </c>
    </row>
    <row r="114" spans="1:39" x14ac:dyDescent="0.2">
      <c r="A114" s="1" t="s">
        <v>1801</v>
      </c>
      <c r="B114" s="1" t="s">
        <v>55</v>
      </c>
      <c r="C114" s="1" t="s">
        <v>236</v>
      </c>
      <c r="E114" s="1">
        <v>33</v>
      </c>
      <c r="F114" s="1" t="s">
        <v>1288</v>
      </c>
      <c r="H114" s="1" t="s">
        <v>1802</v>
      </c>
      <c r="I114" s="1" t="s">
        <v>7</v>
      </c>
      <c r="J114" s="1" t="s">
        <v>1290</v>
      </c>
      <c r="K114" s="1" t="s">
        <v>1291</v>
      </c>
      <c r="L114" s="1" t="s">
        <v>1290</v>
      </c>
      <c r="O114" s="1">
        <v>4</v>
      </c>
      <c r="P114" s="1" t="s">
        <v>1751</v>
      </c>
      <c r="Q114" s="1">
        <v>2008</v>
      </c>
      <c r="R114" s="1" t="s">
        <v>1745</v>
      </c>
      <c r="S114" s="1" t="s">
        <v>27</v>
      </c>
      <c r="T114" s="38">
        <v>1</v>
      </c>
      <c r="AH114" s="1">
        <v>2.99</v>
      </c>
      <c r="AK114" s="1">
        <v>0.73199999999999998</v>
      </c>
      <c r="AL114" s="1">
        <v>0.56100000000000005</v>
      </c>
      <c r="AM114" s="1">
        <v>1.2210000000000001</v>
      </c>
    </row>
    <row r="115" spans="1:39" x14ac:dyDescent="0.2">
      <c r="A115" s="1" t="s">
        <v>1803</v>
      </c>
      <c r="B115" s="1" t="s">
        <v>55</v>
      </c>
      <c r="C115" s="1" t="s">
        <v>236</v>
      </c>
      <c r="E115" s="1">
        <v>31</v>
      </c>
      <c r="F115" s="1" t="s">
        <v>1804</v>
      </c>
      <c r="H115" s="1" t="s">
        <v>1805</v>
      </c>
      <c r="I115" s="1" t="s">
        <v>7</v>
      </c>
      <c r="J115" s="1" t="s">
        <v>1806</v>
      </c>
      <c r="K115" s="1" t="s">
        <v>1807</v>
      </c>
      <c r="L115" s="1" t="s">
        <v>1806</v>
      </c>
      <c r="O115" s="1">
        <v>4</v>
      </c>
      <c r="P115" s="1" t="s">
        <v>1751</v>
      </c>
      <c r="Q115" s="1">
        <v>2008</v>
      </c>
      <c r="R115" s="1" t="s">
        <v>1745</v>
      </c>
      <c r="S115" s="1" t="s">
        <v>27</v>
      </c>
      <c r="T115" s="38">
        <v>1</v>
      </c>
      <c r="AH115" s="1">
        <v>0.4</v>
      </c>
      <c r="AK115" s="1">
        <v>0.10100000000000001</v>
      </c>
      <c r="AL115" s="1">
        <v>5.1999999999999998E-2</v>
      </c>
      <c r="AM115" s="1">
        <v>0.128</v>
      </c>
    </row>
    <row r="116" spans="1:39" x14ac:dyDescent="0.2">
      <c r="A116" s="1" t="s">
        <v>1808</v>
      </c>
      <c r="B116" s="1" t="s">
        <v>55</v>
      </c>
      <c r="C116" s="1" t="s">
        <v>236</v>
      </c>
      <c r="E116" s="1">
        <v>36</v>
      </c>
      <c r="F116" s="1" t="s">
        <v>1809</v>
      </c>
      <c r="H116" s="1" t="s">
        <v>1810</v>
      </c>
      <c r="I116" s="1" t="s">
        <v>7</v>
      </c>
      <c r="J116" s="1" t="s">
        <v>1811</v>
      </c>
      <c r="K116" s="1" t="s">
        <v>1812</v>
      </c>
      <c r="L116" s="1" t="s">
        <v>1811</v>
      </c>
      <c r="O116" s="1">
        <v>4</v>
      </c>
      <c r="P116" s="1" t="s">
        <v>1751</v>
      </c>
      <c r="Q116" s="1">
        <v>2008</v>
      </c>
      <c r="R116" s="1" t="s">
        <v>1745</v>
      </c>
      <c r="S116" s="1" t="s">
        <v>27</v>
      </c>
      <c r="T116" s="38">
        <v>1</v>
      </c>
      <c r="AH116" s="1">
        <v>12.4</v>
      </c>
      <c r="AK116" s="1">
        <v>3.3980000000000001</v>
      </c>
      <c r="AL116" s="1">
        <v>3.3279999999999998</v>
      </c>
      <c r="AM116" s="1">
        <v>4.3310000000000004</v>
      </c>
    </row>
    <row r="117" spans="1:39" x14ac:dyDescent="0.2">
      <c r="A117" s="1" t="s">
        <v>1813</v>
      </c>
      <c r="B117" s="1" t="s">
        <v>55</v>
      </c>
      <c r="C117" s="1" t="s">
        <v>236</v>
      </c>
      <c r="E117" s="1">
        <v>36</v>
      </c>
      <c r="F117" s="1" t="s">
        <v>1814</v>
      </c>
      <c r="H117" s="1" t="s">
        <v>1815</v>
      </c>
      <c r="I117" s="1" t="s">
        <v>7</v>
      </c>
      <c r="J117" s="1" t="s">
        <v>1816</v>
      </c>
      <c r="K117" s="1" t="s">
        <v>1817</v>
      </c>
      <c r="L117" s="1" t="s">
        <v>1816</v>
      </c>
      <c r="O117" s="1">
        <v>4</v>
      </c>
      <c r="P117" s="1" t="s">
        <v>1751</v>
      </c>
      <c r="Q117" s="1">
        <v>2008</v>
      </c>
      <c r="R117" s="1" t="s">
        <v>1745</v>
      </c>
      <c r="S117" s="1" t="s">
        <v>27</v>
      </c>
      <c r="T117" s="38">
        <v>1</v>
      </c>
      <c r="AH117" s="1">
        <v>0.73</v>
      </c>
      <c r="AK117" s="1">
        <v>0.187</v>
      </c>
      <c r="AL117" s="1">
        <v>0.113</v>
      </c>
      <c r="AM117" s="1">
        <v>0.21099999999999999</v>
      </c>
    </row>
    <row r="118" spans="1:39" x14ac:dyDescent="0.2">
      <c r="A118" s="1" t="s">
        <v>1818</v>
      </c>
      <c r="B118" s="1" t="s">
        <v>55</v>
      </c>
      <c r="C118" s="1" t="s">
        <v>236</v>
      </c>
      <c r="E118" s="1">
        <v>34</v>
      </c>
      <c r="F118" s="1" t="s">
        <v>1819</v>
      </c>
      <c r="H118" s="1" t="s">
        <v>1820</v>
      </c>
      <c r="I118" s="1" t="s">
        <v>7</v>
      </c>
      <c r="J118" s="1" t="s">
        <v>1821</v>
      </c>
      <c r="K118" s="1" t="s">
        <v>1822</v>
      </c>
      <c r="L118" s="1" t="s">
        <v>1823</v>
      </c>
      <c r="O118" s="1">
        <v>4</v>
      </c>
      <c r="P118" s="1" t="s">
        <v>1824</v>
      </c>
      <c r="Q118" s="1">
        <v>2008</v>
      </c>
      <c r="R118" s="1" t="s">
        <v>1745</v>
      </c>
      <c r="S118" s="1" t="s">
        <v>27</v>
      </c>
      <c r="T118" s="38">
        <v>1</v>
      </c>
      <c r="AH118" s="1">
        <v>0.21</v>
      </c>
      <c r="AK118" s="1">
        <v>5.1999999999999998E-2</v>
      </c>
      <c r="AL118" s="1">
        <v>3.3000000000000002E-2</v>
      </c>
      <c r="AM118" s="1">
        <v>7.0999999999999994E-2</v>
      </c>
    </row>
    <row r="119" spans="1:39" x14ac:dyDescent="0.2">
      <c r="A119" s="1" t="s">
        <v>1825</v>
      </c>
      <c r="B119" s="1" t="s">
        <v>55</v>
      </c>
      <c r="C119" s="1" t="s">
        <v>236</v>
      </c>
      <c r="E119" s="1">
        <v>38</v>
      </c>
      <c r="F119" s="1" t="s">
        <v>1826</v>
      </c>
      <c r="H119" s="1" t="s">
        <v>1827</v>
      </c>
      <c r="I119" s="1" t="s">
        <v>7</v>
      </c>
      <c r="J119" s="1" t="s">
        <v>1828</v>
      </c>
      <c r="K119" s="1" t="s">
        <v>1829</v>
      </c>
      <c r="L119" s="1" t="s">
        <v>1830</v>
      </c>
      <c r="O119" s="1">
        <v>4</v>
      </c>
      <c r="P119" s="1" t="s">
        <v>1831</v>
      </c>
      <c r="Q119" s="1">
        <v>2008</v>
      </c>
      <c r="R119" s="1" t="s">
        <v>1745</v>
      </c>
      <c r="S119" s="1" t="s">
        <v>27</v>
      </c>
      <c r="T119" s="38">
        <v>1</v>
      </c>
      <c r="AH119" s="1">
        <v>0.55000000000000004</v>
      </c>
      <c r="AK119" s="1">
        <v>9.2999999999999999E-2</v>
      </c>
      <c r="AL119" s="1">
        <v>7.0000000000000007E-2</v>
      </c>
      <c r="AM119" s="1">
        <v>0.219</v>
      </c>
    </row>
    <row r="120" spans="1:39" x14ac:dyDescent="0.2">
      <c r="A120" s="1" t="s">
        <v>1832</v>
      </c>
      <c r="B120" s="1" t="s">
        <v>55</v>
      </c>
      <c r="C120" s="1" t="s">
        <v>236</v>
      </c>
      <c r="E120" s="1">
        <v>31</v>
      </c>
      <c r="F120" s="1" t="s">
        <v>1833</v>
      </c>
      <c r="H120" s="1" t="s">
        <v>1834</v>
      </c>
      <c r="I120" s="1" t="s">
        <v>7</v>
      </c>
      <c r="J120" s="1" t="s">
        <v>1835</v>
      </c>
      <c r="K120" s="1" t="s">
        <v>1836</v>
      </c>
      <c r="L120" s="1" t="s">
        <v>1837</v>
      </c>
      <c r="O120" s="1">
        <v>4</v>
      </c>
      <c r="P120" s="1" t="s">
        <v>1838</v>
      </c>
      <c r="Q120" s="1">
        <v>2008</v>
      </c>
      <c r="R120" s="1" t="s">
        <v>1745</v>
      </c>
      <c r="S120" s="1" t="s">
        <v>27</v>
      </c>
      <c r="T120" s="38">
        <v>1</v>
      </c>
      <c r="AH120" s="1">
        <v>0.72</v>
      </c>
      <c r="AK120" s="1">
        <v>0.17399999999999999</v>
      </c>
      <c r="AL120" s="1">
        <v>0.12</v>
      </c>
      <c r="AM120" s="1">
        <v>0.28100000000000003</v>
      </c>
    </row>
    <row r="121" spans="1:39" x14ac:dyDescent="0.2">
      <c r="A121" s="1" t="s">
        <v>1839</v>
      </c>
      <c r="B121" s="1" t="s">
        <v>55</v>
      </c>
      <c r="C121" s="1" t="s">
        <v>236</v>
      </c>
      <c r="E121" s="1">
        <v>33</v>
      </c>
      <c r="F121" s="1" t="s">
        <v>1840</v>
      </c>
      <c r="H121" s="1" t="s">
        <v>1841</v>
      </c>
      <c r="I121" s="1" t="s">
        <v>7</v>
      </c>
      <c r="J121" s="1" t="s">
        <v>1842</v>
      </c>
      <c r="K121" s="1" t="s">
        <v>1843</v>
      </c>
      <c r="L121" s="1" t="s">
        <v>1844</v>
      </c>
      <c r="O121" s="1">
        <v>2</v>
      </c>
      <c r="P121" s="1" t="s">
        <v>1845</v>
      </c>
      <c r="Q121" s="1">
        <v>2008</v>
      </c>
      <c r="R121" s="1" t="s">
        <v>1745</v>
      </c>
      <c r="S121" s="1" t="s">
        <v>27</v>
      </c>
      <c r="T121" s="38">
        <v>1</v>
      </c>
      <c r="AH121" s="1">
        <v>3.75</v>
      </c>
      <c r="AK121" s="1">
        <v>0.90800000000000003</v>
      </c>
      <c r="AL121" s="1">
        <v>0.80100000000000005</v>
      </c>
      <c r="AM121" s="1">
        <v>1.2949999999999999</v>
      </c>
    </row>
    <row r="122" spans="1:39" x14ac:dyDescent="0.2">
      <c r="A122" s="1" t="s">
        <v>1846</v>
      </c>
      <c r="B122" s="1" t="s">
        <v>55</v>
      </c>
      <c r="C122" s="1" t="s">
        <v>236</v>
      </c>
      <c r="E122" s="1">
        <v>34</v>
      </c>
      <c r="F122" s="1" t="s">
        <v>1847</v>
      </c>
      <c r="H122" s="1" t="s">
        <v>1848</v>
      </c>
      <c r="I122" s="1" t="s">
        <v>7</v>
      </c>
      <c r="J122" s="1" t="s">
        <v>1849</v>
      </c>
      <c r="K122" s="1" t="s">
        <v>1850</v>
      </c>
      <c r="L122" s="1" t="s">
        <v>1851</v>
      </c>
      <c r="O122" s="1">
        <v>3</v>
      </c>
      <c r="P122" s="1" t="s">
        <v>1852</v>
      </c>
      <c r="Q122" s="1">
        <v>2008</v>
      </c>
      <c r="R122" s="1" t="s">
        <v>1745</v>
      </c>
      <c r="S122" s="1" t="s">
        <v>27</v>
      </c>
      <c r="T122" s="38">
        <v>1</v>
      </c>
      <c r="AH122" s="1">
        <v>0.73</v>
      </c>
      <c r="AK122" s="1">
        <v>0.33600000000000002</v>
      </c>
      <c r="AL122" s="1">
        <v>0.12</v>
      </c>
      <c r="AM122" s="1">
        <v>5.3999999999999999E-2</v>
      </c>
    </row>
    <row r="123" spans="1:39" x14ac:dyDescent="0.2">
      <c r="A123" s="1" t="s">
        <v>1853</v>
      </c>
      <c r="B123" s="1" t="s">
        <v>55</v>
      </c>
      <c r="C123" s="1" t="s">
        <v>236</v>
      </c>
      <c r="E123" s="1">
        <v>31</v>
      </c>
      <c r="F123" s="1" t="s">
        <v>1833</v>
      </c>
      <c r="H123" s="1" t="s">
        <v>1854</v>
      </c>
      <c r="I123" s="1" t="s">
        <v>7</v>
      </c>
      <c r="J123" s="1" t="s">
        <v>1855</v>
      </c>
      <c r="K123" s="1" t="s">
        <v>1836</v>
      </c>
      <c r="L123" s="1" t="s">
        <v>1837</v>
      </c>
      <c r="O123" s="1">
        <v>1</v>
      </c>
      <c r="P123" s="1" t="s">
        <v>1856</v>
      </c>
      <c r="Q123" s="1">
        <v>2008</v>
      </c>
      <c r="R123" s="1" t="s">
        <v>1745</v>
      </c>
      <c r="S123" s="1" t="s">
        <v>27</v>
      </c>
      <c r="T123" s="38">
        <v>1</v>
      </c>
      <c r="AH123" s="1">
        <v>11.7</v>
      </c>
      <c r="AK123" s="1">
        <v>3.0409999999999999</v>
      </c>
      <c r="AL123" s="1">
        <v>3.069</v>
      </c>
      <c r="AM123" s="1">
        <v>4.1859999999999999</v>
      </c>
    </row>
    <row r="124" spans="1:39" x14ac:dyDescent="0.2">
      <c r="A124" s="1" t="s">
        <v>1857</v>
      </c>
      <c r="B124" s="1" t="s">
        <v>55</v>
      </c>
      <c r="C124" s="1" t="s">
        <v>236</v>
      </c>
      <c r="E124" s="1">
        <v>32</v>
      </c>
      <c r="F124" s="1" t="s">
        <v>1858</v>
      </c>
      <c r="H124" s="1" t="s">
        <v>1859</v>
      </c>
      <c r="I124" s="1" t="s">
        <v>7</v>
      </c>
      <c r="J124" s="1" t="s">
        <v>1860</v>
      </c>
      <c r="K124" s="1" t="s">
        <v>1861</v>
      </c>
      <c r="L124" s="1" t="s">
        <v>1862</v>
      </c>
      <c r="O124" s="1">
        <v>4</v>
      </c>
      <c r="P124" s="1" t="s">
        <v>1863</v>
      </c>
      <c r="Q124" s="1">
        <v>2008</v>
      </c>
      <c r="R124" s="1" t="s">
        <v>1745</v>
      </c>
      <c r="S124" s="1" t="s">
        <v>27</v>
      </c>
      <c r="T124" s="38">
        <v>1</v>
      </c>
      <c r="AH124" s="1">
        <v>0.33</v>
      </c>
      <c r="AK124" s="1">
        <v>6.5000000000000002E-2</v>
      </c>
      <c r="AL124" s="1">
        <v>4.4999999999999998E-2</v>
      </c>
      <c r="AM124" s="1">
        <v>0.11700000000000001</v>
      </c>
    </row>
    <row r="125" spans="1:39" x14ac:dyDescent="0.2">
      <c r="A125" s="1" t="s">
        <v>1864</v>
      </c>
      <c r="B125" s="1" t="s">
        <v>55</v>
      </c>
      <c r="C125" s="1" t="s">
        <v>236</v>
      </c>
      <c r="E125" s="1">
        <v>31</v>
      </c>
      <c r="F125" s="1" t="s">
        <v>1833</v>
      </c>
      <c r="H125" s="1" t="s">
        <v>1865</v>
      </c>
      <c r="I125" s="1" t="s">
        <v>7</v>
      </c>
      <c r="J125" s="1" t="s">
        <v>1866</v>
      </c>
      <c r="K125" s="1" t="s">
        <v>1836</v>
      </c>
      <c r="L125" s="1" t="s">
        <v>1837</v>
      </c>
      <c r="O125" s="1">
        <v>4</v>
      </c>
      <c r="P125" s="1" t="s">
        <v>1867</v>
      </c>
      <c r="Q125" s="1">
        <v>2008</v>
      </c>
      <c r="R125" s="1" t="s">
        <v>1745</v>
      </c>
      <c r="S125" s="1" t="s">
        <v>27</v>
      </c>
      <c r="T125" s="38">
        <v>1</v>
      </c>
      <c r="AH125" s="1">
        <v>0.37</v>
      </c>
      <c r="AK125" s="1">
        <v>9.7000000000000003E-2</v>
      </c>
      <c r="AL125" s="1">
        <v>5.2999999999999999E-2</v>
      </c>
      <c r="AM125" s="1">
        <v>0.111</v>
      </c>
    </row>
    <row r="126" spans="1:39" x14ac:dyDescent="0.2">
      <c r="A126" s="1" t="s">
        <v>1868</v>
      </c>
      <c r="B126" s="1" t="s">
        <v>55</v>
      </c>
      <c r="C126" s="1" t="s">
        <v>236</v>
      </c>
      <c r="E126" s="1">
        <v>32</v>
      </c>
      <c r="F126" s="1" t="s">
        <v>1869</v>
      </c>
      <c r="H126" s="1" t="s">
        <v>1870</v>
      </c>
      <c r="I126" s="1" t="s">
        <v>7</v>
      </c>
      <c r="J126" s="1" t="s">
        <v>1871</v>
      </c>
      <c r="K126" s="1" t="s">
        <v>1872</v>
      </c>
      <c r="L126" s="1" t="s">
        <v>1873</v>
      </c>
      <c r="O126" s="1">
        <v>1</v>
      </c>
      <c r="P126" s="1" t="s">
        <v>1874</v>
      </c>
      <c r="Q126" s="1">
        <v>2008</v>
      </c>
      <c r="R126" s="1" t="s">
        <v>1745</v>
      </c>
      <c r="S126" s="1" t="s">
        <v>27</v>
      </c>
      <c r="T126" s="38">
        <v>1</v>
      </c>
      <c r="AH126" s="1">
        <v>0.28999999999999998</v>
      </c>
      <c r="AK126" s="1">
        <v>8.8999999999999996E-2</v>
      </c>
      <c r="AL126" s="1">
        <v>0.02</v>
      </c>
      <c r="AM126" s="1">
        <v>9.0999999999999998E-2</v>
      </c>
    </row>
    <row r="127" spans="1:39" x14ac:dyDescent="0.2">
      <c r="A127" s="1" t="s">
        <v>1875</v>
      </c>
      <c r="B127" s="1" t="s">
        <v>55</v>
      </c>
      <c r="C127" s="1" t="s">
        <v>236</v>
      </c>
      <c r="E127" s="1">
        <v>38</v>
      </c>
      <c r="F127" s="1" t="s">
        <v>1876</v>
      </c>
      <c r="H127" s="1" t="s">
        <v>1877</v>
      </c>
      <c r="I127" s="1" t="s">
        <v>7</v>
      </c>
      <c r="J127" s="1" t="s">
        <v>1878</v>
      </c>
      <c r="K127" s="1" t="s">
        <v>1879</v>
      </c>
      <c r="L127" s="1" t="s">
        <v>1880</v>
      </c>
      <c r="O127" s="1">
        <v>4</v>
      </c>
      <c r="P127" s="1" t="s">
        <v>1881</v>
      </c>
      <c r="Q127" s="1">
        <v>2008</v>
      </c>
      <c r="R127" s="1" t="s">
        <v>1745</v>
      </c>
      <c r="S127" s="1" t="s">
        <v>27</v>
      </c>
      <c r="T127" s="38">
        <v>1</v>
      </c>
      <c r="AH127" s="1">
        <v>0.61</v>
      </c>
      <c r="AK127" s="1">
        <v>0.129</v>
      </c>
      <c r="AL127" s="1">
        <v>7.6999999999999999E-2</v>
      </c>
      <c r="AM127" s="1">
        <v>0.216</v>
      </c>
    </row>
    <row r="128" spans="1:39" x14ac:dyDescent="0.2">
      <c r="A128" s="1" t="s">
        <v>1882</v>
      </c>
      <c r="B128" s="1" t="s">
        <v>55</v>
      </c>
      <c r="C128" s="1" t="s">
        <v>236</v>
      </c>
      <c r="E128" s="1">
        <v>34</v>
      </c>
      <c r="F128" s="1" t="s">
        <v>1883</v>
      </c>
      <c r="H128" s="1" t="s">
        <v>1884</v>
      </c>
      <c r="I128" s="1" t="s">
        <v>7</v>
      </c>
      <c r="J128" s="1" t="s">
        <v>1885</v>
      </c>
      <c r="K128" s="1" t="s">
        <v>1886</v>
      </c>
      <c r="L128" s="1" t="s">
        <v>1887</v>
      </c>
      <c r="O128" s="1">
        <v>1</v>
      </c>
      <c r="P128" s="1" t="s">
        <v>1888</v>
      </c>
      <c r="Q128" s="1">
        <v>2008</v>
      </c>
      <c r="R128" s="1" t="s">
        <v>1745</v>
      </c>
      <c r="S128" s="1" t="s">
        <v>27</v>
      </c>
      <c r="T128" s="38">
        <v>1</v>
      </c>
      <c r="AH128" s="1">
        <v>2.27</v>
      </c>
      <c r="AK128" s="1">
        <v>0.46400000000000002</v>
      </c>
      <c r="AL128" s="1">
        <v>0.39900000000000002</v>
      </c>
      <c r="AM128" s="1">
        <v>0.94899999999999995</v>
      </c>
    </row>
    <row r="129" spans="1:39" x14ac:dyDescent="0.2">
      <c r="A129" s="1" t="s">
        <v>1889</v>
      </c>
      <c r="B129" s="1" t="s">
        <v>55</v>
      </c>
      <c r="C129" s="1" t="s">
        <v>236</v>
      </c>
      <c r="E129" s="1">
        <v>33</v>
      </c>
      <c r="F129" s="1" t="s">
        <v>1890</v>
      </c>
      <c r="H129" s="1" t="s">
        <v>1891</v>
      </c>
      <c r="I129" s="1" t="s">
        <v>7</v>
      </c>
      <c r="J129" s="1" t="s">
        <v>1892</v>
      </c>
      <c r="K129" s="1" t="s">
        <v>1893</v>
      </c>
      <c r="L129" s="1" t="s">
        <v>1894</v>
      </c>
      <c r="O129" s="1">
        <v>4</v>
      </c>
      <c r="P129" s="1" t="s">
        <v>1895</v>
      </c>
      <c r="Q129" s="1">
        <v>2008</v>
      </c>
      <c r="R129" s="1" t="s">
        <v>1745</v>
      </c>
      <c r="S129" s="1" t="s">
        <v>27</v>
      </c>
      <c r="T129" s="38">
        <v>1</v>
      </c>
      <c r="AH129" s="1">
        <v>4.8899999999999997</v>
      </c>
      <c r="AK129" s="1">
        <v>1.3080000000000001</v>
      </c>
      <c r="AL129" s="1">
        <v>1.2330000000000001</v>
      </c>
      <c r="AM129" s="1">
        <v>1.859</v>
      </c>
    </row>
    <row r="130" spans="1:39" x14ac:dyDescent="0.2">
      <c r="A130" s="1" t="s">
        <v>1896</v>
      </c>
      <c r="B130" s="1" t="s">
        <v>55</v>
      </c>
      <c r="C130" s="1" t="s">
        <v>236</v>
      </c>
      <c r="E130" s="1">
        <v>32</v>
      </c>
      <c r="F130" s="1" t="s">
        <v>1869</v>
      </c>
      <c r="H130" s="1" t="s">
        <v>1897</v>
      </c>
      <c r="I130" s="1" t="s">
        <v>7</v>
      </c>
      <c r="J130" s="1" t="s">
        <v>1898</v>
      </c>
      <c r="K130" s="1" t="s">
        <v>1872</v>
      </c>
      <c r="L130" s="1" t="s">
        <v>1873</v>
      </c>
      <c r="O130" s="1">
        <v>4</v>
      </c>
      <c r="P130" s="1" t="s">
        <v>1899</v>
      </c>
      <c r="Q130" s="1">
        <v>2008</v>
      </c>
      <c r="R130" s="1" t="s">
        <v>1745</v>
      </c>
      <c r="S130" s="1" t="s">
        <v>27</v>
      </c>
      <c r="T130" s="38">
        <v>1</v>
      </c>
      <c r="AH130" s="1">
        <v>0.25</v>
      </c>
      <c r="AK130" s="1">
        <v>5.2999999999999999E-2</v>
      </c>
      <c r="AL130" s="1">
        <v>2.9000000000000001E-2</v>
      </c>
      <c r="AM130" s="1">
        <v>9.8000000000000004E-2</v>
      </c>
    </row>
    <row r="131" spans="1:39" x14ac:dyDescent="0.2">
      <c r="A131" s="1" t="s">
        <v>1900</v>
      </c>
      <c r="B131" s="1" t="s">
        <v>57</v>
      </c>
      <c r="C131" s="1" t="s">
        <v>236</v>
      </c>
      <c r="E131" s="1">
        <v>57</v>
      </c>
      <c r="F131" s="1" t="s">
        <v>1901</v>
      </c>
      <c r="H131" s="1" t="s">
        <v>1902</v>
      </c>
      <c r="I131" s="1" t="s">
        <v>7</v>
      </c>
      <c r="J131" s="1" t="s">
        <v>1903</v>
      </c>
      <c r="K131" s="1" t="s">
        <v>1904</v>
      </c>
      <c r="L131" s="1" t="s">
        <v>1903</v>
      </c>
      <c r="O131" s="1">
        <v>2</v>
      </c>
      <c r="P131" s="1" t="s">
        <v>1744</v>
      </c>
      <c r="Q131" s="1">
        <v>2008</v>
      </c>
      <c r="R131" s="1" t="s">
        <v>1745</v>
      </c>
      <c r="S131" s="1" t="s">
        <v>27</v>
      </c>
      <c r="T131" s="38">
        <v>1</v>
      </c>
      <c r="AH131" s="1">
        <v>0.85</v>
      </c>
      <c r="AK131" s="1">
        <v>0.193</v>
      </c>
      <c r="AL131" s="1">
        <v>3.3000000000000002E-2</v>
      </c>
      <c r="AM131" s="1">
        <v>0.28199999999999997</v>
      </c>
    </row>
    <row r="132" spans="1:39" x14ac:dyDescent="0.2">
      <c r="A132" s="1" t="s">
        <v>1905</v>
      </c>
      <c r="B132" s="1" t="s">
        <v>57</v>
      </c>
      <c r="C132" s="1" t="s">
        <v>236</v>
      </c>
      <c r="E132" s="1">
        <v>55</v>
      </c>
      <c r="F132" s="1" t="s">
        <v>1906</v>
      </c>
      <c r="H132" s="1" t="s">
        <v>1907</v>
      </c>
      <c r="I132" s="1" t="s">
        <v>7</v>
      </c>
      <c r="J132" s="1" t="s">
        <v>1908</v>
      </c>
      <c r="K132" s="1" t="s">
        <v>1909</v>
      </c>
      <c r="L132" s="1" t="s">
        <v>1908</v>
      </c>
      <c r="O132" s="1">
        <v>4</v>
      </c>
      <c r="P132" s="1" t="s">
        <v>1744</v>
      </c>
      <c r="Q132" s="1">
        <v>2008</v>
      </c>
      <c r="R132" s="1" t="s">
        <v>1745</v>
      </c>
      <c r="S132" s="1" t="s">
        <v>27</v>
      </c>
      <c r="T132" s="38">
        <v>1</v>
      </c>
      <c r="AH132" s="1">
        <v>0.8</v>
      </c>
      <c r="AK132" s="1">
        <v>0.20100000000000001</v>
      </c>
      <c r="AL132" s="1">
        <v>4.8000000000000001E-2</v>
      </c>
      <c r="AM132" s="1">
        <v>0.26300000000000001</v>
      </c>
    </row>
    <row r="133" spans="1:39" x14ac:dyDescent="0.2">
      <c r="A133" s="1" t="s">
        <v>1910</v>
      </c>
      <c r="B133" s="1" t="s">
        <v>1911</v>
      </c>
      <c r="C133" s="1" t="s">
        <v>236</v>
      </c>
      <c r="E133" s="1">
        <v>43</v>
      </c>
      <c r="F133" s="1" t="s">
        <v>1912</v>
      </c>
      <c r="H133" s="1" t="s">
        <v>1913</v>
      </c>
      <c r="I133" s="1" t="s">
        <v>7</v>
      </c>
      <c r="J133" s="1" t="s">
        <v>1914</v>
      </c>
      <c r="K133" s="1" t="s">
        <v>1915</v>
      </c>
      <c r="L133" s="1" t="s">
        <v>1914</v>
      </c>
      <c r="O133" s="1">
        <v>1</v>
      </c>
      <c r="P133" s="1" t="s">
        <v>1744</v>
      </c>
      <c r="Q133" s="1">
        <v>2008</v>
      </c>
      <c r="R133" s="1" t="s">
        <v>1745</v>
      </c>
      <c r="S133" s="1" t="s">
        <v>27</v>
      </c>
      <c r="T133" s="38">
        <v>1</v>
      </c>
      <c r="AH133" s="1">
        <v>1.53</v>
      </c>
      <c r="AK133" s="1">
        <v>0.28899999999999998</v>
      </c>
      <c r="AL133" s="1">
        <v>0.38900000000000001</v>
      </c>
      <c r="AM133" s="1">
        <v>0.33400000000000002</v>
      </c>
    </row>
    <row r="134" spans="1:39" x14ac:dyDescent="0.2">
      <c r="A134" s="1" t="s">
        <v>1916</v>
      </c>
      <c r="B134" s="1" t="s">
        <v>57</v>
      </c>
      <c r="C134" s="1" t="s">
        <v>236</v>
      </c>
      <c r="E134" s="1">
        <v>54</v>
      </c>
      <c r="F134" s="1" t="s">
        <v>1917</v>
      </c>
      <c r="H134" s="1" t="s">
        <v>1918</v>
      </c>
      <c r="I134" s="1" t="s">
        <v>11</v>
      </c>
      <c r="J134" s="1" t="s">
        <v>1919</v>
      </c>
      <c r="K134" s="1" t="s">
        <v>1920</v>
      </c>
      <c r="L134" s="1" t="s">
        <v>1919</v>
      </c>
      <c r="O134" s="1">
        <v>4</v>
      </c>
      <c r="P134" s="1" t="s">
        <v>1744</v>
      </c>
      <c r="Q134" s="1">
        <v>2008</v>
      </c>
      <c r="R134" s="1" t="s">
        <v>1745</v>
      </c>
      <c r="S134" s="1" t="s">
        <v>27</v>
      </c>
      <c r="T134" s="38">
        <v>1</v>
      </c>
      <c r="AH134" s="1">
        <v>1.0900000000000001</v>
      </c>
      <c r="AK134" s="1">
        <v>0.24</v>
      </c>
      <c r="AL134" s="1">
        <v>0.10199999999999999</v>
      </c>
      <c r="AM134" s="1">
        <v>0.41</v>
      </c>
    </row>
    <row r="135" spans="1:39" x14ac:dyDescent="0.2">
      <c r="A135" s="1" t="s">
        <v>1921</v>
      </c>
      <c r="B135" s="1" t="s">
        <v>57</v>
      </c>
      <c r="C135" s="1" t="s">
        <v>236</v>
      </c>
      <c r="E135" s="1">
        <v>57</v>
      </c>
      <c r="F135" s="1" t="s">
        <v>1922</v>
      </c>
      <c r="H135" s="1" t="s">
        <v>1923</v>
      </c>
      <c r="I135" s="1" t="s">
        <v>7</v>
      </c>
      <c r="J135" s="1" t="s">
        <v>1924</v>
      </c>
      <c r="K135" s="1" t="s">
        <v>1925</v>
      </c>
      <c r="L135" s="1" t="s">
        <v>1924</v>
      </c>
      <c r="O135" s="1">
        <v>1</v>
      </c>
      <c r="P135" s="1" t="s">
        <v>1744</v>
      </c>
      <c r="Q135" s="1">
        <v>2008</v>
      </c>
      <c r="R135" s="1" t="s">
        <v>1745</v>
      </c>
      <c r="S135" s="1" t="s">
        <v>27</v>
      </c>
      <c r="T135" s="38">
        <v>1</v>
      </c>
      <c r="AH135" s="1">
        <v>0.36</v>
      </c>
      <c r="AK135" s="1">
        <v>8.4000000000000005E-2</v>
      </c>
      <c r="AL135" s="1">
        <v>1.2E-2</v>
      </c>
      <c r="AM135" s="1">
        <v>0.122</v>
      </c>
    </row>
    <row r="136" spans="1:39" x14ac:dyDescent="0.2">
      <c r="A136" s="1" t="s">
        <v>1926</v>
      </c>
      <c r="B136" s="1" t="s">
        <v>1911</v>
      </c>
      <c r="C136" s="1" t="s">
        <v>236</v>
      </c>
      <c r="E136" s="1">
        <v>43</v>
      </c>
      <c r="F136" s="1" t="s">
        <v>1927</v>
      </c>
      <c r="H136" s="1" t="s">
        <v>1928</v>
      </c>
      <c r="I136" s="1" t="s">
        <v>11</v>
      </c>
      <c r="J136" s="1" t="s">
        <v>1929</v>
      </c>
      <c r="K136" s="1" t="s">
        <v>1930</v>
      </c>
      <c r="L136" s="1" t="s">
        <v>1929</v>
      </c>
      <c r="O136" s="1">
        <v>3</v>
      </c>
      <c r="P136" s="1" t="s">
        <v>1744</v>
      </c>
      <c r="Q136" s="1">
        <v>2008</v>
      </c>
      <c r="R136" s="1" t="s">
        <v>1745</v>
      </c>
      <c r="S136" s="1" t="s">
        <v>27</v>
      </c>
      <c r="T136" s="38">
        <v>1</v>
      </c>
      <c r="AH136" s="1">
        <v>0.63</v>
      </c>
      <c r="AK136" s="1">
        <v>0.121</v>
      </c>
      <c r="AL136" s="1">
        <v>0.11600000000000001</v>
      </c>
      <c r="AM136" s="1">
        <v>0.19700000000000001</v>
      </c>
    </row>
    <row r="137" spans="1:39" x14ac:dyDescent="0.2">
      <c r="A137" s="1" t="s">
        <v>1931</v>
      </c>
      <c r="B137" s="1" t="s">
        <v>1911</v>
      </c>
      <c r="C137" s="1" t="s">
        <v>236</v>
      </c>
      <c r="E137" s="1">
        <v>45</v>
      </c>
      <c r="F137" s="1" t="s">
        <v>1932</v>
      </c>
      <c r="H137" s="1" t="s">
        <v>1933</v>
      </c>
      <c r="I137" s="1" t="s">
        <v>7</v>
      </c>
      <c r="J137" s="1" t="s">
        <v>1934</v>
      </c>
      <c r="K137" s="1" t="s">
        <v>1935</v>
      </c>
      <c r="L137" s="1" t="s">
        <v>1936</v>
      </c>
      <c r="O137" s="1">
        <v>4</v>
      </c>
      <c r="P137" s="1" t="s">
        <v>1937</v>
      </c>
      <c r="Q137" s="1">
        <v>2008</v>
      </c>
      <c r="R137" s="1" t="s">
        <v>1745</v>
      </c>
      <c r="S137" s="1" t="s">
        <v>27</v>
      </c>
      <c r="T137" s="38">
        <v>1</v>
      </c>
      <c r="AH137" s="1">
        <v>0.76</v>
      </c>
      <c r="AK137" s="1">
        <v>0.16200000000000001</v>
      </c>
      <c r="AL137" s="1">
        <v>0.14899999999999999</v>
      </c>
      <c r="AM137" s="1">
        <v>0.23499999999999999</v>
      </c>
    </row>
    <row r="138" spans="1:39" x14ac:dyDescent="0.2">
      <c r="A138" s="1" t="s">
        <v>1938</v>
      </c>
      <c r="B138" s="1" t="s">
        <v>57</v>
      </c>
      <c r="C138" s="1" t="s">
        <v>236</v>
      </c>
      <c r="E138" s="1">
        <v>57</v>
      </c>
      <c r="F138" s="1" t="s">
        <v>1939</v>
      </c>
      <c r="H138" s="1" t="s">
        <v>1940</v>
      </c>
      <c r="I138" s="1" t="s">
        <v>7</v>
      </c>
      <c r="J138" s="1" t="s">
        <v>1941</v>
      </c>
      <c r="K138" s="1" t="s">
        <v>1942</v>
      </c>
      <c r="L138" s="1" t="s">
        <v>1941</v>
      </c>
      <c r="O138" s="1">
        <v>4</v>
      </c>
      <c r="P138" s="1" t="s">
        <v>1744</v>
      </c>
      <c r="Q138" s="1">
        <v>2008</v>
      </c>
      <c r="R138" s="1" t="s">
        <v>1745</v>
      </c>
      <c r="S138" s="1" t="s">
        <v>27</v>
      </c>
      <c r="T138" s="38">
        <v>1</v>
      </c>
      <c r="AH138" s="1">
        <v>1.33</v>
      </c>
      <c r="AK138" s="1">
        <v>0.255</v>
      </c>
      <c r="AL138" s="1">
        <v>0.10299999999999999</v>
      </c>
      <c r="AM138" s="1">
        <v>0.44</v>
      </c>
    </row>
    <row r="139" spans="1:39" x14ac:dyDescent="0.2">
      <c r="A139" s="1" t="s">
        <v>1943</v>
      </c>
      <c r="B139" s="1" t="s">
        <v>55</v>
      </c>
      <c r="C139" s="1" t="s">
        <v>236</v>
      </c>
      <c r="E139" s="1">
        <v>35</v>
      </c>
      <c r="F139" s="1" t="s">
        <v>1740</v>
      </c>
      <c r="H139" s="1" t="s">
        <v>1944</v>
      </c>
      <c r="I139" s="1" t="s">
        <v>11</v>
      </c>
      <c r="J139" s="1" t="s">
        <v>1742</v>
      </c>
      <c r="K139" s="1" t="s">
        <v>1743</v>
      </c>
      <c r="L139" s="1" t="s">
        <v>1742</v>
      </c>
      <c r="O139" s="1">
        <v>2</v>
      </c>
      <c r="P139" s="1" t="s">
        <v>1945</v>
      </c>
      <c r="Q139" s="1">
        <v>2008</v>
      </c>
      <c r="R139" s="1" t="s">
        <v>1745</v>
      </c>
      <c r="S139" s="1" t="s">
        <v>27</v>
      </c>
      <c r="T139" s="38">
        <v>1</v>
      </c>
      <c r="AH139" s="1">
        <v>7.36</v>
      </c>
      <c r="AK139" s="1">
        <v>2.2589999999999999</v>
      </c>
      <c r="AL139" s="1">
        <v>1.3009999999999999</v>
      </c>
      <c r="AM139" s="1">
        <v>2.694</v>
      </c>
    </row>
    <row r="140" spans="1:39" x14ac:dyDescent="0.2">
      <c r="A140" s="1" t="s">
        <v>1946</v>
      </c>
      <c r="B140" s="1" t="s">
        <v>1911</v>
      </c>
      <c r="C140" s="1" t="s">
        <v>236</v>
      </c>
      <c r="E140" s="1">
        <v>42</v>
      </c>
      <c r="F140" s="1" t="s">
        <v>1947</v>
      </c>
      <c r="H140" s="1" t="s">
        <v>1948</v>
      </c>
      <c r="I140" s="1" t="s">
        <v>11</v>
      </c>
      <c r="J140" s="1" t="s">
        <v>1949</v>
      </c>
      <c r="K140" s="1" t="s">
        <v>1950</v>
      </c>
      <c r="L140" s="1" t="s">
        <v>1949</v>
      </c>
      <c r="O140" s="1">
        <v>1</v>
      </c>
      <c r="P140" s="1" t="s">
        <v>1744</v>
      </c>
      <c r="Q140" s="1">
        <v>2008</v>
      </c>
      <c r="R140" s="1" t="s">
        <v>1745</v>
      </c>
      <c r="S140" s="1" t="s">
        <v>27</v>
      </c>
      <c r="T140" s="38">
        <v>1</v>
      </c>
      <c r="AH140" s="1">
        <v>0.56999999999999995</v>
      </c>
      <c r="AK140" s="1">
        <v>0.122</v>
      </c>
      <c r="AL140" s="1">
        <v>0.08</v>
      </c>
      <c r="AM140" s="1">
        <v>0.19900000000000001</v>
      </c>
    </row>
    <row r="141" spans="1:39" x14ac:dyDescent="0.2">
      <c r="A141" s="1" t="s">
        <v>1951</v>
      </c>
      <c r="B141" s="1" t="s">
        <v>55</v>
      </c>
      <c r="C141" s="1" t="s">
        <v>236</v>
      </c>
      <c r="E141" s="1">
        <v>37</v>
      </c>
      <c r="F141" s="1" t="s">
        <v>1600</v>
      </c>
      <c r="H141" s="1" t="s">
        <v>1952</v>
      </c>
      <c r="I141" s="1" t="s">
        <v>11</v>
      </c>
      <c r="J141" s="1" t="s">
        <v>1602</v>
      </c>
      <c r="K141" s="1" t="s">
        <v>1603</v>
      </c>
      <c r="L141" s="1" t="s">
        <v>1602</v>
      </c>
      <c r="O141" s="1">
        <v>1</v>
      </c>
      <c r="P141" s="1" t="s">
        <v>1945</v>
      </c>
      <c r="Q141" s="1">
        <v>2008</v>
      </c>
      <c r="R141" s="1" t="s">
        <v>1745</v>
      </c>
      <c r="S141" s="1" t="s">
        <v>27</v>
      </c>
      <c r="T141" s="38">
        <v>1</v>
      </c>
      <c r="AH141" s="1">
        <v>13.2</v>
      </c>
      <c r="AK141" s="1">
        <v>3.73</v>
      </c>
      <c r="AL141" s="1">
        <v>1.794</v>
      </c>
      <c r="AM141" s="1">
        <v>5.976</v>
      </c>
    </row>
    <row r="142" spans="1:39" x14ac:dyDescent="0.2">
      <c r="A142" s="1" t="s">
        <v>1953</v>
      </c>
      <c r="B142" s="1" t="s">
        <v>55</v>
      </c>
      <c r="C142" s="1" t="s">
        <v>236</v>
      </c>
      <c r="E142" s="1">
        <v>35</v>
      </c>
      <c r="F142" s="1" t="s">
        <v>1797</v>
      </c>
      <c r="H142" s="1" t="s">
        <v>1954</v>
      </c>
      <c r="I142" s="1" t="s">
        <v>11</v>
      </c>
      <c r="J142" s="1" t="s">
        <v>1799</v>
      </c>
      <c r="K142" s="1" t="s">
        <v>1800</v>
      </c>
      <c r="L142" s="1" t="s">
        <v>1799</v>
      </c>
      <c r="O142" s="1">
        <v>1</v>
      </c>
      <c r="P142" s="1" t="s">
        <v>1945</v>
      </c>
      <c r="Q142" s="1">
        <v>2008</v>
      </c>
      <c r="R142" s="1" t="s">
        <v>1745</v>
      </c>
      <c r="S142" s="1" t="s">
        <v>27</v>
      </c>
      <c r="T142" s="38">
        <v>1</v>
      </c>
      <c r="AH142" s="1">
        <v>9.8000000000000007</v>
      </c>
      <c r="AK142" s="1">
        <v>2.2189999999999999</v>
      </c>
      <c r="AL142" s="1">
        <v>1.427</v>
      </c>
      <c r="AM142" s="1">
        <v>4.0949999999999998</v>
      </c>
    </row>
    <row r="143" spans="1:39" x14ac:dyDescent="0.2">
      <c r="A143" s="1" t="s">
        <v>1955</v>
      </c>
      <c r="B143" s="1" t="s">
        <v>55</v>
      </c>
      <c r="C143" s="1" t="s">
        <v>236</v>
      </c>
      <c r="E143" s="1">
        <v>35</v>
      </c>
      <c r="F143" s="1" t="s">
        <v>1797</v>
      </c>
      <c r="H143" s="1" t="s">
        <v>1956</v>
      </c>
      <c r="I143" s="1" t="s">
        <v>11</v>
      </c>
      <c r="J143" s="1" t="s">
        <v>1799</v>
      </c>
      <c r="K143" s="1" t="s">
        <v>1800</v>
      </c>
      <c r="L143" s="1" t="s">
        <v>1799</v>
      </c>
      <c r="O143" s="1">
        <v>1</v>
      </c>
      <c r="P143" s="1" t="s">
        <v>1945</v>
      </c>
      <c r="Q143" s="1">
        <v>2008</v>
      </c>
      <c r="R143" s="1" t="s">
        <v>1745</v>
      </c>
      <c r="S143" s="1" t="s">
        <v>27</v>
      </c>
      <c r="T143" s="38">
        <v>1</v>
      </c>
      <c r="AH143" s="1">
        <v>11.9</v>
      </c>
      <c r="AK143" s="1">
        <v>3.3279999999999998</v>
      </c>
      <c r="AL143" s="1">
        <v>3.093</v>
      </c>
      <c r="AM143" s="1">
        <v>4.484</v>
      </c>
    </row>
    <row r="144" spans="1:39" x14ac:dyDescent="0.2">
      <c r="A144" s="1" t="s">
        <v>1957</v>
      </c>
      <c r="B144" s="1" t="s">
        <v>55</v>
      </c>
      <c r="C144" s="1" t="s">
        <v>236</v>
      </c>
      <c r="E144" s="1">
        <v>36</v>
      </c>
      <c r="F144" s="1" t="s">
        <v>1958</v>
      </c>
      <c r="H144" s="1" t="s">
        <v>1959</v>
      </c>
      <c r="I144" s="1" t="s">
        <v>11</v>
      </c>
      <c r="J144" s="1" t="s">
        <v>1960</v>
      </c>
      <c r="K144" s="1" t="s">
        <v>1961</v>
      </c>
      <c r="L144" s="1" t="s">
        <v>1962</v>
      </c>
      <c r="O144" s="1">
        <v>5</v>
      </c>
      <c r="P144" s="1" t="s">
        <v>1963</v>
      </c>
      <c r="Q144" s="1">
        <v>2008</v>
      </c>
      <c r="R144" s="1" t="s">
        <v>1745</v>
      </c>
      <c r="S144" s="1" t="s">
        <v>27</v>
      </c>
      <c r="T144" s="38">
        <v>1</v>
      </c>
      <c r="AH144" s="1">
        <v>6.03</v>
      </c>
      <c r="AK144" s="1">
        <v>1.1970000000000001</v>
      </c>
      <c r="AL144" s="1">
        <v>1.76</v>
      </c>
      <c r="AM144" s="1">
        <v>0.90100000000000002</v>
      </c>
    </row>
    <row r="145" spans="1:153" x14ac:dyDescent="0.2">
      <c r="A145" s="1" t="s">
        <v>1964</v>
      </c>
      <c r="B145" s="1" t="s">
        <v>55</v>
      </c>
      <c r="C145" s="1" t="s">
        <v>236</v>
      </c>
      <c r="E145" s="1">
        <v>32</v>
      </c>
      <c r="F145" s="1" t="s">
        <v>1768</v>
      </c>
      <c r="H145" s="1" t="s">
        <v>1965</v>
      </c>
      <c r="I145" s="1" t="s">
        <v>11</v>
      </c>
      <c r="J145" s="1" t="s">
        <v>1770</v>
      </c>
      <c r="K145" s="1" t="s">
        <v>1771</v>
      </c>
      <c r="L145" s="1" t="s">
        <v>1770</v>
      </c>
      <c r="O145" s="1">
        <v>1</v>
      </c>
      <c r="P145" s="1" t="s">
        <v>1945</v>
      </c>
      <c r="Q145" s="1">
        <v>2008</v>
      </c>
      <c r="R145" s="1" t="s">
        <v>1745</v>
      </c>
      <c r="S145" s="1" t="s">
        <v>27</v>
      </c>
      <c r="T145" s="38">
        <v>1</v>
      </c>
      <c r="AH145" s="1">
        <v>0.24</v>
      </c>
      <c r="AK145" s="1">
        <v>5.8999999999999997E-2</v>
      </c>
      <c r="AL145" s="1">
        <v>2.5000000000000001E-2</v>
      </c>
      <c r="AM145" s="1">
        <v>7.4999999999999997E-2</v>
      </c>
    </row>
    <row r="146" spans="1:153" x14ac:dyDescent="0.2">
      <c r="A146" s="1" t="s">
        <v>1966</v>
      </c>
      <c r="B146" s="1" t="s">
        <v>55</v>
      </c>
      <c r="C146" s="1" t="s">
        <v>236</v>
      </c>
      <c r="E146" s="1">
        <v>35</v>
      </c>
      <c r="F146" s="1" t="s">
        <v>1967</v>
      </c>
      <c r="H146" s="1" t="s">
        <v>1968</v>
      </c>
      <c r="I146" s="1" t="s">
        <v>11</v>
      </c>
      <c r="J146" s="1" t="s">
        <v>1969</v>
      </c>
      <c r="K146" s="1" t="s">
        <v>1970</v>
      </c>
      <c r="L146" s="1" t="s">
        <v>1969</v>
      </c>
      <c r="O146" s="1">
        <v>1</v>
      </c>
      <c r="P146" s="1" t="s">
        <v>1945</v>
      </c>
      <c r="Q146" s="1">
        <v>2008</v>
      </c>
      <c r="R146" s="1" t="s">
        <v>1745</v>
      </c>
      <c r="S146" s="1" t="s">
        <v>27</v>
      </c>
      <c r="T146" s="38">
        <v>1</v>
      </c>
      <c r="AH146" s="1">
        <v>10</v>
      </c>
      <c r="AK146" s="1">
        <v>1.643</v>
      </c>
      <c r="AL146" s="1">
        <v>1.1519999999999999</v>
      </c>
      <c r="AM146" s="1">
        <v>5.9429999999999996</v>
      </c>
    </row>
    <row r="147" spans="1:153" x14ac:dyDescent="0.2">
      <c r="A147" s="1" t="s">
        <v>1971</v>
      </c>
      <c r="B147" s="1" t="s">
        <v>55</v>
      </c>
      <c r="C147" s="1" t="s">
        <v>236</v>
      </c>
      <c r="E147" s="1">
        <v>37</v>
      </c>
      <c r="F147" s="1" t="s">
        <v>1600</v>
      </c>
      <c r="H147" s="1" t="s">
        <v>1972</v>
      </c>
      <c r="I147" s="1" t="s">
        <v>11</v>
      </c>
      <c r="J147" s="1" t="s">
        <v>1602</v>
      </c>
      <c r="K147" s="1" t="s">
        <v>1603</v>
      </c>
      <c r="L147" s="1" t="s">
        <v>1602</v>
      </c>
      <c r="O147" s="1">
        <v>1</v>
      </c>
      <c r="P147" s="1" t="s">
        <v>1945</v>
      </c>
      <c r="Q147" s="1">
        <v>2008</v>
      </c>
      <c r="R147" s="1" t="s">
        <v>1745</v>
      </c>
      <c r="S147" s="1" t="s">
        <v>27</v>
      </c>
      <c r="T147" s="38">
        <v>1</v>
      </c>
      <c r="AH147" s="1">
        <v>17</v>
      </c>
      <c r="AK147" s="1">
        <v>3.2189999999999999</v>
      </c>
      <c r="AL147" s="1">
        <v>1.6579999999999999</v>
      </c>
      <c r="AM147" s="1">
        <v>0.98709999999999998</v>
      </c>
    </row>
    <row r="148" spans="1:153" x14ac:dyDescent="0.2">
      <c r="A148" s="1" t="s">
        <v>1973</v>
      </c>
      <c r="B148" s="1" t="s">
        <v>55</v>
      </c>
      <c r="C148" s="1" t="s">
        <v>236</v>
      </c>
      <c r="E148" s="1">
        <v>23</v>
      </c>
      <c r="F148" s="1" t="s">
        <v>1273</v>
      </c>
      <c r="H148" s="1" t="s">
        <v>1974</v>
      </c>
      <c r="I148" s="1" t="s">
        <v>11</v>
      </c>
      <c r="J148" s="1" t="s">
        <v>1275</v>
      </c>
      <c r="K148" s="1" t="s">
        <v>1276</v>
      </c>
      <c r="L148" s="1" t="s">
        <v>1275</v>
      </c>
      <c r="O148" s="1">
        <v>1</v>
      </c>
      <c r="P148" s="1" t="s">
        <v>1945</v>
      </c>
      <c r="Q148" s="1">
        <v>2008</v>
      </c>
      <c r="R148" s="1" t="s">
        <v>1745</v>
      </c>
      <c r="S148" s="1" t="s">
        <v>27</v>
      </c>
      <c r="T148" s="38">
        <v>1</v>
      </c>
      <c r="AH148" s="1">
        <v>9.7899999999999991</v>
      </c>
      <c r="AK148" s="1">
        <v>3.391</v>
      </c>
      <c r="AL148" s="1">
        <v>0.94</v>
      </c>
      <c r="AM148" s="1">
        <v>0.46779999999999999</v>
      </c>
    </row>
    <row r="149" spans="1:153" x14ac:dyDescent="0.2">
      <c r="A149" s="1" t="s">
        <v>1975</v>
      </c>
      <c r="B149" s="1" t="s">
        <v>55</v>
      </c>
      <c r="C149" s="1" t="s">
        <v>1976</v>
      </c>
      <c r="D149" s="1" t="s">
        <v>2</v>
      </c>
      <c r="E149" s="1">
        <v>33</v>
      </c>
      <c r="F149" s="1" t="s">
        <v>1977</v>
      </c>
      <c r="H149" s="1" t="s">
        <v>1978</v>
      </c>
      <c r="I149" s="1" t="s">
        <v>7</v>
      </c>
      <c r="J149" s="1" t="s">
        <v>1979</v>
      </c>
      <c r="K149" s="1" t="s">
        <v>1980</v>
      </c>
      <c r="L149" s="1" t="s">
        <v>1981</v>
      </c>
      <c r="M149" s="1" t="s">
        <v>1982</v>
      </c>
      <c r="N149" s="1" t="s">
        <v>1983</v>
      </c>
      <c r="P149" s="1" t="s">
        <v>1984</v>
      </c>
      <c r="Q149" s="1">
        <v>2008</v>
      </c>
      <c r="R149" s="1" t="s">
        <v>1985</v>
      </c>
      <c r="S149" s="1" t="s">
        <v>27</v>
      </c>
      <c r="T149" s="38">
        <v>1</v>
      </c>
      <c r="Z149" s="1">
        <v>72.89</v>
      </c>
      <c r="AC149" s="1">
        <v>20.920787000000001</v>
      </c>
      <c r="AI149" s="1">
        <v>4.882511</v>
      </c>
      <c r="AK149" s="1">
        <v>0.75363497592039996</v>
      </c>
      <c r="AL149" s="1">
        <v>1.2954755792168</v>
      </c>
      <c r="AM149" s="1">
        <v>1.1150091242100999</v>
      </c>
      <c r="AV149" s="1">
        <v>0.45544800000000002</v>
      </c>
      <c r="DR149" s="1">
        <v>10459.038</v>
      </c>
      <c r="DU149" s="1">
        <v>1146.7529999999999</v>
      </c>
      <c r="DV149" s="1">
        <v>1195.5509999999999</v>
      </c>
      <c r="DX149" s="1">
        <v>1886.856</v>
      </c>
      <c r="DY149" s="1">
        <v>284.65499999999997</v>
      </c>
      <c r="EA149" s="1">
        <v>3003.788</v>
      </c>
      <c r="EB149" s="1">
        <v>1312.124</v>
      </c>
      <c r="EC149" s="1">
        <v>477.13600000000002</v>
      </c>
      <c r="EF149" s="1">
        <v>1157.597</v>
      </c>
      <c r="EG149" s="1">
        <v>685.88300000000004</v>
      </c>
      <c r="EH149" s="1">
        <v>2694.7339999999999</v>
      </c>
      <c r="EI149" s="1">
        <v>642.50699999999995</v>
      </c>
      <c r="EK149" s="1">
        <v>1496.472</v>
      </c>
      <c r="EL149" s="1">
        <v>970.53800000000001</v>
      </c>
      <c r="EM149" s="1">
        <v>680.46100000000001</v>
      </c>
      <c r="EO149" s="1">
        <v>965.11599999999999</v>
      </c>
      <c r="EQ149" s="1">
        <v>775.346</v>
      </c>
      <c r="ER149" s="1">
        <v>1146.7529999999999</v>
      </c>
    </row>
    <row r="150" spans="1:153" x14ac:dyDescent="0.2">
      <c r="A150" s="1" t="s">
        <v>1986</v>
      </c>
      <c r="B150" s="1" t="s">
        <v>55</v>
      </c>
      <c r="C150" s="1" t="s">
        <v>1976</v>
      </c>
      <c r="D150" s="1" t="s">
        <v>2</v>
      </c>
      <c r="E150" s="1">
        <v>33</v>
      </c>
      <c r="F150" s="1" t="s">
        <v>1977</v>
      </c>
      <c r="H150" s="1" t="s">
        <v>1978</v>
      </c>
      <c r="I150" s="1" t="s">
        <v>7</v>
      </c>
      <c r="J150" s="1" t="s">
        <v>1979</v>
      </c>
      <c r="K150" s="1" t="s">
        <v>1980</v>
      </c>
      <c r="L150" s="1" t="s">
        <v>1981</v>
      </c>
      <c r="M150" s="1" t="s">
        <v>1982</v>
      </c>
      <c r="N150" s="1" t="s">
        <v>1987</v>
      </c>
      <c r="P150" s="1" t="s">
        <v>1984</v>
      </c>
      <c r="Q150" s="1">
        <v>2008</v>
      </c>
      <c r="R150" s="1" t="s">
        <v>1985</v>
      </c>
      <c r="S150" s="1" t="s">
        <v>27</v>
      </c>
      <c r="T150" s="38">
        <v>1</v>
      </c>
      <c r="Z150" s="1">
        <v>74.63</v>
      </c>
      <c r="AC150" s="1">
        <v>19.446104999999999</v>
      </c>
      <c r="AI150" s="1">
        <v>4.3002149999999997</v>
      </c>
      <c r="AK150" s="1">
        <v>0.67786642424400001</v>
      </c>
      <c r="AL150" s="1">
        <v>1.166920739452</v>
      </c>
      <c r="AM150" s="1">
        <v>0.95876312744100001</v>
      </c>
      <c r="AV150" s="1">
        <v>0.54799200000000003</v>
      </c>
      <c r="DR150" s="1">
        <v>9478.232</v>
      </c>
      <c r="DU150" s="1">
        <v>1250.741</v>
      </c>
      <c r="DV150" s="1">
        <v>1065.54</v>
      </c>
      <c r="DX150" s="1">
        <v>1831.7139999999999</v>
      </c>
      <c r="DY150" s="1">
        <v>281.60700000000003</v>
      </c>
      <c r="EA150" s="1">
        <v>2980.9749999999999</v>
      </c>
      <c r="EB150" s="1">
        <v>1179.7049999999999</v>
      </c>
      <c r="EC150" s="1">
        <v>443.97500000000002</v>
      </c>
      <c r="EF150" s="1">
        <v>1131.502</v>
      </c>
      <c r="EG150" s="1">
        <v>575.899</v>
      </c>
      <c r="EH150" s="1">
        <v>2176.7460000000001</v>
      </c>
      <c r="EI150" s="1">
        <v>558.14</v>
      </c>
      <c r="EK150" s="1">
        <v>1458.7750000000001</v>
      </c>
      <c r="EL150" s="1">
        <v>827.06200000000001</v>
      </c>
      <c r="EM150" s="1">
        <v>649.47199999999998</v>
      </c>
      <c r="EO150" s="1">
        <v>1007.189</v>
      </c>
      <c r="EQ150" s="1">
        <v>690.06399999999996</v>
      </c>
      <c r="ER150" s="1">
        <v>1060.4659999999999</v>
      </c>
    </row>
    <row r="151" spans="1:153" x14ac:dyDescent="0.2">
      <c r="A151" s="1" t="s">
        <v>1988</v>
      </c>
      <c r="B151" s="1" t="s">
        <v>55</v>
      </c>
      <c r="C151" s="1" t="s">
        <v>1989</v>
      </c>
      <c r="E151" s="1">
        <v>36</v>
      </c>
      <c r="F151" s="1" t="s">
        <v>1990</v>
      </c>
      <c r="G151" s="1" t="s">
        <v>1991</v>
      </c>
      <c r="H151" s="1" t="s">
        <v>1992</v>
      </c>
      <c r="I151" s="1" t="s">
        <v>7</v>
      </c>
      <c r="J151" s="1" t="s">
        <v>1993</v>
      </c>
      <c r="K151" s="1" t="s">
        <v>1994</v>
      </c>
      <c r="L151" s="1" t="s">
        <v>1995</v>
      </c>
      <c r="P151" s="1" t="s">
        <v>1269</v>
      </c>
      <c r="Q151" s="1">
        <v>2001</v>
      </c>
      <c r="R151" s="1" t="s">
        <v>1996</v>
      </c>
      <c r="S151" s="1" t="s">
        <v>27</v>
      </c>
      <c r="T151" s="38">
        <v>1</v>
      </c>
      <c r="AH151" s="1">
        <v>1.46</v>
      </c>
      <c r="AK151" s="1">
        <v>7.7905602000000004E-2</v>
      </c>
      <c r="AL151" s="1">
        <v>4.9742544E-2</v>
      </c>
      <c r="AN151" s="1">
        <v>0.39928144999999998</v>
      </c>
      <c r="EW151" s="1">
        <v>41.1</v>
      </c>
    </row>
    <row r="152" spans="1:153" x14ac:dyDescent="0.2">
      <c r="A152" s="1" t="s">
        <v>1997</v>
      </c>
      <c r="B152" s="1" t="s">
        <v>55</v>
      </c>
      <c r="C152" s="1" t="s">
        <v>1989</v>
      </c>
      <c r="E152" s="1">
        <v>38</v>
      </c>
      <c r="F152" s="1" t="s">
        <v>1998</v>
      </c>
      <c r="G152" s="1" t="s">
        <v>1999</v>
      </c>
      <c r="H152" s="1" t="s">
        <v>2000</v>
      </c>
      <c r="I152" s="1" t="s">
        <v>7</v>
      </c>
      <c r="J152" s="1" t="s">
        <v>2001</v>
      </c>
      <c r="K152" s="1" t="s">
        <v>2002</v>
      </c>
      <c r="L152" s="1" t="s">
        <v>2001</v>
      </c>
      <c r="P152" s="1" t="s">
        <v>1269</v>
      </c>
      <c r="Q152" s="1">
        <v>2001</v>
      </c>
      <c r="R152" s="1" t="s">
        <v>1996</v>
      </c>
      <c r="S152" s="1" t="s">
        <v>27</v>
      </c>
      <c r="T152" s="38">
        <v>1</v>
      </c>
      <c r="AH152" s="1">
        <v>1.95</v>
      </c>
      <c r="AK152" s="1">
        <v>6.0851505E-2</v>
      </c>
      <c r="AL152" s="1">
        <v>6.5042379999999997E-2</v>
      </c>
      <c r="AN152" s="1">
        <v>0.57901128999999996</v>
      </c>
      <c r="EW152" s="1">
        <v>37.1</v>
      </c>
    </row>
    <row r="153" spans="1:153" x14ac:dyDescent="0.2">
      <c r="A153" s="1" t="s">
        <v>2003</v>
      </c>
      <c r="B153" s="1" t="s">
        <v>55</v>
      </c>
      <c r="C153" s="1" t="s">
        <v>1989</v>
      </c>
      <c r="E153" s="1">
        <v>33</v>
      </c>
      <c r="F153" s="1" t="s">
        <v>2004</v>
      </c>
      <c r="G153" s="1" t="s">
        <v>2005</v>
      </c>
      <c r="H153" s="1" t="s">
        <v>2006</v>
      </c>
      <c r="I153" s="1" t="s">
        <v>7</v>
      </c>
      <c r="J153" s="1" t="s">
        <v>2007</v>
      </c>
      <c r="K153" s="1" t="s">
        <v>2008</v>
      </c>
      <c r="L153" s="1" t="s">
        <v>2007</v>
      </c>
      <c r="P153" s="1" t="s">
        <v>1269</v>
      </c>
      <c r="Q153" s="1">
        <v>2001</v>
      </c>
      <c r="R153" s="1" t="s">
        <v>1996</v>
      </c>
      <c r="S153" s="1" t="s">
        <v>27</v>
      </c>
      <c r="T153" s="38">
        <v>1</v>
      </c>
      <c r="AH153" s="1">
        <v>2.2400000000000002</v>
      </c>
      <c r="AK153" s="1">
        <v>0.158479288</v>
      </c>
      <c r="AL153" s="1">
        <v>3.8549015999999998E-2</v>
      </c>
      <c r="AN153" s="1">
        <v>0.77876800000000002</v>
      </c>
      <c r="EW153" s="1">
        <v>45.9</v>
      </c>
    </row>
    <row r="154" spans="1:153" x14ac:dyDescent="0.2">
      <c r="A154" s="1" t="s">
        <v>2009</v>
      </c>
      <c r="B154" s="1" t="s">
        <v>55</v>
      </c>
      <c r="C154" s="1" t="s">
        <v>1989</v>
      </c>
      <c r="E154" s="1">
        <v>33</v>
      </c>
      <c r="F154" s="1" t="s">
        <v>2010</v>
      </c>
      <c r="G154" s="1" t="s">
        <v>2011</v>
      </c>
      <c r="H154" s="1" t="s">
        <v>2012</v>
      </c>
      <c r="I154" s="1" t="s">
        <v>7</v>
      </c>
      <c r="J154" s="1" t="s">
        <v>2013</v>
      </c>
      <c r="K154" s="1" t="s">
        <v>2014</v>
      </c>
      <c r="L154" s="1" t="s">
        <v>2013</v>
      </c>
      <c r="P154" s="1" t="s">
        <v>1269</v>
      </c>
      <c r="Q154" s="1">
        <v>2001</v>
      </c>
      <c r="R154" s="1" t="s">
        <v>1996</v>
      </c>
      <c r="S154" s="1" t="s">
        <v>27</v>
      </c>
      <c r="T154" s="38">
        <v>1</v>
      </c>
      <c r="AH154" s="1">
        <v>2.79</v>
      </c>
      <c r="AK154" s="1">
        <v>0.24945109800000001</v>
      </c>
      <c r="AL154" s="1">
        <v>3.3702958999999998E-2</v>
      </c>
      <c r="AN154" s="1">
        <v>0.83666980700000004</v>
      </c>
      <c r="EW154" s="1">
        <v>46.9</v>
      </c>
    </row>
    <row r="155" spans="1:153" x14ac:dyDescent="0.2">
      <c r="A155" s="1" t="s">
        <v>2015</v>
      </c>
      <c r="B155" s="1" t="s">
        <v>55</v>
      </c>
      <c r="C155" s="1" t="s">
        <v>1989</v>
      </c>
      <c r="E155" s="1">
        <v>37</v>
      </c>
      <c r="F155" s="1" t="s">
        <v>2016</v>
      </c>
      <c r="G155" s="1" t="s">
        <v>2017</v>
      </c>
      <c r="H155" s="1" t="s">
        <v>2018</v>
      </c>
      <c r="I155" s="1" t="s">
        <v>7</v>
      </c>
      <c r="J155" s="1" t="s">
        <v>2019</v>
      </c>
      <c r="K155" s="1" t="s">
        <v>2020</v>
      </c>
      <c r="L155" s="1" t="s">
        <v>2019</v>
      </c>
      <c r="P155" s="1" t="s">
        <v>1269</v>
      </c>
      <c r="Q155" s="1">
        <v>2001</v>
      </c>
      <c r="R155" s="1" t="s">
        <v>1996</v>
      </c>
      <c r="S155" s="1" t="s">
        <v>27</v>
      </c>
      <c r="T155" s="38">
        <v>1</v>
      </c>
      <c r="AH155" s="1">
        <v>2.79</v>
      </c>
      <c r="AK155" s="1">
        <v>0.28020197299999999</v>
      </c>
      <c r="AL155" s="1">
        <v>8.9546548000000004E-2</v>
      </c>
      <c r="AN155" s="1">
        <v>0.75204339899999995</v>
      </c>
      <c r="EW155" s="1">
        <v>46.8</v>
      </c>
    </row>
    <row r="156" spans="1:153" x14ac:dyDescent="0.2">
      <c r="A156" s="1" t="s">
        <v>2021</v>
      </c>
      <c r="B156" s="1" t="s">
        <v>55</v>
      </c>
      <c r="C156" s="1" t="s">
        <v>1989</v>
      </c>
      <c r="E156" s="1">
        <v>37</v>
      </c>
      <c r="F156" s="1" t="s">
        <v>2022</v>
      </c>
      <c r="G156" s="1" t="s">
        <v>2023</v>
      </c>
      <c r="H156" s="1" t="s">
        <v>2024</v>
      </c>
      <c r="I156" s="1" t="s">
        <v>7</v>
      </c>
      <c r="J156" s="1" t="s">
        <v>2025</v>
      </c>
      <c r="K156" s="1" t="s">
        <v>2026</v>
      </c>
      <c r="L156" s="1" t="s">
        <v>2025</v>
      </c>
      <c r="P156" s="1" t="s">
        <v>1269</v>
      </c>
      <c r="Q156" s="1">
        <v>2001</v>
      </c>
      <c r="R156" s="1" t="s">
        <v>1996</v>
      </c>
      <c r="S156" s="1" t="s">
        <v>27</v>
      </c>
      <c r="T156" s="38">
        <v>1</v>
      </c>
      <c r="AH156" s="1">
        <v>2.91</v>
      </c>
      <c r="AK156" s="1">
        <v>0.23585515100000001</v>
      </c>
      <c r="AL156" s="1">
        <v>9.3621891999999998E-2</v>
      </c>
      <c r="AN156" s="1">
        <v>0.93441849899999996</v>
      </c>
      <c r="EW156" s="1">
        <v>40.299999999999997</v>
      </c>
    </row>
    <row r="157" spans="1:153" x14ac:dyDescent="0.2">
      <c r="A157" s="1" t="s">
        <v>2027</v>
      </c>
      <c r="B157" s="1" t="s">
        <v>55</v>
      </c>
      <c r="C157" s="1" t="s">
        <v>1989</v>
      </c>
      <c r="E157" s="1">
        <v>35</v>
      </c>
      <c r="F157" s="1" t="s">
        <v>2028</v>
      </c>
      <c r="G157" s="1" t="s">
        <v>2029</v>
      </c>
      <c r="H157" s="1" t="s">
        <v>2030</v>
      </c>
      <c r="I157" s="1" t="s">
        <v>7</v>
      </c>
      <c r="J157" s="1" t="s">
        <v>2031</v>
      </c>
      <c r="K157" s="1" t="s">
        <v>2032</v>
      </c>
      <c r="L157" s="1" t="s">
        <v>2033</v>
      </c>
      <c r="P157" s="1" t="s">
        <v>1269</v>
      </c>
      <c r="Q157" s="1">
        <v>2001</v>
      </c>
      <c r="R157" s="1" t="s">
        <v>1996</v>
      </c>
      <c r="S157" s="1" t="s">
        <v>27</v>
      </c>
      <c r="T157" s="38">
        <v>1</v>
      </c>
      <c r="AH157" s="1">
        <v>3.06</v>
      </c>
      <c r="AK157" s="1">
        <v>0.26794362399999999</v>
      </c>
      <c r="AL157" s="1">
        <v>0.247332576</v>
      </c>
      <c r="AN157" s="1">
        <v>0.94973539600000001</v>
      </c>
      <c r="EW157" s="1">
        <v>41.8</v>
      </c>
    </row>
    <row r="158" spans="1:153" x14ac:dyDescent="0.2">
      <c r="A158" s="1" t="s">
        <v>2034</v>
      </c>
      <c r="B158" s="1" t="s">
        <v>55</v>
      </c>
      <c r="C158" s="1" t="s">
        <v>1989</v>
      </c>
      <c r="E158" s="1">
        <v>37</v>
      </c>
      <c r="F158" s="1" t="s">
        <v>2035</v>
      </c>
      <c r="G158" s="1" t="s">
        <v>2036</v>
      </c>
      <c r="H158" s="1" t="s">
        <v>2037</v>
      </c>
      <c r="I158" s="1" t="s">
        <v>7</v>
      </c>
      <c r="J158" s="1" t="s">
        <v>2038</v>
      </c>
      <c r="K158" s="1" t="s">
        <v>2039</v>
      </c>
      <c r="L158" s="1" t="s">
        <v>2040</v>
      </c>
      <c r="P158" s="1" t="s">
        <v>1269</v>
      </c>
      <c r="Q158" s="1">
        <v>2001</v>
      </c>
      <c r="R158" s="1" t="s">
        <v>1996</v>
      </c>
      <c r="S158" s="1" t="s">
        <v>27</v>
      </c>
      <c r="T158" s="38">
        <v>1</v>
      </c>
      <c r="AH158" s="1">
        <v>3.08</v>
      </c>
      <c r="AK158" s="1">
        <v>0.25804547999999999</v>
      </c>
      <c r="AL158" s="1">
        <v>9.8303039999999994E-2</v>
      </c>
      <c r="AN158" s="1">
        <v>0.75693340799999997</v>
      </c>
      <c r="EW158" s="1">
        <v>46.6</v>
      </c>
    </row>
    <row r="159" spans="1:153" x14ac:dyDescent="0.2">
      <c r="A159" s="1" t="s">
        <v>2041</v>
      </c>
      <c r="B159" s="1" t="s">
        <v>55</v>
      </c>
      <c r="C159" s="1" t="s">
        <v>1989</v>
      </c>
      <c r="E159" s="1">
        <v>37</v>
      </c>
      <c r="F159" s="1" t="s">
        <v>2042</v>
      </c>
      <c r="G159" s="1" t="s">
        <v>2043</v>
      </c>
      <c r="H159" s="1" t="s">
        <v>2044</v>
      </c>
      <c r="I159" s="1" t="s">
        <v>7</v>
      </c>
      <c r="J159" s="1" t="s">
        <v>2045</v>
      </c>
      <c r="K159" s="1" t="s">
        <v>2046</v>
      </c>
      <c r="L159" s="1" t="s">
        <v>2045</v>
      </c>
      <c r="P159" s="1" t="s">
        <v>1269</v>
      </c>
      <c r="Q159" s="1">
        <v>2001</v>
      </c>
      <c r="R159" s="1" t="s">
        <v>1996</v>
      </c>
      <c r="S159" s="1" t="s">
        <v>27</v>
      </c>
      <c r="T159" s="38">
        <v>1</v>
      </c>
      <c r="AH159" s="1">
        <v>4.54</v>
      </c>
      <c r="AK159" s="1">
        <v>0.315556422</v>
      </c>
      <c r="AL159" s="1">
        <v>0.13301664999999999</v>
      </c>
      <c r="AN159" s="1">
        <v>1.3661833160000001</v>
      </c>
      <c r="EW159" s="1">
        <v>49.1</v>
      </c>
    </row>
    <row r="160" spans="1:153" x14ac:dyDescent="0.2">
      <c r="A160" s="1" t="s">
        <v>2047</v>
      </c>
      <c r="B160" s="1" t="s">
        <v>55</v>
      </c>
      <c r="C160" s="1" t="s">
        <v>1989</v>
      </c>
      <c r="E160" s="1">
        <v>37</v>
      </c>
      <c r="F160" s="1" t="s">
        <v>2048</v>
      </c>
      <c r="G160" s="1" t="s">
        <v>2049</v>
      </c>
      <c r="H160" s="1" t="s">
        <v>2050</v>
      </c>
      <c r="I160" s="1" t="s">
        <v>7</v>
      </c>
      <c r="J160" s="1" t="s">
        <v>2051</v>
      </c>
      <c r="K160" s="1" t="s">
        <v>2052</v>
      </c>
      <c r="L160" s="1" t="s">
        <v>2053</v>
      </c>
      <c r="P160" s="1" t="s">
        <v>1269</v>
      </c>
      <c r="Q160" s="1">
        <v>2001</v>
      </c>
      <c r="R160" s="1" t="s">
        <v>1996</v>
      </c>
      <c r="S160" s="1" t="s">
        <v>27</v>
      </c>
      <c r="T160" s="38">
        <v>1</v>
      </c>
      <c r="AH160" s="1">
        <v>5.77</v>
      </c>
      <c r="AK160" s="1">
        <v>0.41346834900000001</v>
      </c>
      <c r="AL160" s="1">
        <v>0.29870337000000002</v>
      </c>
      <c r="AN160" s="1">
        <v>1.691080307</v>
      </c>
      <c r="EW160" s="1">
        <v>47.3</v>
      </c>
    </row>
    <row r="161" spans="1:161" x14ac:dyDescent="0.2">
      <c r="A161" s="1" t="s">
        <v>2054</v>
      </c>
      <c r="B161" s="1" t="s">
        <v>55</v>
      </c>
      <c r="C161" s="1" t="s">
        <v>2055</v>
      </c>
      <c r="D161" s="1" t="s">
        <v>2</v>
      </c>
      <c r="E161" s="1">
        <v>23</v>
      </c>
      <c r="F161" s="1" t="s">
        <v>1471</v>
      </c>
      <c r="H161" s="1" t="s">
        <v>2056</v>
      </c>
      <c r="I161" s="1" t="s">
        <v>7</v>
      </c>
      <c r="J161" s="1" t="s">
        <v>1473</v>
      </c>
      <c r="K161" s="1" t="s">
        <v>1474</v>
      </c>
      <c r="L161" s="1" t="s">
        <v>1473</v>
      </c>
      <c r="M161" s="1" t="s">
        <v>2057</v>
      </c>
      <c r="N161" s="1" t="s">
        <v>2058</v>
      </c>
      <c r="O161" s="1">
        <v>2</v>
      </c>
      <c r="P161" s="1" t="s">
        <v>2059</v>
      </c>
      <c r="Q161" s="1">
        <v>1999</v>
      </c>
      <c r="R161" s="1" t="s">
        <v>2060</v>
      </c>
      <c r="S161" s="1" t="s">
        <v>27</v>
      </c>
      <c r="T161" s="38">
        <v>1</v>
      </c>
      <c r="AK161" s="1">
        <v>2.0367999999999999</v>
      </c>
    </row>
    <row r="162" spans="1:161" x14ac:dyDescent="0.2">
      <c r="A162" s="1" t="s">
        <v>2061</v>
      </c>
      <c r="B162" s="1" t="s">
        <v>55</v>
      </c>
      <c r="C162" s="1" t="s">
        <v>2062</v>
      </c>
      <c r="D162" s="1" t="s">
        <v>2</v>
      </c>
      <c r="E162" s="1">
        <v>36</v>
      </c>
      <c r="F162" s="1" t="s">
        <v>2063</v>
      </c>
      <c r="H162" s="1" t="s">
        <v>2064</v>
      </c>
      <c r="I162" s="1" t="s">
        <v>7</v>
      </c>
      <c r="J162" s="1" t="s">
        <v>2065</v>
      </c>
      <c r="K162" s="1" t="s">
        <v>2066</v>
      </c>
      <c r="L162" s="1" t="s">
        <v>2065</v>
      </c>
      <c r="M162" s="1" t="s">
        <v>748</v>
      </c>
      <c r="N162" s="1" t="s">
        <v>2067</v>
      </c>
      <c r="O162" s="1">
        <v>3</v>
      </c>
      <c r="P162" s="1" t="s">
        <v>1269</v>
      </c>
      <c r="Q162" s="1">
        <v>2007</v>
      </c>
      <c r="R162" s="1" t="s">
        <v>2068</v>
      </c>
      <c r="S162" s="1" t="s">
        <v>27</v>
      </c>
      <c r="T162" s="38">
        <v>1</v>
      </c>
      <c r="Z162" s="1">
        <v>55.3</v>
      </c>
      <c r="AA162" s="1">
        <v>6.25</v>
      </c>
      <c r="AC162" s="1">
        <v>21.8</v>
      </c>
      <c r="AI162" s="1">
        <v>23</v>
      </c>
      <c r="AK162" s="1">
        <v>6.5866439999999997</v>
      </c>
      <c r="AL162" s="1">
        <v>6.4161159999999997</v>
      </c>
      <c r="AM162" s="1">
        <v>7.2474400000000001</v>
      </c>
      <c r="AV162" s="1">
        <v>0.9</v>
      </c>
    </row>
    <row r="163" spans="1:161" x14ac:dyDescent="0.2">
      <c r="A163" s="1" t="s">
        <v>2069</v>
      </c>
      <c r="B163" s="1" t="s">
        <v>55</v>
      </c>
      <c r="C163" s="1" t="s">
        <v>2055</v>
      </c>
      <c r="D163" s="1" t="s">
        <v>2</v>
      </c>
      <c r="E163" s="1">
        <v>33</v>
      </c>
      <c r="F163" s="1" t="s">
        <v>1304</v>
      </c>
      <c r="H163" s="1" t="s">
        <v>1305</v>
      </c>
      <c r="I163" s="1" t="s">
        <v>7</v>
      </c>
      <c r="J163" s="1" t="s">
        <v>1306</v>
      </c>
      <c r="K163" s="1" t="s">
        <v>1307</v>
      </c>
      <c r="L163" s="1" t="s">
        <v>1306</v>
      </c>
      <c r="M163" s="1" t="s">
        <v>2070</v>
      </c>
      <c r="N163" s="1" t="s">
        <v>2071</v>
      </c>
      <c r="O163" s="1">
        <v>1</v>
      </c>
      <c r="P163" s="1" t="s">
        <v>1269</v>
      </c>
      <c r="Q163" s="1">
        <v>2010</v>
      </c>
      <c r="R163" s="1" t="s">
        <v>2072</v>
      </c>
      <c r="S163" s="1" t="s">
        <v>27</v>
      </c>
      <c r="T163" s="38">
        <v>1</v>
      </c>
      <c r="Z163" s="1">
        <v>72.44</v>
      </c>
      <c r="AC163" s="1">
        <v>20.9</v>
      </c>
      <c r="AH163" s="1">
        <v>4.05</v>
      </c>
      <c r="AK163" s="1">
        <v>1.235757435</v>
      </c>
      <c r="AL163" s="1">
        <v>1.2383023900000001</v>
      </c>
      <c r="AM163" s="1">
        <v>1.10669186</v>
      </c>
      <c r="AN163" s="1">
        <v>2.0359639999999999E-3</v>
      </c>
    </row>
    <row r="164" spans="1:161" x14ac:dyDescent="0.2">
      <c r="A164" s="1" t="s">
        <v>2073</v>
      </c>
      <c r="B164" s="1" t="s">
        <v>55</v>
      </c>
      <c r="C164" s="1" t="s">
        <v>2055</v>
      </c>
      <c r="D164" s="1" t="s">
        <v>2</v>
      </c>
      <c r="E164" s="1">
        <v>33</v>
      </c>
      <c r="F164" s="1" t="s">
        <v>2074</v>
      </c>
      <c r="H164" s="1" t="s">
        <v>2075</v>
      </c>
      <c r="I164" s="1" t="s">
        <v>7</v>
      </c>
      <c r="J164" s="1" t="s">
        <v>2076</v>
      </c>
      <c r="K164" s="1" t="s">
        <v>2077</v>
      </c>
      <c r="L164" s="1" t="s">
        <v>2076</v>
      </c>
      <c r="M164" s="1" t="s">
        <v>2070</v>
      </c>
      <c r="N164" s="1" t="s">
        <v>2078</v>
      </c>
      <c r="O164" s="1">
        <v>1</v>
      </c>
      <c r="P164" s="1" t="s">
        <v>1269</v>
      </c>
      <c r="Q164" s="1">
        <v>2010</v>
      </c>
      <c r="R164" s="1" t="s">
        <v>2072</v>
      </c>
      <c r="S164" s="1" t="s">
        <v>27</v>
      </c>
      <c r="T164" s="38">
        <v>1</v>
      </c>
      <c r="Z164" s="1">
        <v>75.02</v>
      </c>
      <c r="AC164" s="1">
        <v>20.399999999999999</v>
      </c>
      <c r="AH164" s="1">
        <v>3.12</v>
      </c>
      <c r="AK164" s="1">
        <v>1.1052464280000001</v>
      </c>
      <c r="AL164" s="1">
        <v>1.1171486559999999</v>
      </c>
      <c r="AM164" s="1">
        <v>0.54528812000000004</v>
      </c>
      <c r="AN164" s="1">
        <v>0</v>
      </c>
    </row>
    <row r="165" spans="1:161" x14ac:dyDescent="0.2">
      <c r="A165" s="1" t="s">
        <v>2079</v>
      </c>
      <c r="B165" s="1" t="s">
        <v>55</v>
      </c>
      <c r="C165" s="1" t="s">
        <v>2055</v>
      </c>
      <c r="D165" s="1" t="s">
        <v>2</v>
      </c>
      <c r="E165" s="1">
        <v>33</v>
      </c>
      <c r="F165" s="1" t="s">
        <v>2080</v>
      </c>
      <c r="H165" s="1" t="s">
        <v>2081</v>
      </c>
      <c r="I165" s="1" t="s">
        <v>7</v>
      </c>
      <c r="J165" s="1" t="s">
        <v>2082</v>
      </c>
      <c r="K165" s="1" t="s">
        <v>2083</v>
      </c>
      <c r="L165" s="1" t="s">
        <v>2082</v>
      </c>
      <c r="M165" s="1" t="s">
        <v>2070</v>
      </c>
      <c r="N165" s="1" t="s">
        <v>2084</v>
      </c>
      <c r="O165" s="1">
        <v>1</v>
      </c>
      <c r="P165" s="1" t="s">
        <v>1269</v>
      </c>
      <c r="Q165" s="1">
        <v>2010</v>
      </c>
      <c r="R165" s="1" t="s">
        <v>2072</v>
      </c>
      <c r="S165" s="1" t="s">
        <v>27</v>
      </c>
      <c r="T165" s="38">
        <v>1</v>
      </c>
      <c r="Z165" s="1">
        <v>74.48</v>
      </c>
      <c r="AC165" s="1">
        <v>19.850000000000001</v>
      </c>
      <c r="AH165" s="1">
        <v>3.84</v>
      </c>
      <c r="AK165" s="1">
        <v>1.197710504</v>
      </c>
      <c r="AL165" s="1">
        <v>1.5045335280000001</v>
      </c>
      <c r="AM165" s="1">
        <v>0.73747596800000004</v>
      </c>
      <c r="AN165" s="1">
        <v>0</v>
      </c>
    </row>
    <row r="166" spans="1:161" x14ac:dyDescent="0.2">
      <c r="A166" s="1" t="s">
        <v>2085</v>
      </c>
      <c r="B166" s="1" t="s">
        <v>55</v>
      </c>
      <c r="C166" s="1" t="s">
        <v>2086</v>
      </c>
      <c r="D166" s="1" t="s">
        <v>2</v>
      </c>
      <c r="E166" s="1">
        <v>13</v>
      </c>
      <c r="F166" s="1" t="s">
        <v>2087</v>
      </c>
      <c r="H166" s="1" t="s">
        <v>2088</v>
      </c>
      <c r="I166" s="1" t="s">
        <v>7</v>
      </c>
      <c r="J166" s="1" t="s">
        <v>2089</v>
      </c>
      <c r="K166" s="1" t="s">
        <v>2090</v>
      </c>
      <c r="L166" s="1" t="s">
        <v>2091</v>
      </c>
      <c r="N166" s="1" t="s">
        <v>2092</v>
      </c>
      <c r="O166" s="1">
        <v>1</v>
      </c>
      <c r="P166" s="1" t="s">
        <v>1269</v>
      </c>
      <c r="Q166" s="1">
        <v>2010</v>
      </c>
      <c r="R166" s="1" t="s">
        <v>2093</v>
      </c>
      <c r="S166" s="1" t="s">
        <v>27</v>
      </c>
      <c r="T166" s="38">
        <v>1</v>
      </c>
      <c r="Z166" s="1">
        <v>78.88</v>
      </c>
      <c r="AA166" s="1">
        <v>6.25</v>
      </c>
      <c r="AC166" s="1">
        <v>19</v>
      </c>
      <c r="AI166" s="1">
        <v>0.54</v>
      </c>
      <c r="AK166" s="1">
        <v>0.16433852400000001</v>
      </c>
      <c r="AL166" s="1">
        <v>0.10270249200000001</v>
      </c>
      <c r="AM166" s="1">
        <v>9.6378984000000001E-2</v>
      </c>
      <c r="AV166" s="1">
        <v>1.47</v>
      </c>
      <c r="EE166" s="1">
        <v>73</v>
      </c>
      <c r="FB166" s="1">
        <v>0.40532400000000002</v>
      </c>
      <c r="FD166" s="1">
        <v>1.2366E-2</v>
      </c>
      <c r="FE166" s="1">
        <v>0.12231</v>
      </c>
    </row>
    <row r="167" spans="1:161" x14ac:dyDescent="0.2">
      <c r="A167" s="1" t="s">
        <v>2094</v>
      </c>
      <c r="B167" s="1" t="s">
        <v>55</v>
      </c>
      <c r="C167" s="1" t="s">
        <v>2086</v>
      </c>
      <c r="D167" s="1" t="s">
        <v>2</v>
      </c>
      <c r="E167" s="1">
        <v>13</v>
      </c>
      <c r="F167" s="1" t="s">
        <v>2087</v>
      </c>
      <c r="H167" s="1" t="s">
        <v>2095</v>
      </c>
      <c r="I167" s="1" t="s">
        <v>7</v>
      </c>
      <c r="J167" s="1" t="s">
        <v>2089</v>
      </c>
      <c r="K167" s="1" t="s">
        <v>2090</v>
      </c>
      <c r="L167" s="1" t="s">
        <v>2091</v>
      </c>
      <c r="N167" s="1" t="s">
        <v>2092</v>
      </c>
      <c r="O167" s="1">
        <v>1</v>
      </c>
      <c r="P167" s="1" t="s">
        <v>1269</v>
      </c>
      <c r="Q167" s="1">
        <v>2010</v>
      </c>
      <c r="R167" s="1" t="s">
        <v>2093</v>
      </c>
      <c r="S167" s="1" t="s">
        <v>27</v>
      </c>
      <c r="T167" s="38">
        <v>1</v>
      </c>
      <c r="Z167" s="1">
        <v>81.67</v>
      </c>
      <c r="AA167" s="1">
        <v>6.25</v>
      </c>
      <c r="AC167" s="1">
        <v>14.36</v>
      </c>
      <c r="AI167" s="1">
        <v>4.21</v>
      </c>
      <c r="AK167" s="1">
        <v>1.7138163040000001</v>
      </c>
      <c r="AL167" s="1">
        <v>1.4004240999999999</v>
      </c>
      <c r="AM167" s="1">
        <v>0.670689596</v>
      </c>
      <c r="AV167" s="1">
        <v>1.1299999999999999</v>
      </c>
      <c r="EE167" s="1">
        <v>83</v>
      </c>
      <c r="FB167" s="1">
        <v>0.755274</v>
      </c>
      <c r="FD167" s="1">
        <v>3.7469000000000002E-2</v>
      </c>
      <c r="FE167" s="1">
        <v>3.416836</v>
      </c>
    </row>
    <row r="168" spans="1:161" x14ac:dyDescent="0.2">
      <c r="A168" s="1" t="s">
        <v>2096</v>
      </c>
      <c r="B168" s="1" t="s">
        <v>55</v>
      </c>
      <c r="C168" s="1" t="s">
        <v>2097</v>
      </c>
      <c r="D168" s="1" t="s">
        <v>2</v>
      </c>
      <c r="E168" s="1">
        <v>33</v>
      </c>
      <c r="F168" s="1" t="s">
        <v>2080</v>
      </c>
      <c r="H168" s="1" t="s">
        <v>2098</v>
      </c>
      <c r="I168" s="1" t="s">
        <v>7</v>
      </c>
      <c r="J168" s="1" t="s">
        <v>2082</v>
      </c>
      <c r="K168" s="1" t="s">
        <v>2083</v>
      </c>
      <c r="L168" s="1" t="s">
        <v>2082</v>
      </c>
      <c r="M168" s="1" t="s">
        <v>2099</v>
      </c>
      <c r="N168" s="1" t="s">
        <v>2100</v>
      </c>
      <c r="O168" s="1">
        <v>5</v>
      </c>
      <c r="P168" s="1" t="s">
        <v>1269</v>
      </c>
      <c r="Q168" s="1">
        <v>2001</v>
      </c>
      <c r="R168" s="1" t="s">
        <v>2101</v>
      </c>
      <c r="S168" s="1" t="s">
        <v>27</v>
      </c>
      <c r="T168" s="38">
        <v>1</v>
      </c>
      <c r="AH168" s="1">
        <v>7.59</v>
      </c>
      <c r="AK168" s="1">
        <v>1.9191808020000001</v>
      </c>
      <c r="AL168" s="1">
        <v>2.5637646649999999</v>
      </c>
      <c r="AM168" s="1">
        <v>2.4555245330000002</v>
      </c>
    </row>
    <row r="169" spans="1:161" x14ac:dyDescent="0.2">
      <c r="A169" s="1" t="s">
        <v>2102</v>
      </c>
      <c r="B169" s="1" t="s">
        <v>55</v>
      </c>
      <c r="C169" s="1" t="s">
        <v>2103</v>
      </c>
      <c r="E169" s="1">
        <v>36</v>
      </c>
      <c r="F169" s="1" t="s">
        <v>2104</v>
      </c>
      <c r="G169" s="1" t="s">
        <v>2105</v>
      </c>
      <c r="H169" s="1" t="s">
        <v>2106</v>
      </c>
      <c r="I169" s="1" t="s">
        <v>7</v>
      </c>
      <c r="J169" s="1" t="s">
        <v>2107</v>
      </c>
      <c r="K169" s="1" t="s">
        <v>2108</v>
      </c>
      <c r="O169" s="1">
        <v>1</v>
      </c>
      <c r="P169" s="1" t="s">
        <v>1269</v>
      </c>
      <c r="Q169" s="1">
        <v>2009</v>
      </c>
      <c r="R169" s="1" t="s">
        <v>2109</v>
      </c>
      <c r="S169" s="1" t="s">
        <v>27</v>
      </c>
      <c r="T169" s="38">
        <v>1</v>
      </c>
      <c r="Z169" s="1">
        <v>73.77</v>
      </c>
      <c r="AA169" s="1">
        <v>6.25</v>
      </c>
      <c r="AC169" s="1">
        <v>20.2</v>
      </c>
      <c r="AI169" s="1">
        <v>4.0999999999999996</v>
      </c>
      <c r="AK169" s="1">
        <v>1.5392014000000001</v>
      </c>
      <c r="AL169" s="1">
        <v>1.3230503899999999</v>
      </c>
      <c r="AM169" s="1">
        <v>0.82004821000000006</v>
      </c>
      <c r="AV169" s="1">
        <v>1.21</v>
      </c>
    </row>
    <row r="170" spans="1:161" x14ac:dyDescent="0.2">
      <c r="A170" s="1" t="s">
        <v>2110</v>
      </c>
      <c r="B170" s="1" t="s">
        <v>55</v>
      </c>
      <c r="C170" s="1" t="s">
        <v>2103</v>
      </c>
      <c r="E170" s="1">
        <v>33</v>
      </c>
      <c r="F170" s="1" t="s">
        <v>2111</v>
      </c>
      <c r="G170" s="1" t="s">
        <v>2112</v>
      </c>
      <c r="H170" s="1" t="s">
        <v>2113</v>
      </c>
      <c r="I170" s="1" t="s">
        <v>7</v>
      </c>
      <c r="J170" s="1" t="s">
        <v>2114</v>
      </c>
      <c r="K170" s="1" t="s">
        <v>2115</v>
      </c>
      <c r="L170" s="1" t="s">
        <v>2114</v>
      </c>
      <c r="O170" s="1">
        <v>1</v>
      </c>
      <c r="P170" s="1" t="s">
        <v>1269</v>
      </c>
      <c r="Q170" s="1">
        <v>2009</v>
      </c>
      <c r="R170" s="1" t="s">
        <v>2109</v>
      </c>
      <c r="S170" s="1" t="s">
        <v>27</v>
      </c>
      <c r="T170" s="38">
        <v>1</v>
      </c>
      <c r="Z170" s="1">
        <v>78.23</v>
      </c>
      <c r="AA170" s="1">
        <v>6.25</v>
      </c>
      <c r="AC170" s="1">
        <v>19.14</v>
      </c>
      <c r="AI170" s="1">
        <v>0.75</v>
      </c>
      <c r="AK170" s="1">
        <v>0.25465745000000001</v>
      </c>
      <c r="AL170" s="1">
        <v>0.19096525</v>
      </c>
      <c r="AM170" s="1">
        <v>0.1111273</v>
      </c>
      <c r="AV170" s="1">
        <v>1.1000000000000001</v>
      </c>
    </row>
    <row r="171" spans="1:161" x14ac:dyDescent="0.2">
      <c r="A171" s="1" t="s">
        <v>2116</v>
      </c>
      <c r="B171" s="1" t="s">
        <v>55</v>
      </c>
      <c r="C171" s="1" t="s">
        <v>2103</v>
      </c>
      <c r="E171" s="1">
        <v>37</v>
      </c>
      <c r="F171" s="1" t="s">
        <v>2117</v>
      </c>
      <c r="G171" s="1" t="s">
        <v>2118</v>
      </c>
      <c r="H171" s="1" t="s">
        <v>2119</v>
      </c>
      <c r="I171" s="1" t="s">
        <v>7</v>
      </c>
      <c r="J171" s="1" t="s">
        <v>2120</v>
      </c>
      <c r="K171" s="1" t="s">
        <v>2121</v>
      </c>
      <c r="O171" s="1">
        <v>1</v>
      </c>
      <c r="P171" s="1" t="s">
        <v>1269</v>
      </c>
      <c r="Q171" s="1">
        <v>2009</v>
      </c>
      <c r="R171" s="1" t="s">
        <v>2109</v>
      </c>
      <c r="S171" s="1" t="s">
        <v>27</v>
      </c>
      <c r="T171" s="38">
        <v>1</v>
      </c>
      <c r="Z171" s="1">
        <v>77.819999999999993</v>
      </c>
      <c r="AA171" s="1">
        <v>6.25</v>
      </c>
      <c r="AC171" s="1">
        <v>19.97</v>
      </c>
      <c r="AI171" s="1">
        <v>0.24</v>
      </c>
      <c r="AK171" s="1">
        <v>6.6368568000000003E-2</v>
      </c>
      <c r="AL171" s="1">
        <v>3.3531551999999999E-2</v>
      </c>
      <c r="AM171" s="1">
        <v>6.1619880000000002E-2</v>
      </c>
      <c r="AV171" s="1">
        <v>1.5</v>
      </c>
    </row>
    <row r="172" spans="1:161" x14ac:dyDescent="0.2">
      <c r="A172" s="1" t="s">
        <v>2122</v>
      </c>
      <c r="B172" s="1" t="s">
        <v>55</v>
      </c>
      <c r="C172" s="1" t="s">
        <v>445</v>
      </c>
      <c r="D172" s="1" t="s">
        <v>2</v>
      </c>
      <c r="E172" s="1">
        <v>11</v>
      </c>
      <c r="F172" s="1" t="s">
        <v>2123</v>
      </c>
      <c r="G172" s="1" t="s">
        <v>2124</v>
      </c>
      <c r="H172" s="1" t="s">
        <v>2125</v>
      </c>
      <c r="I172" s="1" t="s">
        <v>7</v>
      </c>
      <c r="J172" s="1" t="s">
        <v>2126</v>
      </c>
      <c r="K172" s="1" t="s">
        <v>2127</v>
      </c>
      <c r="L172" s="1" t="s">
        <v>2126</v>
      </c>
      <c r="N172" s="1" t="s">
        <v>2128</v>
      </c>
      <c r="O172" s="1">
        <v>1</v>
      </c>
      <c r="P172" s="1" t="s">
        <v>1670</v>
      </c>
      <c r="Q172" s="1">
        <v>2011</v>
      </c>
      <c r="R172" s="1" t="s">
        <v>2129</v>
      </c>
      <c r="S172" s="1" t="s">
        <v>27</v>
      </c>
      <c r="T172" s="38">
        <v>1</v>
      </c>
      <c r="U172" s="1">
        <v>0.52</v>
      </c>
      <c r="V172" s="1">
        <v>474.24</v>
      </c>
      <c r="W172" s="1">
        <v>113.27</v>
      </c>
      <c r="Z172" s="1">
        <v>72.099999999999994</v>
      </c>
      <c r="AC172" s="1">
        <v>23.57</v>
      </c>
      <c r="AH172" s="1">
        <v>3.11</v>
      </c>
      <c r="AK172" s="1">
        <v>0.75685641679784299</v>
      </c>
      <c r="AL172" s="1">
        <v>0.93113117363795395</v>
      </c>
      <c r="AM172" s="1">
        <v>1.0613407854399499</v>
      </c>
      <c r="AN172" s="1">
        <v>9.3016241242497993E-3</v>
      </c>
      <c r="AV172" s="1">
        <v>1.21</v>
      </c>
    </row>
    <row r="173" spans="1:161" x14ac:dyDescent="0.2">
      <c r="A173" s="1" t="s">
        <v>2130</v>
      </c>
      <c r="B173" s="1" t="s">
        <v>55</v>
      </c>
      <c r="C173" s="1" t="s">
        <v>445</v>
      </c>
      <c r="D173" s="1" t="s">
        <v>2</v>
      </c>
      <c r="E173" s="1">
        <v>11</v>
      </c>
      <c r="F173" s="1" t="s">
        <v>2131</v>
      </c>
      <c r="G173" s="1" t="s">
        <v>2132</v>
      </c>
      <c r="H173" s="1" t="s">
        <v>2133</v>
      </c>
      <c r="I173" s="1" t="s">
        <v>7</v>
      </c>
      <c r="J173" s="1" t="s">
        <v>2134</v>
      </c>
      <c r="K173" s="1" t="s">
        <v>2135</v>
      </c>
      <c r="L173" s="1" t="s">
        <v>2134</v>
      </c>
      <c r="N173" s="1" t="s">
        <v>2136</v>
      </c>
      <c r="O173" s="1">
        <v>1</v>
      </c>
      <c r="P173" s="1" t="s">
        <v>1670</v>
      </c>
      <c r="Q173" s="1">
        <v>2011</v>
      </c>
      <c r="R173" s="1" t="s">
        <v>2129</v>
      </c>
      <c r="S173" s="1" t="s">
        <v>27</v>
      </c>
      <c r="T173" s="38">
        <v>1</v>
      </c>
      <c r="U173" s="1">
        <v>0.504</v>
      </c>
      <c r="V173" s="1">
        <v>421.61</v>
      </c>
      <c r="W173" s="1">
        <v>100.7</v>
      </c>
      <c r="Z173" s="1">
        <v>74.98</v>
      </c>
      <c r="AC173" s="1">
        <v>21.08</v>
      </c>
      <c r="AH173" s="1">
        <v>2.82</v>
      </c>
      <c r="AK173" s="1">
        <v>0.68902964552921198</v>
      </c>
      <c r="AL173" s="1">
        <v>0.85478819819522101</v>
      </c>
      <c r="AM173" s="1">
        <v>0.69319336303163903</v>
      </c>
      <c r="AN173" s="1">
        <v>0.25104879324392798</v>
      </c>
      <c r="AV173" s="1">
        <v>1.1200000000000001</v>
      </c>
    </row>
    <row r="174" spans="1:161" x14ac:dyDescent="0.2">
      <c r="A174" s="1" t="s">
        <v>2137</v>
      </c>
      <c r="B174" s="1" t="s">
        <v>55</v>
      </c>
      <c r="C174" s="1" t="s">
        <v>445</v>
      </c>
      <c r="D174" s="1" t="s">
        <v>2</v>
      </c>
      <c r="E174" s="1">
        <v>11</v>
      </c>
      <c r="F174" s="1" t="s">
        <v>2138</v>
      </c>
      <c r="G174" s="1" t="s">
        <v>2139</v>
      </c>
      <c r="H174" s="1" t="s">
        <v>2140</v>
      </c>
      <c r="I174" s="1" t="s">
        <v>7</v>
      </c>
      <c r="J174" s="1" t="s">
        <v>2141</v>
      </c>
      <c r="K174" s="1" t="s">
        <v>2142</v>
      </c>
      <c r="L174" s="1" t="s">
        <v>2141</v>
      </c>
      <c r="N174" s="1" t="s">
        <v>2143</v>
      </c>
      <c r="O174" s="1">
        <v>1</v>
      </c>
      <c r="P174" s="1" t="s">
        <v>1670</v>
      </c>
      <c r="Q174" s="1">
        <v>2011</v>
      </c>
      <c r="R174" s="1" t="s">
        <v>2129</v>
      </c>
      <c r="S174" s="1" t="s">
        <v>27</v>
      </c>
      <c r="T174" s="38">
        <v>1</v>
      </c>
      <c r="U174" s="1">
        <v>0.48099999999999998</v>
      </c>
      <c r="V174" s="1">
        <v>394.1</v>
      </c>
      <c r="W174" s="1">
        <v>94.13</v>
      </c>
      <c r="Z174" s="1">
        <v>76.05</v>
      </c>
      <c r="AC174" s="1">
        <v>20</v>
      </c>
      <c r="AH174" s="1">
        <v>2.82</v>
      </c>
      <c r="AK174" s="1">
        <v>0.79506203620000004</v>
      </c>
      <c r="AL174" s="1">
        <v>0.81610791424649298</v>
      </c>
      <c r="AM174" s="1">
        <v>0.87689004955350802</v>
      </c>
      <c r="AV174" s="1">
        <v>1.1499999999999999</v>
      </c>
    </row>
    <row r="175" spans="1:161" x14ac:dyDescent="0.2">
      <c r="A175" s="1" t="s">
        <v>2144</v>
      </c>
      <c r="B175" s="1" t="s">
        <v>55</v>
      </c>
      <c r="C175" s="1" t="s">
        <v>2145</v>
      </c>
      <c r="D175" s="1" t="s">
        <v>2</v>
      </c>
      <c r="E175" s="1">
        <v>33</v>
      </c>
      <c r="F175" s="1" t="s">
        <v>1288</v>
      </c>
      <c r="H175" s="1" t="s">
        <v>2146</v>
      </c>
      <c r="I175" s="1" t="s">
        <v>7</v>
      </c>
      <c r="J175" s="1" t="s">
        <v>1290</v>
      </c>
      <c r="K175" s="1" t="s">
        <v>1291</v>
      </c>
      <c r="L175" s="1" t="s">
        <v>1290</v>
      </c>
      <c r="M175" s="1" t="s">
        <v>2147</v>
      </c>
      <c r="N175" s="1" t="s">
        <v>2148</v>
      </c>
      <c r="P175" s="1" t="s">
        <v>2149</v>
      </c>
      <c r="Q175" s="1">
        <v>2002</v>
      </c>
      <c r="R175" s="1" t="s">
        <v>2150</v>
      </c>
      <c r="S175" s="1" t="s">
        <v>27</v>
      </c>
      <c r="T175" s="38">
        <v>1</v>
      </c>
      <c r="Z175" s="1">
        <v>72.2</v>
      </c>
      <c r="AC175" s="1">
        <v>20.7</v>
      </c>
      <c r="AH175" s="1">
        <v>5.2</v>
      </c>
      <c r="AK175" s="1">
        <v>1.3749112000000001</v>
      </c>
      <c r="AL175" s="1">
        <v>1.6291755999999999</v>
      </c>
      <c r="AM175" s="1">
        <v>1.6998046</v>
      </c>
      <c r="AV175" s="1">
        <v>1.5</v>
      </c>
      <c r="AW175" s="1">
        <v>2.5019999999999998</v>
      </c>
      <c r="BA175" s="1">
        <v>25.02</v>
      </c>
      <c r="BB175" s="1">
        <v>4.726</v>
      </c>
      <c r="BD175" s="1">
        <v>0.107586</v>
      </c>
      <c r="BF175" s="1">
        <v>1.423916</v>
      </c>
      <c r="BK175" s="1">
        <v>0.20155000000000001</v>
      </c>
      <c r="BL175" s="1">
        <v>19.46</v>
      </c>
      <c r="BO175" s="1">
        <v>135.94200000000001</v>
      </c>
      <c r="BU175" s="1">
        <v>55.878</v>
      </c>
      <c r="BV175" s="1">
        <v>6.6719999999999997</v>
      </c>
      <c r="BW175" s="1">
        <v>1.2537799999999999</v>
      </c>
      <c r="BX175" s="1">
        <v>149.00800000000001</v>
      </c>
      <c r="CA175" s="1">
        <v>7.5060000000000002</v>
      </c>
      <c r="CC175" s="1">
        <v>28.634</v>
      </c>
    </row>
    <row r="176" spans="1:161" x14ac:dyDescent="0.2">
      <c r="A176" s="1" t="s">
        <v>2151</v>
      </c>
      <c r="B176" s="1" t="s">
        <v>55</v>
      </c>
      <c r="C176" s="1" t="s">
        <v>1278</v>
      </c>
      <c r="D176" s="1" t="s">
        <v>2</v>
      </c>
      <c r="E176" s="1">
        <v>11</v>
      </c>
      <c r="F176" s="1" t="s">
        <v>1389</v>
      </c>
      <c r="H176" s="1" t="s">
        <v>2152</v>
      </c>
      <c r="I176" s="1" t="s">
        <v>7</v>
      </c>
      <c r="J176" s="1" t="s">
        <v>1392</v>
      </c>
      <c r="K176" s="1" t="s">
        <v>1393</v>
      </c>
      <c r="L176" s="1" t="s">
        <v>1392</v>
      </c>
      <c r="O176" s="1">
        <v>1</v>
      </c>
      <c r="P176" s="1" t="s">
        <v>1670</v>
      </c>
      <c r="Q176" s="1">
        <v>2011</v>
      </c>
      <c r="R176" s="1" t="s">
        <v>2153</v>
      </c>
      <c r="S176" s="1" t="s">
        <v>27</v>
      </c>
      <c r="T176" s="38">
        <v>1</v>
      </c>
      <c r="Z176" s="1">
        <v>77.7</v>
      </c>
      <c r="AA176" s="1">
        <v>6.25</v>
      </c>
      <c r="AC176" s="1">
        <v>16.7</v>
      </c>
      <c r="AI176" s="1">
        <v>5.0999999999999996</v>
      </c>
      <c r="AK176" s="1">
        <v>1.24270527139253</v>
      </c>
      <c r="AL176" s="1">
        <v>2.3591865721079799</v>
      </c>
      <c r="AM176" s="1">
        <v>1.0134081564994899</v>
      </c>
      <c r="AV176" s="1">
        <v>0.6</v>
      </c>
    </row>
    <row r="177" spans="1:162" x14ac:dyDescent="0.2">
      <c r="A177" s="1" t="s">
        <v>2154</v>
      </c>
      <c r="B177" s="1" t="s">
        <v>55</v>
      </c>
      <c r="C177" s="1" t="s">
        <v>1278</v>
      </c>
      <c r="D177" s="1" t="s">
        <v>2</v>
      </c>
      <c r="E177" s="1">
        <v>23</v>
      </c>
      <c r="F177" s="1" t="s">
        <v>1471</v>
      </c>
      <c r="H177" s="1" t="s">
        <v>2155</v>
      </c>
      <c r="I177" s="1" t="s">
        <v>7</v>
      </c>
      <c r="J177" s="1" t="s">
        <v>1473</v>
      </c>
      <c r="K177" s="1" t="s">
        <v>1474</v>
      </c>
      <c r="L177" s="1" t="s">
        <v>1473</v>
      </c>
      <c r="O177" s="1">
        <v>1</v>
      </c>
      <c r="P177" s="1" t="s">
        <v>1670</v>
      </c>
      <c r="Q177" s="1">
        <v>2011</v>
      </c>
      <c r="R177" s="1" t="s">
        <v>2153</v>
      </c>
      <c r="S177" s="1" t="s">
        <v>27</v>
      </c>
      <c r="T177" s="38">
        <v>1</v>
      </c>
      <c r="Z177" s="1">
        <v>73</v>
      </c>
      <c r="AA177" s="1">
        <v>6.25</v>
      </c>
      <c r="AC177" s="1">
        <v>18.899999999999999</v>
      </c>
      <c r="AI177" s="1">
        <v>7.4</v>
      </c>
      <c r="AK177" s="1">
        <v>1.4855618961919499</v>
      </c>
      <c r="AL177" s="1">
        <v>2.1357526122934001</v>
      </c>
      <c r="AM177" s="1">
        <v>3.1398854915146499</v>
      </c>
      <c r="AV177" s="1">
        <v>0.8</v>
      </c>
    </row>
    <row r="178" spans="1:162" x14ac:dyDescent="0.2">
      <c r="A178" s="1" t="s">
        <v>2156</v>
      </c>
      <c r="B178" s="1" t="s">
        <v>55</v>
      </c>
      <c r="C178" s="1" t="s">
        <v>1343</v>
      </c>
      <c r="D178" s="1" t="s">
        <v>2</v>
      </c>
      <c r="E178" s="1">
        <v>13</v>
      </c>
      <c r="F178" s="1" t="s">
        <v>1265</v>
      </c>
      <c r="H178" s="1" t="s">
        <v>2157</v>
      </c>
      <c r="I178" s="1" t="s">
        <v>7</v>
      </c>
      <c r="J178" s="1" t="s">
        <v>1267</v>
      </c>
      <c r="K178" s="1" t="s">
        <v>1268</v>
      </c>
      <c r="L178" s="1" t="s">
        <v>1267</v>
      </c>
      <c r="O178" s="1">
        <v>1</v>
      </c>
      <c r="P178" s="1" t="s">
        <v>1670</v>
      </c>
      <c r="Q178" s="1">
        <v>2011</v>
      </c>
      <c r="R178" s="1" t="s">
        <v>2153</v>
      </c>
      <c r="S178" s="1" t="s">
        <v>27</v>
      </c>
      <c r="T178" s="38">
        <v>1</v>
      </c>
      <c r="Z178" s="1">
        <v>84.7</v>
      </c>
      <c r="AA178" s="1">
        <v>6.25</v>
      </c>
      <c r="AC178" s="1">
        <v>12.9</v>
      </c>
      <c r="AI178" s="1">
        <v>1.3</v>
      </c>
      <c r="AK178" s="1">
        <v>0.450251290768863</v>
      </c>
      <c r="AL178" s="1">
        <v>0.43076598193721799</v>
      </c>
      <c r="AM178" s="1">
        <v>0.188882727293919</v>
      </c>
      <c r="AV178" s="1">
        <v>1.1000000000000001</v>
      </c>
    </row>
    <row r="179" spans="1:162" x14ac:dyDescent="0.2">
      <c r="A179" s="1" t="s">
        <v>2158</v>
      </c>
      <c r="B179" s="1" t="s">
        <v>55</v>
      </c>
      <c r="C179" s="1" t="s">
        <v>2159</v>
      </c>
      <c r="D179" s="1" t="s">
        <v>2</v>
      </c>
      <c r="E179" s="1">
        <v>12</v>
      </c>
      <c r="F179" s="1" t="s">
        <v>1373</v>
      </c>
      <c r="H179" s="1" t="s">
        <v>2160</v>
      </c>
      <c r="I179" s="1" t="s">
        <v>7</v>
      </c>
      <c r="J179" s="1" t="s">
        <v>1375</v>
      </c>
      <c r="K179" s="1" t="s">
        <v>1376</v>
      </c>
      <c r="L179" s="1" t="s">
        <v>1375</v>
      </c>
      <c r="O179" s="1">
        <v>1</v>
      </c>
      <c r="P179" s="1" t="s">
        <v>1670</v>
      </c>
      <c r="Q179" s="1">
        <v>2011</v>
      </c>
      <c r="R179" s="1" t="s">
        <v>2153</v>
      </c>
      <c r="S179" s="1" t="s">
        <v>27</v>
      </c>
      <c r="T179" s="38">
        <v>1</v>
      </c>
      <c r="Z179" s="1">
        <v>81.2</v>
      </c>
      <c r="AA179" s="1">
        <v>6.25</v>
      </c>
      <c r="AC179" s="1">
        <v>16.399999999999999</v>
      </c>
      <c r="AI179" s="1">
        <v>2</v>
      </c>
      <c r="AK179" s="1">
        <v>0.60803339541166801</v>
      </c>
      <c r="AL179" s="1">
        <v>0.57071466302795104</v>
      </c>
      <c r="AM179" s="1">
        <v>0.54425194156038104</v>
      </c>
      <c r="AV179" s="1">
        <v>0.5</v>
      </c>
    </row>
    <row r="180" spans="1:162" x14ac:dyDescent="0.2">
      <c r="A180" s="1" t="s">
        <v>2161</v>
      </c>
      <c r="B180" s="1" t="s">
        <v>55</v>
      </c>
      <c r="C180" s="1" t="s">
        <v>2162</v>
      </c>
      <c r="E180" s="1">
        <v>11</v>
      </c>
      <c r="F180" s="1" t="s">
        <v>2123</v>
      </c>
      <c r="H180" s="1" t="s">
        <v>2163</v>
      </c>
      <c r="I180" s="1" t="s">
        <v>7</v>
      </c>
      <c r="J180" s="1" t="s">
        <v>2164</v>
      </c>
      <c r="K180" s="1" t="s">
        <v>2127</v>
      </c>
      <c r="L180" s="1" t="s">
        <v>2164</v>
      </c>
      <c r="M180" s="1" t="s">
        <v>2165</v>
      </c>
      <c r="O180" s="1">
        <v>1</v>
      </c>
      <c r="P180" s="1" t="s">
        <v>1269</v>
      </c>
      <c r="Q180" s="1">
        <v>2010</v>
      </c>
      <c r="R180" s="1" t="s">
        <v>2166</v>
      </c>
      <c r="S180" s="1" t="s">
        <v>27</v>
      </c>
      <c r="T180" s="38">
        <v>1</v>
      </c>
      <c r="U180" s="1">
        <v>0.68500000000000005</v>
      </c>
      <c r="AH180" s="1">
        <v>2.9</v>
      </c>
      <c r="AK180" s="1">
        <v>0.79327420000000004</v>
      </c>
      <c r="AL180" s="1">
        <v>0.77034720000000001</v>
      </c>
      <c r="AM180" s="1">
        <v>0.57546770000000003</v>
      </c>
      <c r="FB180" s="1">
        <v>0.24360000000000001</v>
      </c>
    </row>
    <row r="181" spans="1:162" x14ac:dyDescent="0.2">
      <c r="A181" s="1" t="s">
        <v>2167</v>
      </c>
      <c r="B181" s="1" t="s">
        <v>55</v>
      </c>
      <c r="C181" s="1" t="s">
        <v>2162</v>
      </c>
      <c r="E181" s="1">
        <v>11</v>
      </c>
      <c r="F181" s="1" t="s">
        <v>2138</v>
      </c>
      <c r="H181" s="1" t="s">
        <v>2168</v>
      </c>
      <c r="I181" s="1" t="s">
        <v>7</v>
      </c>
      <c r="J181" s="1" t="s">
        <v>2141</v>
      </c>
      <c r="K181" s="1" t="s">
        <v>2142</v>
      </c>
      <c r="L181" s="1" t="s">
        <v>2141</v>
      </c>
      <c r="M181" s="1" t="s">
        <v>2165</v>
      </c>
      <c r="O181" s="1">
        <v>1</v>
      </c>
      <c r="P181" s="1" t="s">
        <v>1269</v>
      </c>
      <c r="Q181" s="1">
        <v>2010</v>
      </c>
      <c r="R181" s="1" t="s">
        <v>2166</v>
      </c>
      <c r="S181" s="1" t="s">
        <v>27</v>
      </c>
      <c r="T181" s="38">
        <v>1</v>
      </c>
      <c r="U181" s="1">
        <v>0.66</v>
      </c>
      <c r="AH181" s="1">
        <v>1.2</v>
      </c>
      <c r="AK181" s="1">
        <v>0.27204099999999998</v>
      </c>
      <c r="AL181" s="1">
        <v>0.16181139999999999</v>
      </c>
      <c r="AM181" s="1">
        <v>0.166051</v>
      </c>
      <c r="FB181" s="1">
        <v>8.6400000000000005E-2</v>
      </c>
    </row>
    <row r="182" spans="1:162" x14ac:dyDescent="0.2">
      <c r="A182" s="1" t="s">
        <v>2169</v>
      </c>
      <c r="B182" s="1" t="s">
        <v>55</v>
      </c>
      <c r="C182" s="1" t="s">
        <v>2162</v>
      </c>
      <c r="E182" s="1">
        <v>11</v>
      </c>
      <c r="F182" s="1" t="s">
        <v>2131</v>
      </c>
      <c r="H182" s="1" t="s">
        <v>2170</v>
      </c>
      <c r="I182" s="1" t="s">
        <v>7</v>
      </c>
      <c r="J182" s="1" t="s">
        <v>2134</v>
      </c>
      <c r="K182" s="1" t="s">
        <v>2135</v>
      </c>
      <c r="L182" s="1" t="s">
        <v>2134</v>
      </c>
      <c r="M182" s="1" t="s">
        <v>2165</v>
      </c>
      <c r="O182" s="1">
        <v>1</v>
      </c>
      <c r="P182" s="1" t="s">
        <v>1269</v>
      </c>
      <c r="Q182" s="1">
        <v>2010</v>
      </c>
      <c r="R182" s="1" t="s">
        <v>2166</v>
      </c>
      <c r="S182" s="1" t="s">
        <v>27</v>
      </c>
      <c r="T182" s="38">
        <v>1</v>
      </c>
      <c r="U182" s="1">
        <v>0.75600000000000001</v>
      </c>
      <c r="AH182" s="1">
        <v>1.8</v>
      </c>
      <c r="AK182" s="1">
        <v>0.49896160000000001</v>
      </c>
      <c r="AL182" s="1">
        <v>0.43944080000000002</v>
      </c>
      <c r="AM182" s="1">
        <v>0.15323439999999999</v>
      </c>
      <c r="FB182" s="1">
        <v>0.24660000000000001</v>
      </c>
    </row>
    <row r="183" spans="1:162" x14ac:dyDescent="0.2">
      <c r="A183" s="1" t="s">
        <v>2171</v>
      </c>
      <c r="B183" s="1" t="s">
        <v>55</v>
      </c>
      <c r="C183" s="1" t="s">
        <v>2162</v>
      </c>
      <c r="E183" s="1">
        <v>12</v>
      </c>
      <c r="F183" s="1" t="s">
        <v>1550</v>
      </c>
      <c r="H183" s="1" t="s">
        <v>2172</v>
      </c>
      <c r="I183" s="1" t="s">
        <v>7</v>
      </c>
      <c r="J183" s="1" t="s">
        <v>1552</v>
      </c>
      <c r="K183" s="1" t="s">
        <v>1553</v>
      </c>
      <c r="L183" s="1" t="s">
        <v>1552</v>
      </c>
      <c r="M183" s="1" t="s">
        <v>2165</v>
      </c>
      <c r="O183" s="1">
        <v>1</v>
      </c>
      <c r="P183" s="1" t="s">
        <v>1269</v>
      </c>
      <c r="Q183" s="1">
        <v>2010</v>
      </c>
      <c r="R183" s="1" t="s">
        <v>2166</v>
      </c>
      <c r="S183" s="1" t="s">
        <v>27</v>
      </c>
      <c r="T183" s="38">
        <v>1</v>
      </c>
      <c r="U183" s="1">
        <v>0.66200000000000003</v>
      </c>
      <c r="AH183" s="1">
        <v>0.8</v>
      </c>
      <c r="AK183" s="1">
        <v>0.11669</v>
      </c>
      <c r="AL183" s="1">
        <v>6.6680000000000003E-2</v>
      </c>
      <c r="AM183" s="1">
        <v>0.118357</v>
      </c>
      <c r="FB183" s="1">
        <v>7.2800000000000004E-2</v>
      </c>
    </row>
    <row r="184" spans="1:162" x14ac:dyDescent="0.2">
      <c r="A184" s="1" t="s">
        <v>2173</v>
      </c>
      <c r="B184" s="1" t="s">
        <v>55</v>
      </c>
      <c r="C184" s="1" t="s">
        <v>2162</v>
      </c>
      <c r="E184" s="1">
        <v>11</v>
      </c>
      <c r="F184" s="1" t="s">
        <v>1389</v>
      </c>
      <c r="H184" s="1" t="s">
        <v>2174</v>
      </c>
      <c r="I184" s="1" t="s">
        <v>7</v>
      </c>
      <c r="J184" s="1" t="s">
        <v>1392</v>
      </c>
      <c r="K184" s="1" t="s">
        <v>1393</v>
      </c>
      <c r="L184" s="1" t="s">
        <v>1392</v>
      </c>
      <c r="M184" s="1" t="s">
        <v>2165</v>
      </c>
      <c r="O184" s="1">
        <v>1</v>
      </c>
      <c r="P184" s="1" t="s">
        <v>1269</v>
      </c>
      <c r="Q184" s="1">
        <v>2010</v>
      </c>
      <c r="R184" s="1" t="s">
        <v>2166</v>
      </c>
      <c r="S184" s="1" t="s">
        <v>27</v>
      </c>
      <c r="T184" s="38">
        <v>1</v>
      </c>
      <c r="U184" s="1">
        <v>0.79500000000000004</v>
      </c>
      <c r="AH184" s="1">
        <v>3.8</v>
      </c>
      <c r="AK184" s="1">
        <v>0.72984919999999998</v>
      </c>
      <c r="AL184" s="1">
        <v>0.58262639999999999</v>
      </c>
      <c r="AM184" s="1">
        <v>1.1965768000000001</v>
      </c>
      <c r="FB184" s="1">
        <v>9.8799999999999999E-2</v>
      </c>
    </row>
    <row r="185" spans="1:162" x14ac:dyDescent="0.2">
      <c r="A185" s="1" t="s">
        <v>2175</v>
      </c>
      <c r="B185" s="1" t="s">
        <v>55</v>
      </c>
      <c r="C185" s="1" t="s">
        <v>2176</v>
      </c>
      <c r="D185" s="1" t="s">
        <v>2</v>
      </c>
      <c r="E185" s="1">
        <v>33</v>
      </c>
      <c r="F185" s="1" t="s">
        <v>2177</v>
      </c>
      <c r="H185" s="1" t="s">
        <v>2178</v>
      </c>
      <c r="I185" s="1" t="s">
        <v>7</v>
      </c>
      <c r="J185" s="1" t="s">
        <v>2179</v>
      </c>
      <c r="K185" s="1" t="s">
        <v>2180</v>
      </c>
      <c r="L185" s="1" t="s">
        <v>2179</v>
      </c>
      <c r="N185" s="1" t="s">
        <v>2181</v>
      </c>
      <c r="O185" s="1">
        <v>6</v>
      </c>
      <c r="Q185" s="1">
        <v>2009</v>
      </c>
      <c r="R185" s="1" t="s">
        <v>2182</v>
      </c>
      <c r="S185" s="1" t="s">
        <v>27</v>
      </c>
      <c r="T185" s="38">
        <v>1</v>
      </c>
      <c r="Z185" s="1">
        <v>74.92</v>
      </c>
      <c r="AH185" s="1">
        <v>1.23</v>
      </c>
      <c r="AK185" s="1">
        <v>0.373</v>
      </c>
      <c r="AL185" s="1">
        <v>0.30399999999999999</v>
      </c>
      <c r="AM185" s="1">
        <v>0.53300000000000003</v>
      </c>
      <c r="AY185" s="1">
        <v>59</v>
      </c>
      <c r="BD185" s="1">
        <v>1.9E-2</v>
      </c>
      <c r="BF185" s="1">
        <v>0.36599999999999999</v>
      </c>
      <c r="BJ185" s="1">
        <v>28</v>
      </c>
      <c r="BK185" s="1">
        <v>2.1000000000000001E-2</v>
      </c>
      <c r="BS185" s="1">
        <v>142</v>
      </c>
      <c r="BW185" s="1">
        <v>0.34399999999999997</v>
      </c>
      <c r="CV185" s="1">
        <v>0.48899999999999999</v>
      </c>
      <c r="FA185" s="1">
        <v>4.0000000000000001E-3</v>
      </c>
      <c r="FB185" s="1">
        <v>0.27600000000000002</v>
      </c>
      <c r="FE185" s="1">
        <v>4.4999999999999998E-2</v>
      </c>
      <c r="FF185" s="1">
        <v>21</v>
      </c>
    </row>
    <row r="186" spans="1:162" x14ac:dyDescent="0.2">
      <c r="A186" s="1" t="s">
        <v>2183</v>
      </c>
      <c r="B186" s="1" t="s">
        <v>55</v>
      </c>
      <c r="C186" s="1" t="s">
        <v>2176</v>
      </c>
      <c r="D186" s="1" t="s">
        <v>2</v>
      </c>
      <c r="E186" s="1">
        <v>33</v>
      </c>
      <c r="F186" s="1" t="s">
        <v>2177</v>
      </c>
      <c r="H186" s="1" t="s">
        <v>2184</v>
      </c>
      <c r="I186" s="1" t="s">
        <v>7</v>
      </c>
      <c r="J186" s="1" t="s">
        <v>2179</v>
      </c>
      <c r="K186" s="1" t="s">
        <v>2180</v>
      </c>
      <c r="L186" s="1" t="s">
        <v>2179</v>
      </c>
      <c r="N186" s="1" t="s">
        <v>2181</v>
      </c>
      <c r="O186" s="1">
        <v>6</v>
      </c>
      <c r="Q186" s="1">
        <v>2009</v>
      </c>
      <c r="R186" s="1" t="s">
        <v>2182</v>
      </c>
      <c r="S186" s="1" t="s">
        <v>27</v>
      </c>
      <c r="T186" s="38">
        <v>1</v>
      </c>
      <c r="Z186" s="1">
        <v>73.97</v>
      </c>
      <c r="AH186" s="1">
        <v>1.53</v>
      </c>
      <c r="AK186" s="1">
        <v>0.47</v>
      </c>
      <c r="AL186" s="1">
        <v>0.38500000000000001</v>
      </c>
      <c r="AM186" s="1">
        <v>0.65400000000000003</v>
      </c>
      <c r="AY186" s="1">
        <v>21</v>
      </c>
      <c r="BD186" s="1">
        <v>0.03</v>
      </c>
      <c r="BF186" s="1">
        <v>0.17899999999999999</v>
      </c>
      <c r="BJ186" s="1">
        <v>31</v>
      </c>
      <c r="BK186" s="1">
        <v>1.7999999999999999E-2</v>
      </c>
      <c r="BS186" s="1">
        <v>113</v>
      </c>
      <c r="BW186" s="1">
        <v>0.35</v>
      </c>
      <c r="CV186" s="1">
        <v>0.51300000000000001</v>
      </c>
      <c r="FA186" s="1">
        <v>4.1999999999999997E-3</v>
      </c>
      <c r="FB186" s="1">
        <v>0.27300000000000002</v>
      </c>
      <c r="FE186" s="1">
        <v>5.3999999999999999E-2</v>
      </c>
      <c r="FF186" s="1">
        <v>23</v>
      </c>
    </row>
    <row r="187" spans="1:162" x14ac:dyDescent="0.2">
      <c r="A187" s="1" t="s">
        <v>2185</v>
      </c>
      <c r="B187" s="1" t="s">
        <v>55</v>
      </c>
      <c r="C187" s="1" t="s">
        <v>2176</v>
      </c>
      <c r="D187" s="1" t="s">
        <v>2</v>
      </c>
      <c r="E187" s="1">
        <v>33</v>
      </c>
      <c r="F187" s="1" t="s">
        <v>2177</v>
      </c>
      <c r="H187" s="1" t="s">
        <v>2186</v>
      </c>
      <c r="I187" s="1" t="s">
        <v>7</v>
      </c>
      <c r="J187" s="1" t="s">
        <v>2179</v>
      </c>
      <c r="K187" s="1" t="s">
        <v>2180</v>
      </c>
      <c r="L187" s="1" t="s">
        <v>2179</v>
      </c>
      <c r="N187" s="1" t="s">
        <v>2181</v>
      </c>
      <c r="O187" s="1">
        <v>6</v>
      </c>
      <c r="Q187" s="1">
        <v>2009</v>
      </c>
      <c r="R187" s="1" t="s">
        <v>2182</v>
      </c>
      <c r="S187" s="1" t="s">
        <v>27</v>
      </c>
      <c r="T187" s="38">
        <v>1</v>
      </c>
      <c r="Z187" s="1">
        <v>75.72</v>
      </c>
      <c r="AH187" s="1">
        <v>1.1599999999999999</v>
      </c>
      <c r="AK187" s="1">
        <v>0.35099999999999998</v>
      </c>
      <c r="AL187" s="1">
        <v>0.27200000000000002</v>
      </c>
      <c r="AM187" s="1">
        <v>0.51600000000000001</v>
      </c>
      <c r="AY187" s="1">
        <v>21</v>
      </c>
      <c r="BD187" s="1">
        <v>2.1999999999999999E-2</v>
      </c>
      <c r="BF187" s="1">
        <v>0.19700000000000001</v>
      </c>
      <c r="BJ187" s="1">
        <v>31</v>
      </c>
      <c r="BK187" s="1">
        <v>8.0000000000000002E-3</v>
      </c>
      <c r="BS187" s="1">
        <v>115</v>
      </c>
      <c r="BW187" s="1">
        <v>0.34300000000000003</v>
      </c>
      <c r="CV187" s="1">
        <v>0.439</v>
      </c>
      <c r="FA187" s="1">
        <v>4.7999999999999996E-3</v>
      </c>
      <c r="FB187" s="1">
        <v>0.27300000000000002</v>
      </c>
      <c r="FE187" s="1">
        <v>4.1000000000000002E-2</v>
      </c>
      <c r="FF187" s="1">
        <v>24</v>
      </c>
    </row>
    <row r="188" spans="1:162" x14ac:dyDescent="0.2">
      <c r="A188" s="1" t="s">
        <v>2187</v>
      </c>
      <c r="B188" s="1" t="s">
        <v>55</v>
      </c>
      <c r="C188" s="1" t="s">
        <v>2188</v>
      </c>
      <c r="D188" s="1" t="s">
        <v>2</v>
      </c>
      <c r="E188" s="1">
        <v>31</v>
      </c>
      <c r="F188" s="1" t="s">
        <v>2189</v>
      </c>
      <c r="H188" s="1" t="s">
        <v>2190</v>
      </c>
      <c r="I188" s="1" t="s">
        <v>7</v>
      </c>
      <c r="J188" s="1" t="s">
        <v>2191</v>
      </c>
      <c r="K188" s="1" t="s">
        <v>2192</v>
      </c>
      <c r="L188" s="1" t="s">
        <v>2191</v>
      </c>
      <c r="M188" s="1" t="s">
        <v>480</v>
      </c>
      <c r="N188" s="1" t="s">
        <v>2193</v>
      </c>
      <c r="P188" s="1" t="s">
        <v>2194</v>
      </c>
      <c r="Q188" s="1">
        <v>2003</v>
      </c>
      <c r="R188" s="1" t="s">
        <v>2195</v>
      </c>
      <c r="S188" s="1" t="s">
        <v>27</v>
      </c>
      <c r="T188" s="38">
        <v>1</v>
      </c>
      <c r="Z188" s="1">
        <v>76.099999999999994</v>
      </c>
      <c r="AI188" s="1">
        <v>3.9</v>
      </c>
      <c r="AM188" s="1">
        <v>1.18</v>
      </c>
    </row>
    <row r="189" spans="1:162" x14ac:dyDescent="0.2">
      <c r="A189" s="1" t="s">
        <v>2196</v>
      </c>
      <c r="B189" s="1" t="s">
        <v>55</v>
      </c>
      <c r="C189" s="1" t="s">
        <v>1701</v>
      </c>
      <c r="D189" s="1" t="s">
        <v>2</v>
      </c>
      <c r="E189" s="1">
        <v>23</v>
      </c>
      <c r="F189" s="1" t="s">
        <v>1710</v>
      </c>
      <c r="H189" s="1" t="s">
        <v>2197</v>
      </c>
      <c r="I189" s="1" t="s">
        <v>7</v>
      </c>
      <c r="J189" s="1" t="s">
        <v>1712</v>
      </c>
      <c r="K189" s="1" t="s">
        <v>1713</v>
      </c>
      <c r="L189" s="1" t="s">
        <v>1712</v>
      </c>
      <c r="M189" s="1" t="s">
        <v>2198</v>
      </c>
      <c r="P189" s="1" t="s">
        <v>1269</v>
      </c>
      <c r="Q189" s="1">
        <v>2010</v>
      </c>
      <c r="R189" s="1" t="s">
        <v>2199</v>
      </c>
      <c r="S189" s="1" t="s">
        <v>27</v>
      </c>
      <c r="T189" s="38">
        <v>1</v>
      </c>
      <c r="Z189" s="1">
        <v>63.86</v>
      </c>
      <c r="AH189" s="1">
        <v>21.61</v>
      </c>
      <c r="AK189" s="1">
        <v>5.5993506609999999</v>
      </c>
      <c r="AL189" s="1">
        <v>8.7683789399999998</v>
      </c>
      <c r="AM189" s="1">
        <v>5.6514003989999999</v>
      </c>
    </row>
    <row r="190" spans="1:162" x14ac:dyDescent="0.2">
      <c r="A190" s="1" t="s">
        <v>2200</v>
      </c>
      <c r="B190" s="1" t="s">
        <v>55</v>
      </c>
      <c r="C190" s="1" t="s">
        <v>1701</v>
      </c>
      <c r="D190" s="1" t="s">
        <v>2</v>
      </c>
      <c r="E190" s="1">
        <v>23</v>
      </c>
      <c r="F190" s="1" t="s">
        <v>1710</v>
      </c>
      <c r="H190" s="1" t="s">
        <v>2201</v>
      </c>
      <c r="I190" s="1" t="s">
        <v>11</v>
      </c>
      <c r="J190" s="1" t="s">
        <v>1712</v>
      </c>
      <c r="K190" s="1" t="s">
        <v>1713</v>
      </c>
      <c r="L190" s="1" t="s">
        <v>1712</v>
      </c>
      <c r="M190" s="1" t="s">
        <v>2198</v>
      </c>
      <c r="N190" s="1" t="s">
        <v>2202</v>
      </c>
      <c r="P190" s="1" t="s">
        <v>1269</v>
      </c>
      <c r="Q190" s="1">
        <v>2010</v>
      </c>
      <c r="R190" s="1" t="s">
        <v>2199</v>
      </c>
      <c r="S190" s="1" t="s">
        <v>27</v>
      </c>
      <c r="T190" s="38">
        <v>1</v>
      </c>
      <c r="Z190" s="1">
        <v>63.36</v>
      </c>
      <c r="AH190" s="1">
        <v>18.02</v>
      </c>
      <c r="AK190" s="1">
        <v>4.6091609900000003</v>
      </c>
      <c r="AL190" s="1">
        <v>7.314646808</v>
      </c>
      <c r="AM190" s="1">
        <v>4.7475191680000002</v>
      </c>
    </row>
    <row r="191" spans="1:162" x14ac:dyDescent="0.2">
      <c r="A191" s="1" t="s">
        <v>2203</v>
      </c>
      <c r="B191" s="1" t="s">
        <v>55</v>
      </c>
      <c r="C191" s="1" t="s">
        <v>1701</v>
      </c>
      <c r="D191" s="1" t="s">
        <v>2</v>
      </c>
      <c r="E191" s="1">
        <v>23</v>
      </c>
      <c r="F191" s="1" t="s">
        <v>1710</v>
      </c>
      <c r="H191" s="1" t="s">
        <v>2204</v>
      </c>
      <c r="I191" s="1" t="s">
        <v>11</v>
      </c>
      <c r="J191" s="1" t="s">
        <v>1712</v>
      </c>
      <c r="K191" s="1" t="s">
        <v>1713</v>
      </c>
      <c r="L191" s="1" t="s">
        <v>1712</v>
      </c>
      <c r="M191" s="1" t="s">
        <v>2198</v>
      </c>
      <c r="N191" s="1" t="s">
        <v>2205</v>
      </c>
      <c r="P191" s="1" t="s">
        <v>1269</v>
      </c>
      <c r="Q191" s="1">
        <v>2010</v>
      </c>
      <c r="R191" s="1" t="s">
        <v>2199</v>
      </c>
      <c r="S191" s="1" t="s">
        <v>27</v>
      </c>
      <c r="T191" s="38">
        <v>1</v>
      </c>
      <c r="Z191" s="1">
        <v>60.71</v>
      </c>
      <c r="AH191" s="1">
        <v>21.2</v>
      </c>
      <c r="AK191" s="1">
        <v>5.3391915399999998</v>
      </c>
      <c r="AL191" s="1">
        <v>8.7481053000000006</v>
      </c>
      <c r="AM191" s="1">
        <v>5.5473394999999996</v>
      </c>
    </row>
    <row r="192" spans="1:162" x14ac:dyDescent="0.2">
      <c r="A192" s="1" t="s">
        <v>2206</v>
      </c>
      <c r="B192" s="1" t="s">
        <v>55</v>
      </c>
      <c r="C192" s="1" t="s">
        <v>1701</v>
      </c>
      <c r="D192" s="1" t="s">
        <v>2</v>
      </c>
      <c r="E192" s="1">
        <v>23</v>
      </c>
      <c r="F192" s="1" t="s">
        <v>1710</v>
      </c>
      <c r="H192" s="1" t="s">
        <v>2207</v>
      </c>
      <c r="I192" s="1" t="s">
        <v>11</v>
      </c>
      <c r="J192" s="1" t="s">
        <v>1712</v>
      </c>
      <c r="K192" s="1" t="s">
        <v>1713</v>
      </c>
      <c r="L192" s="1" t="s">
        <v>1712</v>
      </c>
      <c r="M192" s="1" t="s">
        <v>2198</v>
      </c>
      <c r="N192" s="1" t="s">
        <v>2208</v>
      </c>
      <c r="P192" s="1" t="s">
        <v>1269</v>
      </c>
      <c r="Q192" s="1">
        <v>2010</v>
      </c>
      <c r="R192" s="1" t="s">
        <v>2199</v>
      </c>
      <c r="S192" s="1" t="s">
        <v>27</v>
      </c>
      <c r="T192" s="38">
        <v>1</v>
      </c>
      <c r="Z192" s="1">
        <v>58.84</v>
      </c>
      <c r="AH192" s="1">
        <v>18.32</v>
      </c>
      <c r="AK192" s="1">
        <v>4.6221450119999998</v>
      </c>
      <c r="AL192" s="1">
        <v>7.5256046400000001</v>
      </c>
      <c r="AM192" s="1">
        <v>4.8018103480000001</v>
      </c>
    </row>
    <row r="193" spans="1:153" x14ac:dyDescent="0.2">
      <c r="A193" s="1" t="s">
        <v>2209</v>
      </c>
      <c r="B193" s="1" t="s">
        <v>55</v>
      </c>
      <c r="C193" s="1" t="s">
        <v>1701</v>
      </c>
      <c r="D193" s="1" t="s">
        <v>2</v>
      </c>
      <c r="E193" s="1">
        <v>23</v>
      </c>
      <c r="F193" s="1" t="s">
        <v>1710</v>
      </c>
      <c r="H193" s="1" t="s">
        <v>2210</v>
      </c>
      <c r="I193" s="1" t="s">
        <v>11</v>
      </c>
      <c r="J193" s="1" t="s">
        <v>1712</v>
      </c>
      <c r="K193" s="1" t="s">
        <v>1713</v>
      </c>
      <c r="L193" s="1" t="s">
        <v>1712</v>
      </c>
      <c r="M193" s="1" t="s">
        <v>2198</v>
      </c>
      <c r="N193" s="1" t="s">
        <v>2211</v>
      </c>
      <c r="P193" s="1" t="s">
        <v>1269</v>
      </c>
      <c r="Q193" s="1">
        <v>2010</v>
      </c>
      <c r="R193" s="1" t="s">
        <v>2199</v>
      </c>
      <c r="S193" s="1" t="s">
        <v>27</v>
      </c>
      <c r="T193" s="38">
        <v>1</v>
      </c>
      <c r="Z193" s="1">
        <v>59.43</v>
      </c>
      <c r="AH193" s="1">
        <v>24.68</v>
      </c>
      <c r="AK193" s="1">
        <v>6.3707496959999999</v>
      </c>
      <c r="AL193" s="1">
        <v>10.185419144000001</v>
      </c>
      <c r="AM193" s="1">
        <v>6.3272711599999996</v>
      </c>
    </row>
    <row r="194" spans="1:153" x14ac:dyDescent="0.2">
      <c r="A194" s="1" t="s">
        <v>2212</v>
      </c>
      <c r="B194" s="1" t="s">
        <v>55</v>
      </c>
      <c r="C194" s="1" t="s">
        <v>1701</v>
      </c>
      <c r="D194" s="1" t="s">
        <v>2</v>
      </c>
      <c r="E194" s="1">
        <v>23</v>
      </c>
      <c r="F194" s="1" t="s">
        <v>1710</v>
      </c>
      <c r="H194" s="1" t="s">
        <v>2213</v>
      </c>
      <c r="I194" s="1" t="s">
        <v>11</v>
      </c>
      <c r="J194" s="1" t="s">
        <v>1712</v>
      </c>
      <c r="K194" s="1" t="s">
        <v>1713</v>
      </c>
      <c r="L194" s="1" t="s">
        <v>1712</v>
      </c>
      <c r="M194" s="1" t="s">
        <v>2198</v>
      </c>
      <c r="N194" s="1" t="s">
        <v>2214</v>
      </c>
      <c r="P194" s="1" t="s">
        <v>1269</v>
      </c>
      <c r="Q194" s="1">
        <v>2010</v>
      </c>
      <c r="R194" s="1" t="s">
        <v>2199</v>
      </c>
      <c r="S194" s="1" t="s">
        <v>27</v>
      </c>
      <c r="T194" s="38">
        <v>1</v>
      </c>
      <c r="Z194" s="1">
        <v>56.39</v>
      </c>
      <c r="AH194" s="1">
        <v>23.14</v>
      </c>
      <c r="AK194" s="1">
        <v>5.9943302899999997</v>
      </c>
      <c r="AL194" s="1">
        <v>9.6209537320000003</v>
      </c>
      <c r="AM194" s="1">
        <v>5.8313359780000003</v>
      </c>
    </row>
    <row r="195" spans="1:153" x14ac:dyDescent="0.2">
      <c r="A195" s="1" t="s">
        <v>2215</v>
      </c>
      <c r="B195" s="1" t="s">
        <v>55</v>
      </c>
      <c r="C195" s="1" t="s">
        <v>1701</v>
      </c>
      <c r="D195" s="1" t="s">
        <v>2</v>
      </c>
      <c r="E195" s="1">
        <v>23</v>
      </c>
      <c r="F195" s="1" t="s">
        <v>1710</v>
      </c>
      <c r="H195" s="1" t="s">
        <v>2216</v>
      </c>
      <c r="I195" s="1" t="s">
        <v>11</v>
      </c>
      <c r="J195" s="1" t="s">
        <v>1712</v>
      </c>
      <c r="K195" s="1" t="s">
        <v>1713</v>
      </c>
      <c r="L195" s="1" t="s">
        <v>1712</v>
      </c>
      <c r="M195" s="1" t="s">
        <v>2198</v>
      </c>
      <c r="N195" s="1" t="s">
        <v>2217</v>
      </c>
      <c r="P195" s="1" t="s">
        <v>1269</v>
      </c>
      <c r="Q195" s="1">
        <v>2010</v>
      </c>
      <c r="R195" s="1" t="s">
        <v>2199</v>
      </c>
      <c r="S195" s="1" t="s">
        <v>27</v>
      </c>
      <c r="T195" s="38">
        <v>1</v>
      </c>
      <c r="Z195" s="1">
        <v>50.45</v>
      </c>
      <c r="AH195" s="1">
        <v>26.3</v>
      </c>
      <c r="AK195" s="1">
        <v>5.9791899900000001</v>
      </c>
      <c r="AL195" s="1">
        <v>9.8531001099999997</v>
      </c>
      <c r="AM195" s="1">
        <v>8.5626099</v>
      </c>
    </row>
    <row r="196" spans="1:153" x14ac:dyDescent="0.2">
      <c r="A196" s="1" t="s">
        <v>2218</v>
      </c>
      <c r="B196" s="1" t="s">
        <v>55</v>
      </c>
      <c r="C196" s="1" t="s">
        <v>2219</v>
      </c>
      <c r="D196" s="1" t="s">
        <v>2</v>
      </c>
      <c r="E196" s="1">
        <v>31</v>
      </c>
      <c r="F196" s="1" t="s">
        <v>2220</v>
      </c>
      <c r="H196" s="1" t="s">
        <v>2221</v>
      </c>
      <c r="I196" s="1" t="s">
        <v>7</v>
      </c>
      <c r="J196" s="1" t="s">
        <v>2222</v>
      </c>
      <c r="K196" s="1" t="s">
        <v>2223</v>
      </c>
      <c r="L196" s="1" t="s">
        <v>2222</v>
      </c>
      <c r="M196" s="1" t="s">
        <v>2224</v>
      </c>
      <c r="N196" s="1" t="s">
        <v>2225</v>
      </c>
      <c r="O196" s="1">
        <v>36</v>
      </c>
      <c r="P196" s="1" t="s">
        <v>2226</v>
      </c>
      <c r="Q196" s="1">
        <v>2009</v>
      </c>
      <c r="R196" s="1" t="s">
        <v>2227</v>
      </c>
      <c r="S196" s="1" t="s">
        <v>27</v>
      </c>
      <c r="T196" s="38">
        <v>1</v>
      </c>
      <c r="W196" s="1">
        <v>123.8</v>
      </c>
      <c r="Z196" s="1">
        <v>76.400000000000006</v>
      </c>
      <c r="AA196" s="1">
        <v>6.25</v>
      </c>
      <c r="AC196" s="1">
        <v>18.899999999999999</v>
      </c>
      <c r="AI196" s="1">
        <v>3.5</v>
      </c>
      <c r="AK196" s="1">
        <v>0.83370750000000005</v>
      </c>
      <c r="AL196" s="1">
        <v>0.85556500000000002</v>
      </c>
      <c r="AM196" s="1">
        <v>1.4332275000000001</v>
      </c>
      <c r="AV196" s="1">
        <v>1.2</v>
      </c>
      <c r="BA196" s="1" t="s">
        <v>15</v>
      </c>
      <c r="BB196" s="1">
        <v>20</v>
      </c>
      <c r="BD196" s="1">
        <v>0.01</v>
      </c>
      <c r="BF196" s="1">
        <v>0.22</v>
      </c>
      <c r="BK196" s="1">
        <v>0.01</v>
      </c>
      <c r="BO196" s="1">
        <v>10</v>
      </c>
      <c r="BW196" s="1">
        <v>0.19</v>
      </c>
      <c r="CA196" s="1" t="s">
        <v>15</v>
      </c>
      <c r="CC196" s="1">
        <v>10</v>
      </c>
      <c r="EW196" s="1">
        <v>38.799999999999997</v>
      </c>
    </row>
    <row r="197" spans="1:153" x14ac:dyDescent="0.2">
      <c r="A197" s="1" t="s">
        <v>2228</v>
      </c>
      <c r="B197" s="1" t="s">
        <v>55</v>
      </c>
      <c r="C197" s="1" t="s">
        <v>2229</v>
      </c>
      <c r="D197" s="1" t="s">
        <v>2</v>
      </c>
      <c r="E197" s="1">
        <v>33</v>
      </c>
      <c r="F197" s="1" t="s">
        <v>1977</v>
      </c>
      <c r="H197" s="1" t="s">
        <v>2230</v>
      </c>
      <c r="I197" s="1" t="s">
        <v>7</v>
      </c>
      <c r="J197" s="1" t="s">
        <v>1979</v>
      </c>
      <c r="K197" s="1" t="s">
        <v>1980</v>
      </c>
      <c r="L197" s="1" t="s">
        <v>1981</v>
      </c>
      <c r="O197" s="1">
        <v>1</v>
      </c>
      <c r="P197" s="1" t="s">
        <v>2231</v>
      </c>
      <c r="Q197" s="1">
        <v>2006</v>
      </c>
      <c r="R197" s="1" t="s">
        <v>2232</v>
      </c>
      <c r="S197" s="1" t="s">
        <v>27</v>
      </c>
      <c r="T197" s="38">
        <v>1</v>
      </c>
      <c r="Z197" s="1">
        <v>76.52</v>
      </c>
      <c r="AE197" s="1">
        <v>18.596160000000001</v>
      </c>
      <c r="AJ197" s="1">
        <v>2.43018</v>
      </c>
      <c r="DR197" s="1">
        <v>7093.308</v>
      </c>
      <c r="DS197" s="1">
        <v>14883.972</v>
      </c>
      <c r="DT197" s="1">
        <v>7642.74</v>
      </c>
      <c r="DU197" s="1">
        <v>1028.424</v>
      </c>
      <c r="DV197" s="1">
        <v>960.33199999999999</v>
      </c>
      <c r="DX197" s="1">
        <v>1775.088</v>
      </c>
      <c r="DY197" s="1">
        <v>205.6848</v>
      </c>
      <c r="EA197" s="1">
        <v>2402.0039999999999</v>
      </c>
      <c r="EB197" s="1">
        <v>643.35199999999998</v>
      </c>
      <c r="EC197" s="1">
        <v>298.19600000000003</v>
      </c>
      <c r="EF197" s="1">
        <v>589.34799999999996</v>
      </c>
      <c r="EG197" s="1">
        <v>1357.144</v>
      </c>
      <c r="EH197" s="1">
        <v>1427.5840000000001</v>
      </c>
      <c r="EI197" s="1">
        <v>532.99599999999998</v>
      </c>
      <c r="EK197" s="1">
        <v>650.39599999999996</v>
      </c>
      <c r="EL197" s="1">
        <v>333.416</v>
      </c>
      <c r="EM197" s="1">
        <v>678.572</v>
      </c>
      <c r="EO197" s="1">
        <v>767.79600000000005</v>
      </c>
      <c r="EQ197" s="1">
        <v>575.26</v>
      </c>
      <c r="ER197" s="1">
        <v>664.48400000000004</v>
      </c>
    </row>
    <row r="198" spans="1:153" x14ac:dyDescent="0.2">
      <c r="A198" s="1" t="s">
        <v>2233</v>
      </c>
      <c r="B198" s="1" t="s">
        <v>55</v>
      </c>
      <c r="C198" s="1" t="s">
        <v>2229</v>
      </c>
      <c r="D198" s="1" t="s">
        <v>2</v>
      </c>
      <c r="E198" s="1">
        <v>33</v>
      </c>
      <c r="F198" s="1" t="s">
        <v>2234</v>
      </c>
      <c r="H198" s="1" t="s">
        <v>2235</v>
      </c>
      <c r="I198" s="1" t="s">
        <v>7</v>
      </c>
      <c r="J198" s="1" t="s">
        <v>2236</v>
      </c>
      <c r="K198" s="1" t="s">
        <v>2237</v>
      </c>
      <c r="L198" s="1" t="s">
        <v>2236</v>
      </c>
      <c r="O198" s="1">
        <v>1</v>
      </c>
      <c r="P198" s="1" t="s">
        <v>2231</v>
      </c>
      <c r="Q198" s="1">
        <v>2006</v>
      </c>
      <c r="R198" s="1" t="s">
        <v>2232</v>
      </c>
      <c r="S198" s="1" t="s">
        <v>27</v>
      </c>
      <c r="T198" s="38">
        <v>1</v>
      </c>
      <c r="Z198" s="1">
        <v>77.489999999999995</v>
      </c>
      <c r="AE198" s="1">
        <v>19.187524</v>
      </c>
      <c r="AJ198" s="1">
        <v>1.5486880000000001</v>
      </c>
      <c r="DR198" s="1">
        <v>7761.4480000000003</v>
      </c>
      <c r="DS198" s="1">
        <v>15984.351000000001</v>
      </c>
      <c r="DT198" s="1">
        <v>8227.4050000000007</v>
      </c>
      <c r="DU198" s="1">
        <v>1080.48</v>
      </c>
      <c r="DV198" s="1">
        <v>1008.448</v>
      </c>
      <c r="DX198" s="1">
        <v>1899.8440000000001</v>
      </c>
      <c r="DY198" s="1">
        <v>214.29519999999999</v>
      </c>
      <c r="EA198" s="1">
        <v>2584.1480000000001</v>
      </c>
      <c r="EB198" s="1">
        <v>826.11699999999996</v>
      </c>
      <c r="EC198" s="1">
        <v>328.64600000000002</v>
      </c>
      <c r="EF198" s="1">
        <v>641.53499999999997</v>
      </c>
      <c r="EG198" s="1">
        <v>1478.9069999999999</v>
      </c>
      <c r="EH198" s="1">
        <v>1481.1579999999999</v>
      </c>
      <c r="EI198" s="1">
        <v>574.005</v>
      </c>
      <c r="EK198" s="1">
        <v>736.077</v>
      </c>
      <c r="EL198" s="1">
        <v>276.87299999999999</v>
      </c>
      <c r="EM198" s="1">
        <v>733.82600000000002</v>
      </c>
      <c r="EO198" s="1">
        <v>832.87</v>
      </c>
      <c r="EQ198" s="1">
        <v>614.52300000000002</v>
      </c>
      <c r="ER198" s="1">
        <v>675.3</v>
      </c>
    </row>
    <row r="199" spans="1:153" x14ac:dyDescent="0.2">
      <c r="A199" s="1" t="s">
        <v>2238</v>
      </c>
      <c r="B199" s="1" t="s">
        <v>55</v>
      </c>
      <c r="C199" s="1" t="s">
        <v>2229</v>
      </c>
      <c r="D199" s="1" t="s">
        <v>2</v>
      </c>
      <c r="E199" s="1">
        <v>33</v>
      </c>
      <c r="F199" s="1" t="s">
        <v>2239</v>
      </c>
      <c r="H199" s="1" t="s">
        <v>2240</v>
      </c>
      <c r="I199" s="1" t="s">
        <v>7</v>
      </c>
      <c r="J199" s="1" t="s">
        <v>2241</v>
      </c>
      <c r="K199" s="1" t="s">
        <v>2242</v>
      </c>
      <c r="L199" s="1" t="s">
        <v>2243</v>
      </c>
      <c r="O199" s="1">
        <v>1</v>
      </c>
      <c r="P199" s="1" t="s">
        <v>2231</v>
      </c>
      <c r="Q199" s="1">
        <v>2006</v>
      </c>
      <c r="R199" s="1" t="s">
        <v>2232</v>
      </c>
      <c r="S199" s="1" t="s">
        <v>27</v>
      </c>
      <c r="T199" s="38">
        <v>1</v>
      </c>
      <c r="Z199" s="1">
        <v>76.45</v>
      </c>
      <c r="AE199" s="1">
        <v>19.33455</v>
      </c>
      <c r="AJ199" s="1">
        <v>1.6437900000000001</v>
      </c>
      <c r="DR199" s="1">
        <v>7536</v>
      </c>
      <c r="DS199" s="1">
        <v>15519.45</v>
      </c>
      <c r="DT199" s="1">
        <v>7983.45</v>
      </c>
      <c r="DU199" s="1">
        <v>1031.49</v>
      </c>
      <c r="DV199" s="1">
        <v>1043.2650000000001</v>
      </c>
      <c r="DX199" s="1">
        <v>1874.58</v>
      </c>
      <c r="DY199" s="1">
        <v>237.85499999999999</v>
      </c>
      <c r="EA199" s="1">
        <v>2449.1999999999998</v>
      </c>
      <c r="EB199" s="1">
        <v>772.44</v>
      </c>
      <c r="EC199" s="1">
        <v>419.19</v>
      </c>
      <c r="EF199" s="1">
        <v>567.55499999999995</v>
      </c>
      <c r="EG199" s="1">
        <v>1450.68</v>
      </c>
      <c r="EH199" s="1">
        <v>1471.875</v>
      </c>
      <c r="EI199" s="1">
        <v>365.02499999999998</v>
      </c>
      <c r="EK199" s="1">
        <v>770.08500000000004</v>
      </c>
      <c r="EL199" s="1">
        <v>287.31</v>
      </c>
      <c r="EM199" s="1">
        <v>725.34</v>
      </c>
      <c r="EO199" s="1">
        <v>805.41</v>
      </c>
      <c r="EQ199" s="1">
        <v>624.07500000000005</v>
      </c>
      <c r="ER199" s="1">
        <v>647.625</v>
      </c>
    </row>
    <row r="200" spans="1:153" x14ac:dyDescent="0.2">
      <c r="A200" s="1" t="s">
        <v>2244</v>
      </c>
      <c r="B200" s="1" t="s">
        <v>55</v>
      </c>
      <c r="C200" s="1" t="s">
        <v>2229</v>
      </c>
      <c r="D200" s="1" t="s">
        <v>2</v>
      </c>
      <c r="E200" s="1">
        <v>37</v>
      </c>
      <c r="F200" s="1" t="s">
        <v>2245</v>
      </c>
      <c r="H200" s="1" t="s">
        <v>2246</v>
      </c>
      <c r="I200" s="1" t="s">
        <v>7</v>
      </c>
      <c r="J200" s="1" t="s">
        <v>2247</v>
      </c>
      <c r="K200" s="1" t="s">
        <v>2248</v>
      </c>
      <c r="L200" s="1" t="s">
        <v>2247</v>
      </c>
      <c r="O200" s="1">
        <v>1</v>
      </c>
      <c r="P200" s="1" t="s">
        <v>2231</v>
      </c>
      <c r="Q200" s="1">
        <v>2006</v>
      </c>
      <c r="R200" s="1" t="s">
        <v>2232</v>
      </c>
      <c r="S200" s="1" t="s">
        <v>27</v>
      </c>
      <c r="T200" s="38">
        <v>1</v>
      </c>
      <c r="Z200" s="1">
        <v>75.12</v>
      </c>
      <c r="AE200" s="1">
        <v>20.578247999999999</v>
      </c>
      <c r="AJ200" s="1">
        <v>2.1595840000000002</v>
      </c>
      <c r="DR200" s="1">
        <v>8596.0400000000009</v>
      </c>
      <c r="DS200" s="1">
        <v>17488.151999999998</v>
      </c>
      <c r="DT200" s="1">
        <v>8892.1119999999992</v>
      </c>
      <c r="DU200" s="1">
        <v>1186.7760000000001</v>
      </c>
      <c r="DV200" s="1">
        <v>1149.4559999999999</v>
      </c>
      <c r="DX200" s="1">
        <v>2045.136</v>
      </c>
      <c r="DY200" s="1">
        <v>273.68</v>
      </c>
      <c r="EA200" s="1">
        <v>2654.6959999999999</v>
      </c>
      <c r="EB200" s="1">
        <v>940.46400000000006</v>
      </c>
      <c r="EC200" s="1">
        <v>549.84799999999996</v>
      </c>
      <c r="EF200" s="1">
        <v>684.2</v>
      </c>
      <c r="EG200" s="1">
        <v>1569.9280000000001</v>
      </c>
      <c r="EH200" s="1">
        <v>1572.4159999999999</v>
      </c>
      <c r="EI200" s="1">
        <v>492.62400000000002</v>
      </c>
      <c r="EK200" s="1">
        <v>826.01599999999996</v>
      </c>
      <c r="EL200" s="1">
        <v>291.096</v>
      </c>
      <c r="EM200" s="1">
        <v>816.06399999999996</v>
      </c>
      <c r="EO200" s="1">
        <v>910.60799999999995</v>
      </c>
      <c r="EQ200" s="1">
        <v>684.2</v>
      </c>
      <c r="ER200" s="1">
        <v>843.43200000000002</v>
      </c>
    </row>
    <row r="201" spans="1:153" x14ac:dyDescent="0.2">
      <c r="A201" s="1" t="s">
        <v>2249</v>
      </c>
      <c r="B201" s="1" t="s">
        <v>55</v>
      </c>
      <c r="C201" s="1" t="s">
        <v>2229</v>
      </c>
      <c r="D201" s="1" t="s">
        <v>2</v>
      </c>
      <c r="E201" s="1">
        <v>33</v>
      </c>
      <c r="F201" s="1" t="s">
        <v>2250</v>
      </c>
      <c r="H201" s="1" t="s">
        <v>2251</v>
      </c>
      <c r="I201" s="1" t="s">
        <v>7</v>
      </c>
      <c r="J201" s="1" t="s">
        <v>2252</v>
      </c>
      <c r="L201" s="1" t="s">
        <v>2253</v>
      </c>
      <c r="O201" s="1">
        <v>1</v>
      </c>
      <c r="P201" s="1" t="s">
        <v>2231</v>
      </c>
      <c r="Q201" s="1">
        <v>2006</v>
      </c>
      <c r="R201" s="1" t="s">
        <v>2232</v>
      </c>
      <c r="S201" s="1" t="s">
        <v>27</v>
      </c>
      <c r="T201" s="38">
        <v>1</v>
      </c>
      <c r="Z201" s="1">
        <v>77.180000000000007</v>
      </c>
      <c r="AE201" s="1">
        <v>19.031880000000001</v>
      </c>
      <c r="AJ201" s="1">
        <v>1.6476040000000001</v>
      </c>
      <c r="DR201" s="1">
        <v>7649.2640000000001</v>
      </c>
      <c r="DS201" s="1">
        <v>16083.536</v>
      </c>
      <c r="DT201" s="1">
        <v>8438.8359999999993</v>
      </c>
      <c r="DU201" s="1">
        <v>1083.95</v>
      </c>
      <c r="DV201" s="1">
        <v>985.82399999999996</v>
      </c>
      <c r="DX201" s="1">
        <v>1932.854</v>
      </c>
      <c r="DY201" s="1">
        <v>237.328</v>
      </c>
      <c r="EA201" s="1">
        <v>2622.018</v>
      </c>
      <c r="EB201" s="1">
        <v>869.44200000000001</v>
      </c>
      <c r="EC201" s="1">
        <v>399.35</v>
      </c>
      <c r="EF201" s="1">
        <v>588.75599999999997</v>
      </c>
      <c r="EG201" s="1">
        <v>1478.7360000000001</v>
      </c>
      <c r="EH201" s="1">
        <v>1460.48</v>
      </c>
      <c r="EI201" s="1">
        <v>527.14200000000005</v>
      </c>
      <c r="EK201" s="1">
        <v>750.77800000000002</v>
      </c>
      <c r="EL201" s="1">
        <v>358.274</v>
      </c>
      <c r="EM201" s="1">
        <v>743.93200000000002</v>
      </c>
      <c r="EO201" s="1">
        <v>780.44399999999996</v>
      </c>
      <c r="EQ201" s="1">
        <v>591.03800000000001</v>
      </c>
      <c r="ER201" s="1">
        <v>670.90800000000002</v>
      </c>
    </row>
    <row r="202" spans="1:153" x14ac:dyDescent="0.2">
      <c r="A202" s="1" t="s">
        <v>2254</v>
      </c>
      <c r="B202" s="1" t="s">
        <v>55</v>
      </c>
      <c r="C202" s="1" t="s">
        <v>2255</v>
      </c>
      <c r="D202" s="1" t="s">
        <v>2</v>
      </c>
      <c r="E202" s="1">
        <v>36</v>
      </c>
      <c r="F202" s="1" t="s">
        <v>1814</v>
      </c>
      <c r="H202" s="1" t="s">
        <v>2256</v>
      </c>
      <c r="I202" s="1" t="s">
        <v>7</v>
      </c>
      <c r="J202" s="1" t="s">
        <v>1816</v>
      </c>
      <c r="K202" s="1" t="s">
        <v>1817</v>
      </c>
      <c r="L202" s="1" t="s">
        <v>1816</v>
      </c>
      <c r="M202" s="1" t="s">
        <v>2257</v>
      </c>
      <c r="O202" s="1">
        <v>1</v>
      </c>
      <c r="Q202" s="1">
        <v>2009</v>
      </c>
      <c r="R202" s="1" t="s">
        <v>2258</v>
      </c>
      <c r="S202" s="1" t="s">
        <v>27</v>
      </c>
      <c r="T202" s="38">
        <v>1</v>
      </c>
      <c r="Z202" s="1" t="s">
        <v>2259</v>
      </c>
      <c r="AA202" s="1">
        <v>6.25</v>
      </c>
      <c r="AC202" s="1" t="s">
        <v>2260</v>
      </c>
      <c r="AI202" s="1" t="s">
        <v>2261</v>
      </c>
      <c r="AV202" s="1" t="s">
        <v>2262</v>
      </c>
    </row>
    <row r="203" spans="1:153" x14ac:dyDescent="0.2">
      <c r="A203" s="1" t="s">
        <v>2263</v>
      </c>
      <c r="B203" s="1" t="s">
        <v>55</v>
      </c>
      <c r="C203" s="1" t="s">
        <v>2255</v>
      </c>
      <c r="D203" s="1" t="s">
        <v>2</v>
      </c>
      <c r="E203" s="1">
        <v>36</v>
      </c>
      <c r="F203" s="1" t="s">
        <v>1814</v>
      </c>
      <c r="H203" s="1" t="s">
        <v>2256</v>
      </c>
      <c r="I203" s="1" t="s">
        <v>7</v>
      </c>
      <c r="J203" s="1" t="s">
        <v>1816</v>
      </c>
      <c r="K203" s="1" t="s">
        <v>1817</v>
      </c>
      <c r="L203" s="1" t="s">
        <v>1816</v>
      </c>
      <c r="M203" s="1" t="s">
        <v>2264</v>
      </c>
      <c r="O203" s="1">
        <v>1</v>
      </c>
      <c r="Q203" s="1">
        <v>2009</v>
      </c>
      <c r="R203" s="1" t="s">
        <v>2258</v>
      </c>
      <c r="S203" s="1" t="s">
        <v>27</v>
      </c>
      <c r="T203" s="38">
        <v>1</v>
      </c>
      <c r="Z203" s="1" t="s">
        <v>2265</v>
      </c>
      <c r="AA203" s="1">
        <v>6.25</v>
      </c>
      <c r="AC203" s="1" t="s">
        <v>2266</v>
      </c>
      <c r="AI203" s="1" t="s">
        <v>2267</v>
      </c>
      <c r="AV203" s="1" t="s">
        <v>2268</v>
      </c>
    </row>
    <row r="204" spans="1:153" x14ac:dyDescent="0.2">
      <c r="A204" s="1" t="s">
        <v>2269</v>
      </c>
      <c r="B204" s="1" t="s">
        <v>55</v>
      </c>
      <c r="C204" s="1" t="s">
        <v>2255</v>
      </c>
      <c r="D204" s="1" t="s">
        <v>2</v>
      </c>
      <c r="E204" s="1">
        <v>36</v>
      </c>
      <c r="F204" s="1" t="s">
        <v>1814</v>
      </c>
      <c r="H204" s="1" t="s">
        <v>2256</v>
      </c>
      <c r="I204" s="1" t="s">
        <v>7</v>
      </c>
      <c r="J204" s="1" t="s">
        <v>1816</v>
      </c>
      <c r="K204" s="1" t="s">
        <v>1817</v>
      </c>
      <c r="L204" s="1" t="s">
        <v>1816</v>
      </c>
      <c r="M204" s="1" t="s">
        <v>2270</v>
      </c>
      <c r="O204" s="1">
        <v>1</v>
      </c>
      <c r="Q204" s="1">
        <v>2009</v>
      </c>
      <c r="R204" s="1" t="s">
        <v>2258</v>
      </c>
      <c r="S204" s="1" t="s">
        <v>27</v>
      </c>
      <c r="T204" s="38">
        <v>1</v>
      </c>
      <c r="Z204" s="1">
        <v>60</v>
      </c>
      <c r="AA204" s="1">
        <v>6.25</v>
      </c>
      <c r="AC204" s="1">
        <v>22.19</v>
      </c>
      <c r="AI204" s="1">
        <v>16.55</v>
      </c>
      <c r="AV204" s="1">
        <v>0.81</v>
      </c>
    </row>
    <row r="205" spans="1:153" x14ac:dyDescent="0.2">
      <c r="A205" s="1" t="s">
        <v>2271</v>
      </c>
      <c r="B205" s="1" t="s">
        <v>55</v>
      </c>
      <c r="C205" s="1" t="s">
        <v>2272</v>
      </c>
      <c r="E205" s="1">
        <v>31</v>
      </c>
      <c r="F205" s="1" t="s">
        <v>1804</v>
      </c>
      <c r="H205" s="1" t="s">
        <v>2273</v>
      </c>
      <c r="I205" s="1" t="s">
        <v>7</v>
      </c>
      <c r="J205" s="1" t="s">
        <v>1806</v>
      </c>
      <c r="K205" s="1" t="s">
        <v>1807</v>
      </c>
      <c r="L205" s="1" t="s">
        <v>1806</v>
      </c>
      <c r="M205" s="1" t="s">
        <v>2274</v>
      </c>
      <c r="O205" s="1">
        <v>1</v>
      </c>
      <c r="Q205" s="1">
        <v>2010</v>
      </c>
      <c r="R205" s="1" t="s">
        <v>2275</v>
      </c>
      <c r="S205" s="1" t="s">
        <v>27</v>
      </c>
      <c r="T205" s="38">
        <v>1</v>
      </c>
      <c r="Z205" s="1">
        <v>77.180000000000007</v>
      </c>
      <c r="AA205" s="1">
        <v>6.25</v>
      </c>
      <c r="AC205" s="1">
        <v>17.95</v>
      </c>
      <c r="AH205" s="1">
        <v>1.18</v>
      </c>
      <c r="AV205" s="1">
        <v>2.82</v>
      </c>
      <c r="AY205" s="1">
        <v>62.598799999999997</v>
      </c>
      <c r="BA205" s="1">
        <v>14.4</v>
      </c>
      <c r="BB205" s="1">
        <v>132.80000000000001</v>
      </c>
      <c r="BD205" s="1">
        <v>0.112</v>
      </c>
      <c r="BF205" s="1">
        <v>7.2671000000000001</v>
      </c>
      <c r="BG205" s="1">
        <v>40.700000000000003</v>
      </c>
      <c r="BH205" s="1">
        <v>469.86660000000001</v>
      </c>
      <c r="BJ205" s="1">
        <v>59.760800000000003</v>
      </c>
      <c r="BK205" s="1">
        <v>0.16569999999999999</v>
      </c>
      <c r="BM205" s="1">
        <v>68.495400000000004</v>
      </c>
      <c r="BO205" s="1">
        <v>63.8</v>
      </c>
      <c r="BP205" s="1">
        <v>471.04070000000002</v>
      </c>
      <c r="BS205" s="1">
        <v>64.099999999999994</v>
      </c>
      <c r="BW205" s="1">
        <v>1.1391</v>
      </c>
      <c r="BX205" s="1">
        <v>697.7</v>
      </c>
      <c r="BY205" s="1">
        <v>40</v>
      </c>
      <c r="CA205" s="1">
        <v>7.9</v>
      </c>
      <c r="CB205" s="1">
        <v>34.4</v>
      </c>
      <c r="CC205" s="1">
        <v>28.8</v>
      </c>
      <c r="CD205" s="1">
        <v>2.5</v>
      </c>
    </row>
    <row r="206" spans="1:153" x14ac:dyDescent="0.2">
      <c r="A206" s="1" t="s">
        <v>2276</v>
      </c>
      <c r="B206" s="1" t="s">
        <v>55</v>
      </c>
      <c r="C206" s="1" t="s">
        <v>2272</v>
      </c>
      <c r="E206" s="1">
        <v>31</v>
      </c>
      <c r="F206" s="1" t="s">
        <v>1804</v>
      </c>
      <c r="H206" s="1" t="s">
        <v>2273</v>
      </c>
      <c r="I206" s="1" t="s">
        <v>7</v>
      </c>
      <c r="J206" s="1" t="s">
        <v>1806</v>
      </c>
      <c r="K206" s="1" t="s">
        <v>1807</v>
      </c>
      <c r="L206" s="1" t="s">
        <v>1806</v>
      </c>
      <c r="M206" s="1" t="s">
        <v>2277</v>
      </c>
      <c r="O206" s="1">
        <v>1</v>
      </c>
      <c r="Q206" s="1">
        <v>2010</v>
      </c>
      <c r="R206" s="1" t="s">
        <v>2275</v>
      </c>
      <c r="S206" s="1" t="s">
        <v>27</v>
      </c>
      <c r="T206" s="38">
        <v>1</v>
      </c>
      <c r="Z206" s="1">
        <v>77.28</v>
      </c>
      <c r="AA206" s="1">
        <v>6.25</v>
      </c>
      <c r="AC206" s="1">
        <v>18.36</v>
      </c>
      <c r="AH206" s="1">
        <v>1.62</v>
      </c>
      <c r="AV206" s="1">
        <v>2.56</v>
      </c>
      <c r="AY206" s="1">
        <v>70.469399999999993</v>
      </c>
      <c r="BA206" s="1">
        <v>15</v>
      </c>
      <c r="BB206" s="1">
        <v>120.2</v>
      </c>
      <c r="BD206" s="1">
        <v>0.1027</v>
      </c>
      <c r="BF206" s="1">
        <v>6.0641999999999996</v>
      </c>
      <c r="BG206" s="1">
        <v>38.4</v>
      </c>
      <c r="BH206" s="1">
        <v>313.54730000000001</v>
      </c>
      <c r="BJ206" s="1">
        <v>47.950099999999999</v>
      </c>
      <c r="BK206" s="1">
        <v>0.4587</v>
      </c>
      <c r="BM206" s="1">
        <v>71.994399999999999</v>
      </c>
      <c r="BO206" s="1">
        <v>103.4</v>
      </c>
      <c r="BP206" s="1">
        <v>598.18730000000005</v>
      </c>
      <c r="BS206" s="1">
        <v>54.5</v>
      </c>
      <c r="BW206" s="1">
        <v>1.4187000000000001</v>
      </c>
      <c r="BX206" s="1">
        <v>2138</v>
      </c>
      <c r="BY206" s="1">
        <v>28</v>
      </c>
      <c r="CA206" s="1">
        <v>3.1</v>
      </c>
      <c r="CB206" s="1">
        <v>43.5</v>
      </c>
      <c r="CC206" s="1">
        <v>26.9</v>
      </c>
      <c r="CD206" s="1">
        <v>8</v>
      </c>
    </row>
    <row r="207" spans="1:153" x14ac:dyDescent="0.2">
      <c r="A207" s="1" t="s">
        <v>2278</v>
      </c>
      <c r="B207" s="1" t="s">
        <v>55</v>
      </c>
      <c r="C207" s="1" t="s">
        <v>2272</v>
      </c>
      <c r="E207" s="1">
        <v>31</v>
      </c>
      <c r="F207" s="1" t="s">
        <v>1804</v>
      </c>
      <c r="H207" s="1" t="s">
        <v>2273</v>
      </c>
      <c r="I207" s="1" t="s">
        <v>7</v>
      </c>
      <c r="J207" s="1" t="s">
        <v>1806</v>
      </c>
      <c r="K207" s="1" t="s">
        <v>1807</v>
      </c>
      <c r="L207" s="1" t="s">
        <v>1806</v>
      </c>
      <c r="M207" s="1" t="s">
        <v>2279</v>
      </c>
      <c r="O207" s="1">
        <v>1</v>
      </c>
      <c r="Q207" s="1">
        <v>2010</v>
      </c>
      <c r="R207" s="1" t="s">
        <v>2275</v>
      </c>
      <c r="S207" s="1" t="s">
        <v>27</v>
      </c>
      <c r="T207" s="38">
        <v>1</v>
      </c>
      <c r="Z207" s="1">
        <v>74.760000000000005</v>
      </c>
      <c r="AA207" s="1">
        <v>6.25</v>
      </c>
      <c r="AC207" s="1">
        <v>20.2</v>
      </c>
      <c r="AH207" s="1">
        <v>1.88</v>
      </c>
      <c r="AV207" s="1">
        <v>2.99</v>
      </c>
      <c r="AY207" s="1">
        <v>78.726299999999995</v>
      </c>
      <c r="BA207" s="1">
        <v>7.6</v>
      </c>
      <c r="BB207" s="1">
        <v>105.5</v>
      </c>
      <c r="BD207" s="1">
        <v>5.3900000000000003E-2</v>
      </c>
      <c r="BF207" s="1">
        <v>5.8136000000000001</v>
      </c>
      <c r="BG207" s="1">
        <v>37.9</v>
      </c>
      <c r="BH207" s="1">
        <v>383.78050000000002</v>
      </c>
      <c r="BJ207" s="1">
        <v>55.473999999999997</v>
      </c>
      <c r="BK207" s="1">
        <v>0.29609999999999997</v>
      </c>
      <c r="BM207" s="1">
        <v>128.91030000000001</v>
      </c>
      <c r="BO207" s="1">
        <v>51.3</v>
      </c>
      <c r="BP207" s="1">
        <v>599.67219999999998</v>
      </c>
      <c r="BS207" s="1">
        <v>30.7</v>
      </c>
      <c r="BW207" s="1">
        <v>1.4496</v>
      </c>
      <c r="BX207" s="1">
        <v>853.5</v>
      </c>
      <c r="BY207" s="1">
        <v>30</v>
      </c>
      <c r="CA207" s="1">
        <v>0.2</v>
      </c>
      <c r="CB207" s="1">
        <v>42</v>
      </c>
      <c r="CC207" s="1">
        <v>47.5</v>
      </c>
      <c r="CD207" s="1">
        <v>1.6</v>
      </c>
    </row>
    <row r="208" spans="1:153" x14ac:dyDescent="0.2">
      <c r="A208" s="1" t="s">
        <v>2280</v>
      </c>
      <c r="B208" s="1" t="s">
        <v>55</v>
      </c>
      <c r="C208" s="1" t="s">
        <v>2272</v>
      </c>
      <c r="E208" s="1">
        <v>31</v>
      </c>
      <c r="F208" s="1" t="s">
        <v>1804</v>
      </c>
      <c r="H208" s="1" t="s">
        <v>2273</v>
      </c>
      <c r="I208" s="1" t="s">
        <v>7</v>
      </c>
      <c r="J208" s="1" t="s">
        <v>1806</v>
      </c>
      <c r="K208" s="1" t="s">
        <v>1807</v>
      </c>
      <c r="L208" s="1" t="s">
        <v>1806</v>
      </c>
      <c r="M208" s="1" t="s">
        <v>2281</v>
      </c>
      <c r="O208" s="1">
        <v>1</v>
      </c>
      <c r="Q208" s="1">
        <v>2010</v>
      </c>
      <c r="R208" s="1" t="s">
        <v>2275</v>
      </c>
      <c r="S208" s="1" t="s">
        <v>27</v>
      </c>
      <c r="T208" s="38">
        <v>1</v>
      </c>
      <c r="Z208" s="1">
        <v>77.8</v>
      </c>
      <c r="AA208" s="1">
        <v>6.25</v>
      </c>
      <c r="AC208" s="1">
        <v>17.25</v>
      </c>
      <c r="AH208" s="1">
        <v>1.61</v>
      </c>
      <c r="AV208" s="1">
        <v>2.65</v>
      </c>
      <c r="AY208" s="1">
        <v>44.205199999999998</v>
      </c>
      <c r="BA208" s="1">
        <v>33.6</v>
      </c>
      <c r="BB208" s="1">
        <v>160.4</v>
      </c>
      <c r="BD208" s="1">
        <v>0.156</v>
      </c>
      <c r="BF208" s="1">
        <v>15.236000000000001</v>
      </c>
      <c r="BG208" s="1">
        <v>69.3</v>
      </c>
      <c r="BH208" s="1">
        <v>425.66660000000002</v>
      </c>
      <c r="BJ208" s="1">
        <v>48.830300000000001</v>
      </c>
      <c r="BK208" s="1">
        <v>0.14749999999999999</v>
      </c>
      <c r="BM208" s="1">
        <v>107.3629</v>
      </c>
      <c r="BO208" s="1">
        <v>94.8</v>
      </c>
      <c r="BP208" s="1">
        <v>458.43920000000003</v>
      </c>
      <c r="BS208" s="1">
        <v>37.1</v>
      </c>
      <c r="BW208" s="1">
        <v>3.5634999999999999</v>
      </c>
      <c r="BX208" s="1">
        <v>3870.7</v>
      </c>
      <c r="BY208" s="1">
        <v>35.299999999999997</v>
      </c>
      <c r="CA208" s="1">
        <v>1.5</v>
      </c>
      <c r="CB208" s="1">
        <v>103.8</v>
      </c>
      <c r="CC208" s="1">
        <v>53.1</v>
      </c>
      <c r="CD208" s="1">
        <v>4.5</v>
      </c>
    </row>
    <row r="209" spans="1:148" x14ac:dyDescent="0.2">
      <c r="A209" s="1" t="s">
        <v>2282</v>
      </c>
      <c r="B209" s="1" t="s">
        <v>55</v>
      </c>
      <c r="C209" s="1" t="s">
        <v>2272</v>
      </c>
      <c r="E209" s="1">
        <v>33</v>
      </c>
      <c r="F209" s="1" t="s">
        <v>2283</v>
      </c>
      <c r="H209" s="1" t="s">
        <v>2284</v>
      </c>
      <c r="I209" s="1" t="s">
        <v>7</v>
      </c>
      <c r="J209" s="1" t="s">
        <v>2285</v>
      </c>
      <c r="K209" s="1" t="s">
        <v>2286</v>
      </c>
      <c r="L209" s="1" t="s">
        <v>2285</v>
      </c>
      <c r="M209" s="1" t="s">
        <v>2274</v>
      </c>
      <c r="O209" s="1">
        <v>1</v>
      </c>
      <c r="Q209" s="1">
        <v>2010</v>
      </c>
      <c r="R209" s="1" t="s">
        <v>2275</v>
      </c>
      <c r="S209" s="1" t="s">
        <v>27</v>
      </c>
      <c r="T209" s="38">
        <v>1</v>
      </c>
      <c r="Z209" s="1">
        <v>64.91</v>
      </c>
      <c r="AA209" s="1">
        <v>6.25</v>
      </c>
      <c r="AC209" s="1">
        <v>15.16</v>
      </c>
      <c r="AH209" s="1">
        <v>17.37</v>
      </c>
      <c r="AV209" s="1">
        <v>1.78</v>
      </c>
      <c r="AY209" s="1">
        <v>51.882199999999997</v>
      </c>
      <c r="BA209" s="1">
        <v>22.2</v>
      </c>
      <c r="BB209" s="1">
        <v>255.4</v>
      </c>
      <c r="BD209" s="1">
        <v>0.1278</v>
      </c>
      <c r="BF209" s="1">
        <v>9.4846000000000004</v>
      </c>
      <c r="BG209" s="1">
        <v>29.7</v>
      </c>
      <c r="BH209" s="1">
        <v>368.90960000000001</v>
      </c>
      <c r="BJ209" s="1">
        <v>48.555999999999997</v>
      </c>
      <c r="BK209" s="1">
        <v>0.15909999999999999</v>
      </c>
      <c r="BM209" s="1">
        <v>80.163499999999999</v>
      </c>
      <c r="BO209" s="1">
        <v>92.1</v>
      </c>
      <c r="BP209" s="1">
        <v>445.14229999999998</v>
      </c>
      <c r="BS209" s="1">
        <v>40.6</v>
      </c>
      <c r="BW209" s="1">
        <v>1.4933000000000001</v>
      </c>
      <c r="BX209" s="1">
        <v>2435.6999999999998</v>
      </c>
      <c r="BY209" s="1">
        <v>96.6</v>
      </c>
      <c r="CA209" s="1">
        <v>8.6</v>
      </c>
      <c r="CB209" s="1">
        <v>32.9</v>
      </c>
      <c r="CC209" s="1">
        <v>22.9</v>
      </c>
      <c r="CD209" s="1">
        <v>2</v>
      </c>
    </row>
    <row r="210" spans="1:148" x14ac:dyDescent="0.2">
      <c r="A210" s="1" t="s">
        <v>2287</v>
      </c>
      <c r="B210" s="1" t="s">
        <v>55</v>
      </c>
      <c r="C210" s="1" t="s">
        <v>2272</v>
      </c>
      <c r="E210" s="1">
        <v>33</v>
      </c>
      <c r="F210" s="1" t="s">
        <v>2283</v>
      </c>
      <c r="H210" s="1" t="s">
        <v>2284</v>
      </c>
      <c r="I210" s="1" t="s">
        <v>7</v>
      </c>
      <c r="J210" s="1" t="s">
        <v>2285</v>
      </c>
      <c r="K210" s="1" t="s">
        <v>2286</v>
      </c>
      <c r="L210" s="1" t="s">
        <v>2285</v>
      </c>
      <c r="M210" s="1" t="s">
        <v>2277</v>
      </c>
      <c r="O210" s="1">
        <v>1</v>
      </c>
      <c r="Q210" s="1">
        <v>2010</v>
      </c>
      <c r="R210" s="1" t="s">
        <v>2275</v>
      </c>
      <c r="S210" s="1" t="s">
        <v>27</v>
      </c>
      <c r="T210" s="38">
        <v>1</v>
      </c>
      <c r="Z210" s="1">
        <v>70.88</v>
      </c>
      <c r="AA210" s="1">
        <v>6.25</v>
      </c>
      <c r="AC210" s="1">
        <v>17.45</v>
      </c>
      <c r="AH210" s="1">
        <v>9.7100000000000009</v>
      </c>
      <c r="AV210" s="1">
        <v>1.77</v>
      </c>
      <c r="AY210" s="1">
        <v>62.513500000000001</v>
      </c>
      <c r="BA210" s="1">
        <v>11.4</v>
      </c>
      <c r="BB210" s="1">
        <v>179.7</v>
      </c>
      <c r="BD210" s="1">
        <v>9.35E-2</v>
      </c>
      <c r="BF210" s="1">
        <v>5.8733000000000004</v>
      </c>
      <c r="BG210" s="1">
        <v>22.3</v>
      </c>
      <c r="BH210" s="1">
        <v>396.3963</v>
      </c>
      <c r="BJ210" s="1">
        <v>39.9467</v>
      </c>
      <c r="BK210" s="1">
        <v>0.155</v>
      </c>
      <c r="BM210" s="1">
        <v>88.529300000000006</v>
      </c>
      <c r="BO210" s="1">
        <v>51.7</v>
      </c>
      <c r="BP210" s="1">
        <v>416.93759999999997</v>
      </c>
      <c r="BS210" s="1">
        <v>40.299999999999997</v>
      </c>
      <c r="BW210" s="1">
        <v>1.1738999999999999</v>
      </c>
      <c r="BX210" s="1">
        <v>916.8</v>
      </c>
      <c r="BY210" s="1">
        <v>45.1</v>
      </c>
      <c r="CA210" s="1">
        <v>9.4</v>
      </c>
      <c r="CB210" s="1">
        <v>36.1</v>
      </c>
      <c r="CC210" s="1">
        <v>5.8</v>
      </c>
      <c r="CD210" s="1">
        <v>5.6</v>
      </c>
    </row>
    <row r="211" spans="1:148" x14ac:dyDescent="0.2">
      <c r="A211" s="1" t="s">
        <v>2288</v>
      </c>
      <c r="B211" s="1" t="s">
        <v>55</v>
      </c>
      <c r="C211" s="1" t="s">
        <v>2272</v>
      </c>
      <c r="E211" s="1">
        <v>33</v>
      </c>
      <c r="F211" s="1" t="s">
        <v>2283</v>
      </c>
      <c r="H211" s="1" t="s">
        <v>2284</v>
      </c>
      <c r="I211" s="1" t="s">
        <v>7</v>
      </c>
      <c r="J211" s="1" t="s">
        <v>2285</v>
      </c>
      <c r="K211" s="1" t="s">
        <v>2286</v>
      </c>
      <c r="L211" s="1" t="s">
        <v>2285</v>
      </c>
      <c r="M211" s="1" t="s">
        <v>2279</v>
      </c>
      <c r="O211" s="1">
        <v>1</v>
      </c>
      <c r="Q211" s="1">
        <v>2010</v>
      </c>
      <c r="R211" s="1" t="s">
        <v>2275</v>
      </c>
      <c r="S211" s="1" t="s">
        <v>27</v>
      </c>
      <c r="T211" s="38">
        <v>1</v>
      </c>
      <c r="Z211" s="1">
        <v>76.25</v>
      </c>
      <c r="AA211" s="1">
        <v>6.25</v>
      </c>
      <c r="AC211" s="1">
        <v>18.89</v>
      </c>
      <c r="AH211" s="1">
        <v>2.06</v>
      </c>
      <c r="AV211" s="1">
        <v>2.06</v>
      </c>
      <c r="AY211" s="1">
        <v>52.902200000000001</v>
      </c>
      <c r="BA211" s="1">
        <v>3.3</v>
      </c>
      <c r="BB211" s="1">
        <v>59.2</v>
      </c>
      <c r="BD211" s="1">
        <v>5.6800000000000003E-2</v>
      </c>
      <c r="BF211" s="1">
        <v>1.8889</v>
      </c>
      <c r="BG211" s="1">
        <v>36.799999999999997</v>
      </c>
      <c r="BH211" s="1">
        <v>487.0514</v>
      </c>
      <c r="BJ211" s="1">
        <v>53.868299999999998</v>
      </c>
      <c r="BK211" s="1">
        <v>6.2E-2</v>
      </c>
      <c r="BM211" s="1">
        <v>94.079400000000007</v>
      </c>
      <c r="BO211" s="1">
        <v>20.3</v>
      </c>
      <c r="BP211" s="1">
        <v>528.3569</v>
      </c>
      <c r="BS211" s="1">
        <v>23</v>
      </c>
      <c r="BW211" s="1">
        <v>1.1904999999999999</v>
      </c>
      <c r="BX211" s="1">
        <v>2831.7</v>
      </c>
      <c r="BY211" s="1">
        <v>17.399999999999999</v>
      </c>
      <c r="CA211" s="1">
        <v>0.5</v>
      </c>
      <c r="CB211" s="1">
        <v>66.2</v>
      </c>
      <c r="CC211" s="1">
        <v>6.5</v>
      </c>
      <c r="CD211" s="1">
        <v>0.8</v>
      </c>
    </row>
    <row r="212" spans="1:148" x14ac:dyDescent="0.2">
      <c r="A212" s="1" t="s">
        <v>2289</v>
      </c>
      <c r="B212" s="1" t="s">
        <v>55</v>
      </c>
      <c r="C212" s="1" t="s">
        <v>2272</v>
      </c>
      <c r="E212" s="1">
        <v>33</v>
      </c>
      <c r="F212" s="1" t="s">
        <v>2283</v>
      </c>
      <c r="H212" s="1" t="s">
        <v>2284</v>
      </c>
      <c r="I212" s="1" t="s">
        <v>7</v>
      </c>
      <c r="J212" s="1" t="s">
        <v>2285</v>
      </c>
      <c r="K212" s="1" t="s">
        <v>2286</v>
      </c>
      <c r="L212" s="1" t="s">
        <v>2285</v>
      </c>
      <c r="M212" s="1" t="s">
        <v>2281</v>
      </c>
      <c r="O212" s="1">
        <v>1</v>
      </c>
      <c r="Q212" s="1">
        <v>2010</v>
      </c>
      <c r="R212" s="1" t="s">
        <v>2275</v>
      </c>
      <c r="S212" s="1" t="s">
        <v>27</v>
      </c>
      <c r="T212" s="38">
        <v>1</v>
      </c>
      <c r="Z212" s="1">
        <v>67.02</v>
      </c>
      <c r="AA212" s="1">
        <v>6.25</v>
      </c>
      <c r="AC212" s="1">
        <v>16.61</v>
      </c>
      <c r="AH212" s="1">
        <v>12.28</v>
      </c>
      <c r="AV212" s="1">
        <v>2.5099999999999998</v>
      </c>
      <c r="AY212" s="1">
        <v>60.449599999999997</v>
      </c>
      <c r="BA212" s="1">
        <v>30.7</v>
      </c>
      <c r="BB212" s="1">
        <v>239.3</v>
      </c>
      <c r="BD212" s="1">
        <v>0.1041</v>
      </c>
      <c r="BF212" s="1">
        <v>12.5783</v>
      </c>
      <c r="BG212" s="1">
        <v>55.1</v>
      </c>
      <c r="BH212" s="1">
        <v>408.45580000000001</v>
      </c>
      <c r="BJ212" s="1">
        <v>44.493899999999996</v>
      </c>
      <c r="BK212" s="1">
        <v>0.14630000000000001</v>
      </c>
      <c r="BM212" s="1">
        <v>95.602500000000006</v>
      </c>
      <c r="BO212" s="1">
        <v>63.4</v>
      </c>
      <c r="BP212" s="1">
        <v>576.03989999999999</v>
      </c>
      <c r="BS212" s="1">
        <v>22</v>
      </c>
      <c r="BW212" s="1">
        <v>3.0926999999999998</v>
      </c>
      <c r="BX212" s="1">
        <v>2633.6</v>
      </c>
      <c r="BY212" s="1">
        <v>16.399999999999999</v>
      </c>
      <c r="CA212" s="1">
        <v>1.5</v>
      </c>
      <c r="CB212" s="1">
        <v>38.5</v>
      </c>
      <c r="CC212" s="1">
        <v>26.5</v>
      </c>
      <c r="CD212" s="1">
        <v>3.7</v>
      </c>
    </row>
    <row r="213" spans="1:148" x14ac:dyDescent="0.2">
      <c r="A213" s="1" t="s">
        <v>2290</v>
      </c>
      <c r="B213" s="1" t="s">
        <v>55</v>
      </c>
      <c r="C213" s="1" t="s">
        <v>2272</v>
      </c>
      <c r="E213" s="1">
        <v>32</v>
      </c>
      <c r="F213" s="1" t="s">
        <v>1595</v>
      </c>
      <c r="H213" s="1" t="s">
        <v>2291</v>
      </c>
      <c r="I213" s="1" t="s">
        <v>7</v>
      </c>
      <c r="J213" s="1" t="s">
        <v>1597</v>
      </c>
      <c r="K213" s="1" t="s">
        <v>1598</v>
      </c>
      <c r="L213" s="1" t="s">
        <v>1597</v>
      </c>
      <c r="M213" s="1" t="s">
        <v>2274</v>
      </c>
      <c r="O213" s="1">
        <v>1</v>
      </c>
      <c r="Q213" s="1">
        <v>2010</v>
      </c>
      <c r="R213" s="1" t="s">
        <v>2275</v>
      </c>
      <c r="S213" s="1" t="s">
        <v>27</v>
      </c>
      <c r="T213" s="38">
        <v>1</v>
      </c>
      <c r="Z213" s="1">
        <v>82.93</v>
      </c>
      <c r="AA213" s="1">
        <v>6.25</v>
      </c>
      <c r="AC213" s="1">
        <v>13.43</v>
      </c>
      <c r="AH213" s="1">
        <v>1.34</v>
      </c>
      <c r="AV213" s="1">
        <v>1.53</v>
      </c>
      <c r="AY213" s="1">
        <v>73.571299999999994</v>
      </c>
      <c r="BA213" s="1">
        <v>9.1999999999999993</v>
      </c>
      <c r="BB213" s="1">
        <v>132.9</v>
      </c>
      <c r="BD213" s="1">
        <v>0.2248</v>
      </c>
      <c r="BF213" s="1">
        <v>7.6566999999999998</v>
      </c>
      <c r="BG213" s="1">
        <v>41.8</v>
      </c>
      <c r="BH213" s="1">
        <v>444.27670000000001</v>
      </c>
      <c r="BJ213" s="1">
        <v>48.871200000000002</v>
      </c>
      <c r="BK213" s="1">
        <v>0.14219999999999999</v>
      </c>
      <c r="BM213" s="1">
        <v>133.4485</v>
      </c>
      <c r="BO213" s="1">
        <v>112.3</v>
      </c>
      <c r="BP213" s="1">
        <v>296.11680000000001</v>
      </c>
      <c r="BS213" s="1">
        <v>47.8</v>
      </c>
      <c r="BW213" s="1">
        <v>1.2857000000000001</v>
      </c>
      <c r="BX213" s="1">
        <v>1186.0999999999999</v>
      </c>
      <c r="BY213" s="1">
        <v>33.5</v>
      </c>
      <c r="CA213" s="1">
        <v>5.4</v>
      </c>
      <c r="CB213" s="1">
        <v>14.6</v>
      </c>
      <c r="CC213" s="1">
        <v>60.1</v>
      </c>
      <c r="CD213" s="1">
        <v>3.8</v>
      </c>
    </row>
    <row r="214" spans="1:148" x14ac:dyDescent="0.2">
      <c r="A214" s="1" t="s">
        <v>2292</v>
      </c>
      <c r="B214" s="1" t="s">
        <v>55</v>
      </c>
      <c r="C214" s="1" t="s">
        <v>2272</v>
      </c>
      <c r="E214" s="1">
        <v>32</v>
      </c>
      <c r="F214" s="1" t="s">
        <v>1595</v>
      </c>
      <c r="H214" s="1" t="s">
        <v>2291</v>
      </c>
      <c r="I214" s="1" t="s">
        <v>7</v>
      </c>
      <c r="J214" s="1" t="s">
        <v>1597</v>
      </c>
      <c r="K214" s="1" t="s">
        <v>1598</v>
      </c>
      <c r="L214" s="1" t="s">
        <v>1597</v>
      </c>
      <c r="M214" s="1" t="s">
        <v>2277</v>
      </c>
      <c r="O214" s="1">
        <v>1</v>
      </c>
      <c r="Q214" s="1">
        <v>2010</v>
      </c>
      <c r="R214" s="1" t="s">
        <v>2275</v>
      </c>
      <c r="S214" s="1" t="s">
        <v>27</v>
      </c>
      <c r="T214" s="38">
        <v>1</v>
      </c>
      <c r="Z214" s="1">
        <v>82.02</v>
      </c>
      <c r="AA214" s="1">
        <v>6.25</v>
      </c>
      <c r="AC214" s="1">
        <v>15.05</v>
      </c>
      <c r="AH214" s="1">
        <v>1.22</v>
      </c>
      <c r="AV214" s="1">
        <v>1.62</v>
      </c>
      <c r="AY214" s="1">
        <v>46.730499999999999</v>
      </c>
      <c r="BA214" s="1">
        <v>5.2</v>
      </c>
      <c r="BB214" s="1">
        <v>139.80000000000001</v>
      </c>
      <c r="BD214" s="1">
        <v>6.8099999999999994E-2</v>
      </c>
      <c r="BF214" s="1">
        <v>3.2061000000000002</v>
      </c>
      <c r="BG214" s="1">
        <v>93.5</v>
      </c>
      <c r="BH214" s="1">
        <v>409.07060000000001</v>
      </c>
      <c r="BJ214" s="1">
        <v>41.052199999999999</v>
      </c>
      <c r="BK214" s="1">
        <v>5.2499999999999998E-2</v>
      </c>
      <c r="BM214" s="1">
        <v>76.262900000000002</v>
      </c>
      <c r="BO214" s="1">
        <v>34.200000000000003</v>
      </c>
      <c r="BP214" s="1">
        <v>269.25729999999999</v>
      </c>
      <c r="BS214" s="1">
        <v>37.9</v>
      </c>
      <c r="BW214" s="1">
        <v>1.115</v>
      </c>
      <c r="BX214" s="1">
        <v>480.2</v>
      </c>
      <c r="BY214" s="1">
        <v>31.2</v>
      </c>
      <c r="CA214" s="1">
        <v>3.8</v>
      </c>
      <c r="CB214" s="1">
        <v>34</v>
      </c>
      <c r="CC214" s="1">
        <v>19.100000000000001</v>
      </c>
      <c r="CD214" s="1">
        <v>3.2</v>
      </c>
    </row>
    <row r="215" spans="1:148" x14ac:dyDescent="0.2">
      <c r="A215" s="1" t="s">
        <v>2293</v>
      </c>
      <c r="B215" s="1" t="s">
        <v>55</v>
      </c>
      <c r="C215" s="1" t="s">
        <v>2272</v>
      </c>
      <c r="E215" s="1">
        <v>32</v>
      </c>
      <c r="F215" s="1" t="s">
        <v>1595</v>
      </c>
      <c r="H215" s="1" t="s">
        <v>2291</v>
      </c>
      <c r="I215" s="1" t="s">
        <v>7</v>
      </c>
      <c r="J215" s="1" t="s">
        <v>1597</v>
      </c>
      <c r="K215" s="1" t="s">
        <v>1598</v>
      </c>
      <c r="L215" s="1" t="s">
        <v>1597</v>
      </c>
      <c r="M215" s="1" t="s">
        <v>2279</v>
      </c>
      <c r="O215" s="1">
        <v>1</v>
      </c>
      <c r="Q215" s="1">
        <v>2010</v>
      </c>
      <c r="R215" s="1" t="s">
        <v>2275</v>
      </c>
      <c r="S215" s="1" t="s">
        <v>27</v>
      </c>
      <c r="T215" s="38">
        <v>1</v>
      </c>
      <c r="Z215" s="1">
        <v>79.5</v>
      </c>
      <c r="AA215" s="1">
        <v>6.25</v>
      </c>
      <c r="AC215" s="1">
        <v>17.239999999999998</v>
      </c>
      <c r="AH215" s="1">
        <v>1.48</v>
      </c>
      <c r="AV215" s="1">
        <v>1.69</v>
      </c>
      <c r="AY215" s="1">
        <v>58.831000000000003</v>
      </c>
      <c r="BA215" s="1">
        <v>3.9</v>
      </c>
      <c r="BB215" s="1">
        <v>1</v>
      </c>
      <c r="BD215" s="1">
        <v>6.5100000000000005E-2</v>
      </c>
      <c r="BF215" s="1">
        <v>2.2046000000000001</v>
      </c>
      <c r="BG215" s="1">
        <v>75.900000000000006</v>
      </c>
      <c r="BH215" s="1">
        <v>409.3023</v>
      </c>
      <c r="BJ215" s="1">
        <v>49.073300000000003</v>
      </c>
      <c r="BK215" s="1">
        <v>4.7399999999999998E-2</v>
      </c>
      <c r="BM215" s="1">
        <v>117.2914</v>
      </c>
      <c r="BO215" s="1">
        <v>98.7</v>
      </c>
      <c r="BP215" s="1">
        <v>326.82170000000002</v>
      </c>
      <c r="BS215" s="1">
        <v>46.8</v>
      </c>
      <c r="BW215" s="1">
        <v>1.5099</v>
      </c>
      <c r="BX215" s="1">
        <v>696.8</v>
      </c>
      <c r="BY215" s="1">
        <v>22.8</v>
      </c>
      <c r="CA215" s="1">
        <v>2.1</v>
      </c>
      <c r="CB215" s="1">
        <v>29.2</v>
      </c>
      <c r="CC215" s="1">
        <v>11.1</v>
      </c>
      <c r="CD215" s="1">
        <v>25.4</v>
      </c>
    </row>
    <row r="216" spans="1:148" x14ac:dyDescent="0.2">
      <c r="A216" s="1" t="s">
        <v>2294</v>
      </c>
      <c r="B216" s="1" t="s">
        <v>55</v>
      </c>
      <c r="C216" s="1" t="s">
        <v>2272</v>
      </c>
      <c r="E216" s="1">
        <v>32</v>
      </c>
      <c r="F216" s="1" t="s">
        <v>1595</v>
      </c>
      <c r="H216" s="1" t="s">
        <v>2291</v>
      </c>
      <c r="I216" s="1" t="s">
        <v>7</v>
      </c>
      <c r="J216" s="1" t="s">
        <v>1597</v>
      </c>
      <c r="K216" s="1" t="s">
        <v>1598</v>
      </c>
      <c r="L216" s="1" t="s">
        <v>1597</v>
      </c>
      <c r="M216" s="1" t="s">
        <v>2281</v>
      </c>
      <c r="O216" s="1">
        <v>1</v>
      </c>
      <c r="Q216" s="1">
        <v>2010</v>
      </c>
      <c r="R216" s="1" t="s">
        <v>2275</v>
      </c>
      <c r="S216" s="1" t="s">
        <v>27</v>
      </c>
      <c r="T216" s="38">
        <v>1</v>
      </c>
      <c r="Z216" s="1">
        <v>78.790000000000006</v>
      </c>
      <c r="AA216" s="1">
        <v>6.25</v>
      </c>
      <c r="AC216" s="1">
        <v>16.239999999999998</v>
      </c>
      <c r="AH216" s="1">
        <v>2.37</v>
      </c>
      <c r="AV216" s="1">
        <v>1.76</v>
      </c>
      <c r="AY216" s="1">
        <v>57.393999999999998</v>
      </c>
      <c r="BA216" s="1">
        <v>23</v>
      </c>
      <c r="BB216" s="1">
        <v>1.1000000000000001</v>
      </c>
      <c r="BD216" s="1">
        <v>5.3100000000000001E-2</v>
      </c>
      <c r="BF216" s="1">
        <v>7.8312999999999997</v>
      </c>
      <c r="BG216" s="1">
        <v>114</v>
      </c>
      <c r="BH216" s="1">
        <v>338.43259999999998</v>
      </c>
      <c r="BJ216" s="1">
        <v>32.475000000000001</v>
      </c>
      <c r="BK216" s="1">
        <v>5.4899999999999997E-2</v>
      </c>
      <c r="BM216" s="1">
        <v>132.87180000000001</v>
      </c>
      <c r="BO216" s="1">
        <v>115.3</v>
      </c>
      <c r="BP216" s="1">
        <v>299.76909999999998</v>
      </c>
      <c r="BS216" s="1">
        <v>33.1</v>
      </c>
      <c r="BW216" s="1">
        <v>1.4984</v>
      </c>
      <c r="BX216" s="1">
        <v>1867.7</v>
      </c>
      <c r="BY216" s="1">
        <v>29.8</v>
      </c>
      <c r="CA216" s="1">
        <v>0.4</v>
      </c>
      <c r="CB216" s="1">
        <v>33.4</v>
      </c>
      <c r="CC216" s="1">
        <v>15.5</v>
      </c>
      <c r="CD216" s="1">
        <v>32.200000000000003</v>
      </c>
    </row>
    <row r="217" spans="1:148" x14ac:dyDescent="0.2">
      <c r="A217" s="1" t="s">
        <v>2295</v>
      </c>
      <c r="B217" s="1" t="s">
        <v>55</v>
      </c>
      <c r="C217" s="1" t="s">
        <v>2296</v>
      </c>
      <c r="D217" s="1" t="s">
        <v>2</v>
      </c>
      <c r="E217" s="1">
        <v>21</v>
      </c>
      <c r="F217" s="1" t="s">
        <v>2297</v>
      </c>
      <c r="H217" s="1" t="s">
        <v>2298</v>
      </c>
      <c r="I217" s="1" t="s">
        <v>7</v>
      </c>
      <c r="J217" s="1" t="s">
        <v>2299</v>
      </c>
      <c r="K217" s="1" t="s">
        <v>2300</v>
      </c>
      <c r="L217" s="1" t="s">
        <v>2299</v>
      </c>
      <c r="N217" s="1" t="s">
        <v>2301</v>
      </c>
      <c r="P217" s="1" t="s">
        <v>2302</v>
      </c>
      <c r="Q217" s="1">
        <v>2009</v>
      </c>
      <c r="R217" s="1" t="s">
        <v>2303</v>
      </c>
      <c r="S217" s="1" t="s">
        <v>27</v>
      </c>
      <c r="T217" s="38">
        <v>1</v>
      </c>
      <c r="Z217" s="1">
        <v>72.5</v>
      </c>
      <c r="AA217" s="1">
        <v>6.25</v>
      </c>
      <c r="AC217" s="1">
        <v>19.002500000000001</v>
      </c>
      <c r="AI217" s="1">
        <v>7.1775000000000002</v>
      </c>
      <c r="AK217" s="1">
        <v>2.1037080074999999</v>
      </c>
      <c r="AL217" s="1">
        <v>1.9988502875</v>
      </c>
      <c r="AM217" s="1">
        <v>1.67772352</v>
      </c>
      <c r="AN217" s="1">
        <v>0.77332568499999998</v>
      </c>
      <c r="AV217" s="1">
        <v>1.2210000000000001</v>
      </c>
      <c r="DQ217" s="1">
        <v>467.4615</v>
      </c>
      <c r="DR217" s="1">
        <v>6916.91</v>
      </c>
      <c r="DS217" s="1">
        <v>16171.127500000001</v>
      </c>
      <c r="DU217" s="1">
        <v>1048.9380000000001</v>
      </c>
      <c r="DV217" s="1">
        <v>1010.933</v>
      </c>
      <c r="DX217" s="1">
        <v>1833.74125</v>
      </c>
      <c r="EA217" s="1">
        <v>2736.36</v>
      </c>
      <c r="EB217" s="1">
        <v>851.31200000000001</v>
      </c>
      <c r="EC217" s="1">
        <v>480.76325000000003</v>
      </c>
      <c r="EF217" s="1">
        <v>885.51649999999995</v>
      </c>
      <c r="EG217" s="1">
        <v>1311.1724999999999</v>
      </c>
      <c r="EH217" s="1">
        <v>1508.7985000000001</v>
      </c>
      <c r="EK217" s="1">
        <v>809.50649999999996</v>
      </c>
      <c r="EL217" s="1">
        <v>611.88049999999998</v>
      </c>
      <c r="EM217" s="1">
        <v>672.68849999999998</v>
      </c>
      <c r="EO217" s="1">
        <v>741.09749999999997</v>
      </c>
      <c r="EQ217" s="1">
        <v>395.25200000000001</v>
      </c>
      <c r="ER217" s="1">
        <v>801.90549999999996</v>
      </c>
    </row>
    <row r="218" spans="1:148" x14ac:dyDescent="0.2">
      <c r="A218" s="1" t="s">
        <v>2304</v>
      </c>
      <c r="B218" s="1" t="s">
        <v>55</v>
      </c>
      <c r="C218" s="1" t="s">
        <v>2296</v>
      </c>
      <c r="D218" s="1" t="s">
        <v>2</v>
      </c>
      <c r="E218" s="1">
        <v>21</v>
      </c>
      <c r="F218" s="1" t="s">
        <v>2297</v>
      </c>
      <c r="H218" s="1" t="s">
        <v>2305</v>
      </c>
      <c r="I218" s="1" t="s">
        <v>7</v>
      </c>
      <c r="J218" s="1" t="s">
        <v>2299</v>
      </c>
      <c r="K218" s="1" t="s">
        <v>2300</v>
      </c>
      <c r="L218" s="1" t="s">
        <v>2299</v>
      </c>
      <c r="N218" s="1" t="s">
        <v>2306</v>
      </c>
      <c r="P218" s="1" t="s">
        <v>2302</v>
      </c>
      <c r="Q218" s="1">
        <v>2009</v>
      </c>
      <c r="R218" s="1" t="s">
        <v>2303</v>
      </c>
      <c r="S218" s="1" t="s">
        <v>27</v>
      </c>
      <c r="T218" s="38">
        <v>1</v>
      </c>
      <c r="Z218" s="1">
        <v>69.599999999999994</v>
      </c>
      <c r="AA218" s="1">
        <v>6.25</v>
      </c>
      <c r="AC218" s="1">
        <v>19.395199999999999</v>
      </c>
      <c r="AI218" s="1">
        <v>9.6671999999999993</v>
      </c>
      <c r="AK218" s="1">
        <v>2.8049732415999999</v>
      </c>
      <c r="AL218" s="1">
        <v>2.6185667920000002</v>
      </c>
      <c r="AM218" s="1">
        <v>2.4854193279999999</v>
      </c>
      <c r="AN218" s="1">
        <v>0.94978524320000002</v>
      </c>
      <c r="AV218" s="1">
        <v>1.3193600000000001</v>
      </c>
      <c r="DQ218" s="1">
        <v>451.90816000000001</v>
      </c>
      <c r="DR218" s="1">
        <v>6962.8768</v>
      </c>
      <c r="DS218" s="1">
        <v>16408.339199999999</v>
      </c>
      <c r="DU218" s="1">
        <v>1008.5504</v>
      </c>
      <c r="DV218" s="1">
        <v>1082.25216</v>
      </c>
      <c r="DX218" s="1">
        <v>1811.5116800000001</v>
      </c>
      <c r="EA218" s="1">
        <v>2851.0944</v>
      </c>
      <c r="EB218" s="1">
        <v>903.81632000000002</v>
      </c>
      <c r="EC218" s="1">
        <v>496.51711999999998</v>
      </c>
      <c r="EF218" s="1">
        <v>913.51391999999998</v>
      </c>
      <c r="EG218" s="1">
        <v>1384.81728</v>
      </c>
      <c r="EH218" s="1">
        <v>1501.18848</v>
      </c>
      <c r="EK218" s="1">
        <v>785.50559999999996</v>
      </c>
      <c r="EL218" s="1">
        <v>566.33983999999998</v>
      </c>
      <c r="EM218" s="1">
        <v>715.68287999999995</v>
      </c>
      <c r="EO218" s="1">
        <v>783.56608000000006</v>
      </c>
      <c r="EQ218" s="1">
        <v>360.75072</v>
      </c>
      <c r="ER218" s="1">
        <v>789.38463999999999</v>
      </c>
    </row>
    <row r="219" spans="1:148" x14ac:dyDescent="0.2">
      <c r="A219" s="1" t="s">
        <v>2307</v>
      </c>
      <c r="B219" s="1" t="s">
        <v>55</v>
      </c>
      <c r="C219" s="1" t="s">
        <v>2296</v>
      </c>
      <c r="D219" s="1" t="s">
        <v>2</v>
      </c>
      <c r="E219" s="1">
        <v>21</v>
      </c>
      <c r="F219" s="1" t="s">
        <v>2297</v>
      </c>
      <c r="H219" s="1" t="s">
        <v>2308</v>
      </c>
      <c r="I219" s="1" t="s">
        <v>7</v>
      </c>
      <c r="J219" s="1" t="s">
        <v>2299</v>
      </c>
      <c r="K219" s="1" t="s">
        <v>2300</v>
      </c>
      <c r="L219" s="1" t="s">
        <v>2299</v>
      </c>
      <c r="N219" s="1" t="s">
        <v>2309</v>
      </c>
      <c r="P219" s="1" t="s">
        <v>2302</v>
      </c>
      <c r="Q219" s="1">
        <v>2009</v>
      </c>
      <c r="R219" s="1" t="s">
        <v>2303</v>
      </c>
      <c r="S219" s="1" t="s">
        <v>27</v>
      </c>
      <c r="T219" s="38">
        <v>1</v>
      </c>
      <c r="Z219" s="1">
        <v>69.2</v>
      </c>
      <c r="AA219" s="1">
        <v>6.25</v>
      </c>
      <c r="AC219" s="1">
        <v>19.311599999999999</v>
      </c>
      <c r="AI219" s="1">
        <v>10.194800000000001</v>
      </c>
      <c r="AK219" s="1">
        <v>3.1010557204000002</v>
      </c>
      <c r="AL219" s="1">
        <v>2.4920870744000001</v>
      </c>
      <c r="AM219" s="1">
        <v>2.8480995135999998</v>
      </c>
      <c r="AN219" s="1">
        <v>0.92937984127999995</v>
      </c>
      <c r="AV219" s="1">
        <v>1.2689600000000001</v>
      </c>
      <c r="DQ219" s="1">
        <v>392.02548000000002</v>
      </c>
      <c r="DR219" s="1">
        <v>6855.6180000000004</v>
      </c>
      <c r="DS219" s="1">
        <v>16318.302</v>
      </c>
      <c r="DU219" s="1">
        <v>1069.8626400000001</v>
      </c>
      <c r="DV219" s="1">
        <v>1102.69236</v>
      </c>
      <c r="DX219" s="1">
        <v>1915.71072</v>
      </c>
      <c r="EA219" s="1">
        <v>2780.8703999999998</v>
      </c>
      <c r="EB219" s="1">
        <v>882.54012</v>
      </c>
      <c r="EC219" s="1">
        <v>494.37696</v>
      </c>
      <c r="EF219" s="1">
        <v>880.60896000000002</v>
      </c>
      <c r="EG219" s="1">
        <v>1359.53664</v>
      </c>
      <c r="EH219" s="1">
        <v>1573.8954000000001</v>
      </c>
      <c r="EK219" s="1">
        <v>585.14148</v>
      </c>
      <c r="EL219" s="1">
        <v>533.00016000000005</v>
      </c>
      <c r="EM219" s="1">
        <v>701.01107999999999</v>
      </c>
      <c r="EO219" s="1">
        <v>801.43140000000005</v>
      </c>
      <c r="EQ219" s="1">
        <v>403.61243999999999</v>
      </c>
      <c r="ER219" s="1">
        <v>867.09083999999996</v>
      </c>
    </row>
    <row r="220" spans="1:148" x14ac:dyDescent="0.2">
      <c r="A220" s="1" t="s">
        <v>2310</v>
      </c>
      <c r="B220" s="1" t="s">
        <v>55</v>
      </c>
      <c r="C220" s="1" t="s">
        <v>2296</v>
      </c>
      <c r="D220" s="1" t="s">
        <v>2</v>
      </c>
      <c r="E220" s="1">
        <v>21</v>
      </c>
      <c r="F220" s="1" t="s">
        <v>2297</v>
      </c>
      <c r="H220" s="1" t="s">
        <v>2311</v>
      </c>
      <c r="I220" s="1" t="s">
        <v>7</v>
      </c>
      <c r="J220" s="1" t="s">
        <v>2299</v>
      </c>
      <c r="K220" s="1" t="s">
        <v>2300</v>
      </c>
      <c r="L220" s="1" t="s">
        <v>2299</v>
      </c>
      <c r="N220" s="1" t="s">
        <v>2312</v>
      </c>
      <c r="P220" s="1" t="s">
        <v>2302</v>
      </c>
      <c r="Q220" s="1">
        <v>2009</v>
      </c>
      <c r="R220" s="1" t="s">
        <v>2303</v>
      </c>
      <c r="S220" s="1" t="s">
        <v>27</v>
      </c>
      <c r="T220" s="38">
        <v>1</v>
      </c>
      <c r="Z220" s="1">
        <v>68.3</v>
      </c>
      <c r="AA220" s="1">
        <v>6.25</v>
      </c>
      <c r="AC220" s="1">
        <v>20.2563</v>
      </c>
      <c r="AI220" s="1">
        <v>10.270799999999999</v>
      </c>
      <c r="AK220" s="1">
        <v>3.0112503916</v>
      </c>
      <c r="AL220" s="1">
        <v>2.6053451663999998</v>
      </c>
      <c r="AM220" s="1">
        <v>3.1245262683999999</v>
      </c>
      <c r="AN220" s="1">
        <v>0.69853457360000004</v>
      </c>
      <c r="AV220" s="1">
        <v>1.20143</v>
      </c>
      <c r="DQ220" s="1">
        <v>476.02305000000001</v>
      </c>
      <c r="DR220" s="1">
        <v>7596.1125000000002</v>
      </c>
      <c r="DS220" s="1">
        <v>17562.212100000001</v>
      </c>
      <c r="DU220" s="1">
        <v>1091.81457</v>
      </c>
      <c r="DV220" s="1">
        <v>1116.12213</v>
      </c>
      <c r="DX220" s="1">
        <v>2126.9115000000002</v>
      </c>
      <c r="EA220" s="1">
        <v>2997.9324000000001</v>
      </c>
      <c r="EB220" s="1">
        <v>804.17511000000002</v>
      </c>
      <c r="EC220" s="1">
        <v>583.38144</v>
      </c>
      <c r="EF220" s="1">
        <v>871.02089999999998</v>
      </c>
      <c r="EG220" s="1">
        <v>1517.19687</v>
      </c>
      <c r="EH220" s="1">
        <v>1697.47794</v>
      </c>
      <c r="EK220" s="1">
        <v>818.35451999999998</v>
      </c>
      <c r="EL220" s="1">
        <v>518.56128000000001</v>
      </c>
      <c r="EM220" s="1">
        <v>733.27805999999998</v>
      </c>
      <c r="EO220" s="1">
        <v>812.27763000000004</v>
      </c>
      <c r="EQ220" s="1">
        <v>443.61297000000002</v>
      </c>
      <c r="ER220" s="1">
        <v>956.09735999999998</v>
      </c>
    </row>
    <row r="221" spans="1:148" x14ac:dyDescent="0.2">
      <c r="A221" s="1" t="s">
        <v>2313</v>
      </c>
      <c r="B221" s="1" t="s">
        <v>55</v>
      </c>
      <c r="C221" s="1" t="s">
        <v>2296</v>
      </c>
      <c r="D221" s="1" t="s">
        <v>2</v>
      </c>
      <c r="E221" s="1">
        <v>21</v>
      </c>
      <c r="F221" s="1" t="s">
        <v>2297</v>
      </c>
      <c r="H221" s="1" t="s">
        <v>2314</v>
      </c>
      <c r="I221" s="1" t="s">
        <v>7</v>
      </c>
      <c r="J221" s="1" t="s">
        <v>2299</v>
      </c>
      <c r="K221" s="1" t="s">
        <v>2300</v>
      </c>
      <c r="L221" s="1" t="s">
        <v>2299</v>
      </c>
      <c r="N221" s="1" t="s">
        <v>2315</v>
      </c>
      <c r="P221" s="1" t="s">
        <v>2302</v>
      </c>
      <c r="Q221" s="1">
        <v>2009</v>
      </c>
      <c r="R221" s="1" t="s">
        <v>2303</v>
      </c>
      <c r="S221" s="1" t="s">
        <v>27</v>
      </c>
      <c r="T221" s="38">
        <v>1</v>
      </c>
      <c r="Z221" s="1">
        <v>69.900000000000006</v>
      </c>
      <c r="AA221" s="1">
        <v>6.25</v>
      </c>
      <c r="AC221" s="1">
        <v>19.595099999999999</v>
      </c>
      <c r="AI221" s="1">
        <v>9.1805000000000003</v>
      </c>
      <c r="AK221" s="1">
        <v>2.69517008</v>
      </c>
      <c r="AL221" s="1">
        <v>2.3666962265000002</v>
      </c>
      <c r="AM221" s="1">
        <v>2.69517008</v>
      </c>
      <c r="AN221" s="1">
        <v>0.66452787285000003</v>
      </c>
      <c r="AV221" s="1">
        <v>1.27925</v>
      </c>
      <c r="DQ221" s="1">
        <v>489.8775</v>
      </c>
      <c r="DR221" s="1">
        <v>7544.1135000000004</v>
      </c>
      <c r="DS221" s="1">
        <v>16753.8105</v>
      </c>
      <c r="DU221" s="1">
        <v>1212.93669</v>
      </c>
      <c r="DV221" s="1">
        <v>940.56479999999999</v>
      </c>
      <c r="DX221" s="1">
        <v>1771.3970400000001</v>
      </c>
      <c r="EA221" s="1">
        <v>2900.0747999999999</v>
      </c>
      <c r="EB221" s="1">
        <v>787.72302000000002</v>
      </c>
      <c r="EC221" s="1">
        <v>560.41985999999997</v>
      </c>
      <c r="EF221" s="1">
        <v>942.52431000000001</v>
      </c>
      <c r="EG221" s="1">
        <v>1551.93192</v>
      </c>
      <c r="EH221" s="1">
        <v>1589.1626100000001</v>
      </c>
      <c r="EK221" s="1">
        <v>764.20889999999997</v>
      </c>
      <c r="EL221" s="1">
        <v>427.17318</v>
      </c>
      <c r="EM221" s="1">
        <v>613.32663000000002</v>
      </c>
      <c r="EO221" s="1">
        <v>826.91322000000002</v>
      </c>
      <c r="EQ221" s="1">
        <v>435.01121999999998</v>
      </c>
      <c r="ER221" s="1">
        <v>940.56479999999999</v>
      </c>
    </row>
    <row r="222" spans="1:148" x14ac:dyDescent="0.2">
      <c r="A222" s="1" t="s">
        <v>2316</v>
      </c>
      <c r="B222" s="1" t="s">
        <v>55</v>
      </c>
      <c r="C222" s="1" t="s">
        <v>2317</v>
      </c>
      <c r="E222" s="1">
        <v>13</v>
      </c>
      <c r="F222" s="1" t="s">
        <v>1209</v>
      </c>
      <c r="H222" s="1" t="s">
        <v>2318</v>
      </c>
      <c r="I222" s="1" t="s">
        <v>7</v>
      </c>
      <c r="J222" s="1" t="s">
        <v>1211</v>
      </c>
      <c r="K222" s="1" t="s">
        <v>1212</v>
      </c>
      <c r="L222" s="1" t="s">
        <v>1211</v>
      </c>
      <c r="N222" s="1" t="s">
        <v>2319</v>
      </c>
      <c r="O222" s="1">
        <v>1</v>
      </c>
      <c r="P222" s="1" t="s">
        <v>6687</v>
      </c>
      <c r="Q222" s="1">
        <v>2009</v>
      </c>
      <c r="R222" s="1" t="s">
        <v>2321</v>
      </c>
      <c r="S222" s="1" t="s">
        <v>27</v>
      </c>
      <c r="T222" s="38">
        <v>1</v>
      </c>
      <c r="Z222" s="1">
        <v>76.8</v>
      </c>
      <c r="AC222" s="1">
        <v>16.2</v>
      </c>
      <c r="AH222" s="1">
        <v>5.0199999999999996</v>
      </c>
      <c r="AV222" s="1">
        <v>0.83</v>
      </c>
      <c r="CU222" s="1">
        <v>0.34</v>
      </c>
      <c r="CZ222" s="1">
        <v>7.0000000000000007E-2</v>
      </c>
      <c r="DB222" s="1">
        <v>0.03</v>
      </c>
      <c r="DD222" s="1">
        <v>1.1299999999999999</v>
      </c>
      <c r="DH222" s="1">
        <v>0.08</v>
      </c>
    </row>
    <row r="223" spans="1:148" x14ac:dyDescent="0.2">
      <c r="A223" s="1" t="s">
        <v>2322</v>
      </c>
      <c r="B223" s="1" t="s">
        <v>55</v>
      </c>
      <c r="C223" s="1" t="s">
        <v>2317</v>
      </c>
      <c r="E223" s="1">
        <v>13</v>
      </c>
      <c r="F223" s="1" t="s">
        <v>1209</v>
      </c>
      <c r="H223" s="1" t="s">
        <v>2323</v>
      </c>
      <c r="I223" s="1" t="s">
        <v>11</v>
      </c>
      <c r="J223" s="1" t="s">
        <v>1211</v>
      </c>
      <c r="K223" s="1" t="s">
        <v>1212</v>
      </c>
      <c r="L223" s="1" t="s">
        <v>1211</v>
      </c>
      <c r="N223" s="1" t="s">
        <v>2324</v>
      </c>
      <c r="O223" s="1">
        <v>1</v>
      </c>
      <c r="P223" s="1" t="s">
        <v>6687</v>
      </c>
      <c r="Q223" s="1">
        <v>2009</v>
      </c>
      <c r="R223" s="1" t="s">
        <v>2321</v>
      </c>
      <c r="S223" s="1" t="s">
        <v>27</v>
      </c>
      <c r="T223" s="38">
        <v>1</v>
      </c>
      <c r="Z223" s="1">
        <v>69.400000000000006</v>
      </c>
      <c r="AC223" s="1">
        <v>21.8</v>
      </c>
      <c r="AH223" s="1">
        <v>5.85</v>
      </c>
      <c r="AV223" s="1">
        <v>1.21</v>
      </c>
      <c r="CU223" s="1">
        <v>1.52</v>
      </c>
      <c r="CZ223" s="1">
        <v>0.04</v>
      </c>
      <c r="DB223" s="1">
        <v>0.02</v>
      </c>
      <c r="DD223" s="1">
        <v>0.73</v>
      </c>
      <c r="DH223" s="1">
        <v>0.06</v>
      </c>
    </row>
    <row r="224" spans="1:148" x14ac:dyDescent="0.2">
      <c r="A224" s="1" t="s">
        <v>2325</v>
      </c>
      <c r="B224" s="1" t="s">
        <v>55</v>
      </c>
      <c r="C224" s="1" t="s">
        <v>2317</v>
      </c>
      <c r="E224" s="1">
        <v>13</v>
      </c>
      <c r="F224" s="1" t="s">
        <v>1209</v>
      </c>
      <c r="H224" s="1" t="s">
        <v>2326</v>
      </c>
      <c r="I224" s="1" t="s">
        <v>11</v>
      </c>
      <c r="J224" s="1" t="s">
        <v>1211</v>
      </c>
      <c r="K224" s="1" t="s">
        <v>1212</v>
      </c>
      <c r="L224" s="1" t="s">
        <v>1211</v>
      </c>
      <c r="N224" s="1" t="s">
        <v>2327</v>
      </c>
      <c r="O224" s="1">
        <v>1</v>
      </c>
      <c r="P224" s="1" t="s">
        <v>6687</v>
      </c>
      <c r="Q224" s="1">
        <v>2009</v>
      </c>
      <c r="R224" s="1" t="s">
        <v>2321</v>
      </c>
      <c r="S224" s="1" t="s">
        <v>27</v>
      </c>
      <c r="T224" s="38">
        <v>1</v>
      </c>
      <c r="Z224" s="1">
        <v>72.7</v>
      </c>
      <c r="AC224" s="1">
        <v>19.5</v>
      </c>
      <c r="AH224" s="1">
        <v>5.16</v>
      </c>
      <c r="AV224" s="1">
        <v>1.05</v>
      </c>
      <c r="CU224" s="1">
        <v>0.59</v>
      </c>
      <c r="CZ224" s="1">
        <v>0.05</v>
      </c>
      <c r="DB224" s="1">
        <v>7.0000000000000007E-2</v>
      </c>
      <c r="DD224" s="1">
        <v>2.0299999999999998</v>
      </c>
      <c r="DH224" s="1">
        <v>0.1</v>
      </c>
    </row>
    <row r="225" spans="1:148" x14ac:dyDescent="0.2">
      <c r="A225" s="1" t="s">
        <v>2328</v>
      </c>
      <c r="B225" s="1" t="s">
        <v>55</v>
      </c>
      <c r="C225" s="1" t="s">
        <v>2317</v>
      </c>
      <c r="E225" s="1">
        <v>13</v>
      </c>
      <c r="F225" s="1" t="s">
        <v>1209</v>
      </c>
      <c r="H225" s="1" t="s">
        <v>2329</v>
      </c>
      <c r="I225" s="1" t="s">
        <v>11</v>
      </c>
      <c r="J225" s="1" t="s">
        <v>1211</v>
      </c>
      <c r="K225" s="1" t="s">
        <v>1212</v>
      </c>
      <c r="L225" s="1" t="s">
        <v>1211</v>
      </c>
      <c r="N225" s="1" t="s">
        <v>2330</v>
      </c>
      <c r="O225" s="1">
        <v>1</v>
      </c>
      <c r="P225" s="1" t="s">
        <v>6687</v>
      </c>
      <c r="Q225" s="1">
        <v>2009</v>
      </c>
      <c r="R225" s="1" t="s">
        <v>2321</v>
      </c>
      <c r="S225" s="1" t="s">
        <v>27</v>
      </c>
      <c r="T225" s="38">
        <v>1</v>
      </c>
      <c r="Z225" s="1">
        <v>72.7</v>
      </c>
      <c r="AC225" s="1">
        <v>20.3</v>
      </c>
      <c r="AH225" s="1">
        <v>5.22</v>
      </c>
      <c r="AV225" s="1">
        <v>1.0900000000000001</v>
      </c>
      <c r="CU225" s="1">
        <v>0.52</v>
      </c>
      <c r="CZ225" s="1">
        <v>0.04</v>
      </c>
      <c r="DB225" s="1">
        <v>0.02</v>
      </c>
      <c r="DD225" s="1">
        <v>0.05</v>
      </c>
      <c r="DH225" s="1">
        <v>0.05</v>
      </c>
    </row>
    <row r="226" spans="1:148" x14ac:dyDescent="0.2">
      <c r="A226" s="1" t="s">
        <v>2331</v>
      </c>
      <c r="B226" s="1" t="s">
        <v>55</v>
      </c>
      <c r="C226" s="1" t="s">
        <v>2317</v>
      </c>
      <c r="E226" s="1">
        <v>13</v>
      </c>
      <c r="F226" s="1" t="s">
        <v>1209</v>
      </c>
      <c r="H226" s="1" t="s">
        <v>2332</v>
      </c>
      <c r="I226" s="1" t="s">
        <v>11</v>
      </c>
      <c r="J226" s="1" t="s">
        <v>1211</v>
      </c>
      <c r="K226" s="1" t="s">
        <v>1212</v>
      </c>
      <c r="L226" s="1" t="s">
        <v>1211</v>
      </c>
      <c r="N226" s="1" t="s">
        <v>2333</v>
      </c>
      <c r="O226" s="1">
        <v>1</v>
      </c>
      <c r="P226" s="1" t="s">
        <v>6687</v>
      </c>
      <c r="Q226" s="1">
        <v>2009</v>
      </c>
      <c r="R226" s="1" t="s">
        <v>2321</v>
      </c>
      <c r="S226" s="1" t="s">
        <v>27</v>
      </c>
      <c r="T226" s="38">
        <v>1</v>
      </c>
      <c r="Z226" s="1">
        <v>70.7</v>
      </c>
      <c r="AC226" s="1">
        <v>20</v>
      </c>
      <c r="AH226" s="1">
        <v>8.02</v>
      </c>
      <c r="AV226" s="1">
        <v>1.1499999999999999</v>
      </c>
      <c r="CU226" s="1">
        <v>0.52</v>
      </c>
      <c r="CZ226" s="1">
        <v>0.04</v>
      </c>
      <c r="DB226" s="1">
        <v>0.01</v>
      </c>
      <c r="DD226" s="1">
        <v>0.04</v>
      </c>
      <c r="DH226" s="1">
        <v>0.03</v>
      </c>
    </row>
    <row r="227" spans="1:148" x14ac:dyDescent="0.2">
      <c r="A227" s="1" t="s">
        <v>2334</v>
      </c>
      <c r="B227" s="1" t="s">
        <v>55</v>
      </c>
      <c r="C227" s="1" t="s">
        <v>2335</v>
      </c>
      <c r="E227" s="1">
        <v>36</v>
      </c>
      <c r="F227" s="1" t="s">
        <v>2336</v>
      </c>
      <c r="H227" s="1" t="s">
        <v>2337</v>
      </c>
      <c r="I227" s="1" t="s">
        <v>7</v>
      </c>
      <c r="J227" s="1" t="s">
        <v>2338</v>
      </c>
      <c r="K227" s="1" t="s">
        <v>2339</v>
      </c>
      <c r="L227" s="1" t="s">
        <v>2338</v>
      </c>
      <c r="M227" s="1" t="s">
        <v>2340</v>
      </c>
      <c r="O227" s="1">
        <v>1</v>
      </c>
      <c r="Q227" s="1">
        <v>1993</v>
      </c>
      <c r="R227" s="1" t="s">
        <v>2341</v>
      </c>
      <c r="S227" s="1" t="s">
        <v>27</v>
      </c>
      <c r="T227" s="38">
        <v>1</v>
      </c>
      <c r="Z227" s="1">
        <v>70.099999999999994</v>
      </c>
      <c r="AA227" s="1">
        <v>6.25</v>
      </c>
      <c r="AC227" s="1">
        <v>13</v>
      </c>
      <c r="AH227" s="1">
        <v>14.7</v>
      </c>
      <c r="AV227" s="1">
        <v>1.6</v>
      </c>
      <c r="AY227" s="1">
        <v>35.299999999999997</v>
      </c>
      <c r="BB227" s="1">
        <v>33.4</v>
      </c>
      <c r="BD227" s="1">
        <v>2.23E-2</v>
      </c>
      <c r="BF227" s="1">
        <v>1.1000000000000001</v>
      </c>
      <c r="BG227" s="1">
        <v>22.8</v>
      </c>
      <c r="BJ227" s="1">
        <v>47.9</v>
      </c>
      <c r="BK227" s="1">
        <v>2.5999999999999999E-2</v>
      </c>
      <c r="BP227" s="1">
        <v>259</v>
      </c>
      <c r="BW227" s="1">
        <v>1.5</v>
      </c>
      <c r="DU227" s="1">
        <v>663</v>
      </c>
      <c r="DV227" s="1">
        <v>650</v>
      </c>
      <c r="DX227" s="1">
        <v>1300</v>
      </c>
      <c r="EA227" s="1">
        <v>1560</v>
      </c>
      <c r="EB227" s="1">
        <v>403</v>
      </c>
      <c r="EC227" s="1">
        <v>260</v>
      </c>
      <c r="EF227" s="1">
        <v>507</v>
      </c>
      <c r="EG227" s="1">
        <v>910</v>
      </c>
      <c r="EH227" s="1">
        <v>1053</v>
      </c>
      <c r="EI227" s="1">
        <v>273</v>
      </c>
      <c r="EK227" s="1">
        <v>520</v>
      </c>
      <c r="EL227" s="1">
        <v>390</v>
      </c>
      <c r="EM227" s="1">
        <v>403</v>
      </c>
      <c r="EO227" s="1">
        <v>624</v>
      </c>
      <c r="EQ227" s="1">
        <v>546</v>
      </c>
      <c r="ER227" s="1">
        <v>572</v>
      </c>
    </row>
    <row r="228" spans="1:148" x14ac:dyDescent="0.2">
      <c r="A228" s="1" t="s">
        <v>2342</v>
      </c>
      <c r="B228" s="1" t="s">
        <v>55</v>
      </c>
      <c r="C228" s="1" t="s">
        <v>2335</v>
      </c>
      <c r="E228" s="1">
        <v>24</v>
      </c>
      <c r="F228" s="1" t="s">
        <v>2343</v>
      </c>
      <c r="H228" s="1" t="s">
        <v>2344</v>
      </c>
      <c r="I228" s="1" t="s">
        <v>7</v>
      </c>
      <c r="J228" s="1" t="s">
        <v>2345</v>
      </c>
      <c r="K228" s="1" t="s">
        <v>2346</v>
      </c>
      <c r="L228" s="1" t="s">
        <v>2347</v>
      </c>
      <c r="M228" s="1" t="s">
        <v>2348</v>
      </c>
      <c r="O228" s="1">
        <v>1</v>
      </c>
      <c r="Q228" s="1">
        <v>1993</v>
      </c>
      <c r="R228" s="1" t="s">
        <v>2341</v>
      </c>
      <c r="S228" s="1" t="s">
        <v>27</v>
      </c>
      <c r="T228" s="38">
        <v>1</v>
      </c>
      <c r="Z228" s="1">
        <v>72.7</v>
      </c>
      <c r="AA228" s="1">
        <v>6.25</v>
      </c>
      <c r="AC228" s="1">
        <v>17.600000000000001</v>
      </c>
      <c r="AH228" s="1">
        <v>7.5</v>
      </c>
      <c r="AV228" s="1">
        <v>1.5</v>
      </c>
      <c r="AY228" s="1">
        <v>35.5</v>
      </c>
      <c r="BB228" s="1">
        <v>15.8</v>
      </c>
      <c r="BD228" s="1">
        <v>0.1062</v>
      </c>
      <c r="BF228" s="1">
        <v>1.2</v>
      </c>
      <c r="BG228" s="1">
        <v>33</v>
      </c>
      <c r="BJ228" s="1">
        <v>53.6</v>
      </c>
      <c r="BK228" s="1">
        <v>9.7000000000000003E-3</v>
      </c>
      <c r="BP228" s="1">
        <v>312</v>
      </c>
      <c r="BW228" s="1">
        <v>2.2999999999999998</v>
      </c>
      <c r="DU228" s="1">
        <v>1073.5999999999999</v>
      </c>
      <c r="DV228" s="1">
        <v>985.6</v>
      </c>
      <c r="DX228" s="1">
        <v>1724.8</v>
      </c>
      <c r="EA228" s="1">
        <v>2376</v>
      </c>
      <c r="EB228" s="1">
        <v>668.8</v>
      </c>
      <c r="EC228" s="1">
        <v>686.4</v>
      </c>
      <c r="EF228" s="1">
        <v>721.6</v>
      </c>
      <c r="EG228" s="1">
        <v>1337.6</v>
      </c>
      <c r="EH228" s="1">
        <v>1601.6</v>
      </c>
      <c r="EI228" s="1">
        <v>545.6</v>
      </c>
      <c r="EK228" s="1">
        <v>721.6</v>
      </c>
      <c r="EL228" s="1">
        <v>545.6</v>
      </c>
      <c r="EM228" s="1">
        <v>492.8</v>
      </c>
      <c r="EO228" s="1">
        <v>897.6</v>
      </c>
      <c r="EQ228" s="1">
        <v>686.4</v>
      </c>
      <c r="ER228" s="1">
        <v>897.6</v>
      </c>
    </row>
    <row r="229" spans="1:148" x14ac:dyDescent="0.2">
      <c r="A229" s="1" t="s">
        <v>2349</v>
      </c>
      <c r="B229" s="1" t="s">
        <v>55</v>
      </c>
      <c r="C229" s="1" t="s">
        <v>2335</v>
      </c>
      <c r="E229" s="1">
        <v>35</v>
      </c>
      <c r="F229" s="1" t="s">
        <v>2350</v>
      </c>
      <c r="H229" s="1" t="s">
        <v>2351</v>
      </c>
      <c r="I229" s="1" t="s">
        <v>7</v>
      </c>
      <c r="J229" s="1" t="s">
        <v>2352</v>
      </c>
      <c r="K229" s="1" t="s">
        <v>2353</v>
      </c>
      <c r="L229" s="1" t="s">
        <v>2352</v>
      </c>
      <c r="M229" s="1" t="s">
        <v>2354</v>
      </c>
      <c r="O229" s="1">
        <v>1</v>
      </c>
      <c r="Q229" s="1">
        <v>1993</v>
      </c>
      <c r="R229" s="1" t="s">
        <v>2341</v>
      </c>
      <c r="S229" s="1" t="s">
        <v>27</v>
      </c>
      <c r="T229" s="38">
        <v>1</v>
      </c>
      <c r="Z229" s="1">
        <v>81.5</v>
      </c>
      <c r="AA229" s="1">
        <v>6.25</v>
      </c>
      <c r="AC229" s="1">
        <v>11.4</v>
      </c>
      <c r="AH229" s="1">
        <v>6.1</v>
      </c>
      <c r="AV229" s="1">
        <v>0.8</v>
      </c>
      <c r="AY229" s="1">
        <v>43</v>
      </c>
      <c r="BB229" s="1">
        <v>69.3</v>
      </c>
      <c r="BD229" s="1">
        <v>7.3899999999999993E-2</v>
      </c>
      <c r="BF229" s="1">
        <v>1.5</v>
      </c>
      <c r="BG229" s="1">
        <v>10.7</v>
      </c>
      <c r="BJ229" s="1">
        <v>45.4</v>
      </c>
      <c r="BK229" s="1">
        <v>6.4000000000000001E-2</v>
      </c>
      <c r="BP229" s="1">
        <v>190</v>
      </c>
      <c r="BW229" s="1">
        <v>3.2</v>
      </c>
      <c r="DU229" s="1">
        <v>866.4</v>
      </c>
      <c r="DV229" s="1">
        <v>661.2</v>
      </c>
      <c r="DX229" s="1">
        <v>957.6</v>
      </c>
      <c r="EA229" s="1">
        <v>1607.4</v>
      </c>
      <c r="EB229" s="1">
        <v>410.4</v>
      </c>
      <c r="EC229" s="1">
        <v>296.39999999999998</v>
      </c>
      <c r="EF229" s="1">
        <v>581.4</v>
      </c>
      <c r="EG229" s="1">
        <v>809.4</v>
      </c>
      <c r="EH229" s="1">
        <v>1140</v>
      </c>
      <c r="EI229" s="1">
        <v>444.6</v>
      </c>
      <c r="EK229" s="1">
        <v>444.6</v>
      </c>
      <c r="EL229" s="1">
        <v>467.4</v>
      </c>
      <c r="EM229" s="1">
        <v>501.6</v>
      </c>
      <c r="EO229" s="1">
        <v>524.4</v>
      </c>
      <c r="EQ229" s="1">
        <v>364.8</v>
      </c>
      <c r="ER229" s="1">
        <v>558.6</v>
      </c>
    </row>
    <row r="230" spans="1:148" x14ac:dyDescent="0.2">
      <c r="A230" s="1" t="s">
        <v>2355</v>
      </c>
      <c r="B230" s="1" t="s">
        <v>55</v>
      </c>
      <c r="C230" s="1" t="s">
        <v>2335</v>
      </c>
      <c r="E230" s="1">
        <v>37</v>
      </c>
      <c r="F230" s="1" t="s">
        <v>2016</v>
      </c>
      <c r="H230" s="1" t="s">
        <v>2356</v>
      </c>
      <c r="I230" s="1" t="s">
        <v>7</v>
      </c>
      <c r="J230" s="1" t="s">
        <v>2357</v>
      </c>
      <c r="K230" s="1" t="s">
        <v>2020</v>
      </c>
      <c r="L230" s="1" t="s">
        <v>2019</v>
      </c>
      <c r="M230" s="1" t="s">
        <v>2358</v>
      </c>
      <c r="O230" s="1">
        <v>1</v>
      </c>
      <c r="Q230" s="1">
        <v>1993</v>
      </c>
      <c r="R230" s="1" t="s">
        <v>2341</v>
      </c>
      <c r="S230" s="1" t="s">
        <v>27</v>
      </c>
      <c r="T230" s="38">
        <v>1</v>
      </c>
      <c r="Z230" s="1" t="s">
        <v>2359</v>
      </c>
      <c r="AA230" s="1">
        <v>6.25</v>
      </c>
      <c r="AC230" s="1" t="s">
        <v>2360</v>
      </c>
      <c r="AH230" s="1" t="s">
        <v>2361</v>
      </c>
      <c r="AV230" s="1" t="s">
        <v>1568</v>
      </c>
      <c r="AY230" s="1">
        <v>23.8</v>
      </c>
      <c r="BB230" s="1">
        <v>49.8</v>
      </c>
      <c r="BD230" s="1">
        <v>0.1069</v>
      </c>
      <c r="BF230" s="1">
        <v>0.8</v>
      </c>
      <c r="BG230" s="1">
        <v>25.9</v>
      </c>
      <c r="BJ230" s="1">
        <v>40.4</v>
      </c>
      <c r="BK230" s="1">
        <v>7.9699999999999993E-2</v>
      </c>
      <c r="BP230" s="1">
        <v>211</v>
      </c>
      <c r="BW230" s="1">
        <v>1.1000000000000001</v>
      </c>
      <c r="DU230" s="1">
        <v>1037</v>
      </c>
      <c r="DV230" s="1">
        <v>952</v>
      </c>
      <c r="DX230" s="1">
        <v>1598</v>
      </c>
      <c r="EA230" s="1">
        <v>2618</v>
      </c>
      <c r="EB230" s="1">
        <v>697</v>
      </c>
      <c r="EC230" s="1">
        <v>476</v>
      </c>
      <c r="EF230" s="1">
        <v>833</v>
      </c>
      <c r="EG230" s="1">
        <v>1326</v>
      </c>
      <c r="EH230" s="1">
        <v>1717</v>
      </c>
      <c r="EI230" s="1">
        <v>629</v>
      </c>
      <c r="EK230" s="1">
        <v>833</v>
      </c>
      <c r="EL230" s="1">
        <v>612</v>
      </c>
      <c r="EM230" s="1">
        <v>833</v>
      </c>
      <c r="EO230" s="1">
        <v>663</v>
      </c>
      <c r="EQ230" s="1">
        <v>714</v>
      </c>
      <c r="ER230" s="1">
        <v>952</v>
      </c>
    </row>
    <row r="231" spans="1:148" x14ac:dyDescent="0.2">
      <c r="A231" s="1" t="s">
        <v>2362</v>
      </c>
      <c r="B231" s="1" t="s">
        <v>55</v>
      </c>
      <c r="C231" s="1" t="s">
        <v>2335</v>
      </c>
      <c r="E231" s="1">
        <v>33</v>
      </c>
      <c r="F231" s="1" t="s">
        <v>2363</v>
      </c>
      <c r="H231" s="1" t="s">
        <v>2364</v>
      </c>
      <c r="I231" s="1" t="s">
        <v>7</v>
      </c>
      <c r="J231" s="1" t="s">
        <v>2365</v>
      </c>
      <c r="K231" s="1" t="s">
        <v>2366</v>
      </c>
      <c r="L231" s="1" t="s">
        <v>2367</v>
      </c>
      <c r="M231" s="1" t="s">
        <v>2368</v>
      </c>
      <c r="O231" s="1">
        <v>1</v>
      </c>
      <c r="Q231" s="1">
        <v>1993</v>
      </c>
      <c r="R231" s="1" t="s">
        <v>2341</v>
      </c>
      <c r="S231" s="1" t="s">
        <v>27</v>
      </c>
      <c r="T231" s="38">
        <v>1</v>
      </c>
      <c r="Z231" s="1">
        <v>77</v>
      </c>
      <c r="AA231" s="1">
        <v>6.25</v>
      </c>
      <c r="AC231" s="1">
        <v>16</v>
      </c>
      <c r="AH231" s="1">
        <v>4.9000000000000004</v>
      </c>
      <c r="AV231" s="1">
        <v>1.2</v>
      </c>
      <c r="AY231" s="1">
        <v>14.5</v>
      </c>
      <c r="BB231" s="1">
        <v>66.8</v>
      </c>
      <c r="BD231" s="1">
        <v>6.6799999999999998E-2</v>
      </c>
      <c r="BF231" s="1">
        <v>0.9</v>
      </c>
      <c r="BG231" s="1">
        <v>97.1</v>
      </c>
      <c r="BJ231" s="1">
        <v>36.5</v>
      </c>
      <c r="BK231" s="1">
        <v>2.23E-2</v>
      </c>
      <c r="BP231" s="1">
        <v>192</v>
      </c>
      <c r="BW231" s="1">
        <v>1.4</v>
      </c>
      <c r="DU231" s="1">
        <v>784</v>
      </c>
      <c r="DV231" s="1">
        <v>976</v>
      </c>
      <c r="DX231" s="1">
        <v>1424</v>
      </c>
      <c r="EA231" s="1">
        <v>2560</v>
      </c>
      <c r="EB231" s="1">
        <v>592</v>
      </c>
      <c r="EC231" s="1">
        <v>496</v>
      </c>
      <c r="EF231" s="1">
        <v>656</v>
      </c>
      <c r="EG231" s="1">
        <v>1280</v>
      </c>
      <c r="EH231" s="1">
        <v>1296</v>
      </c>
      <c r="EI231" s="1">
        <v>640</v>
      </c>
      <c r="EK231" s="1">
        <v>752</v>
      </c>
      <c r="EL231" s="1">
        <v>672</v>
      </c>
      <c r="EM231" s="1">
        <v>624</v>
      </c>
      <c r="EO231" s="1">
        <v>784</v>
      </c>
      <c r="EQ231" s="1">
        <v>656</v>
      </c>
      <c r="ER231" s="1">
        <v>928</v>
      </c>
    </row>
    <row r="232" spans="1:148" x14ac:dyDescent="0.2">
      <c r="A232" s="1" t="s">
        <v>2369</v>
      </c>
      <c r="B232" s="1" t="s">
        <v>55</v>
      </c>
      <c r="C232" s="1" t="s">
        <v>2335</v>
      </c>
      <c r="E232" s="1">
        <v>33</v>
      </c>
      <c r="F232" s="1" t="s">
        <v>2370</v>
      </c>
      <c r="H232" s="1" t="s">
        <v>2371</v>
      </c>
      <c r="I232" s="1" t="s">
        <v>7</v>
      </c>
      <c r="J232" s="1" t="s">
        <v>2372</v>
      </c>
      <c r="K232" s="1" t="s">
        <v>2373</v>
      </c>
      <c r="L232" s="1" t="s">
        <v>2372</v>
      </c>
      <c r="M232" s="1" t="s">
        <v>2374</v>
      </c>
      <c r="O232" s="1">
        <v>1</v>
      </c>
      <c r="Q232" s="1">
        <v>1993</v>
      </c>
      <c r="R232" s="1" t="s">
        <v>2341</v>
      </c>
      <c r="S232" s="1" t="s">
        <v>27</v>
      </c>
      <c r="T232" s="38">
        <v>1</v>
      </c>
      <c r="Z232" s="1">
        <v>79.099999999999994</v>
      </c>
      <c r="AA232" s="1">
        <v>6.25</v>
      </c>
      <c r="AC232" s="1">
        <v>15.3</v>
      </c>
      <c r="AH232" s="1">
        <v>2.2000000000000002</v>
      </c>
      <c r="AV232" s="1">
        <v>1.1000000000000001</v>
      </c>
      <c r="AY232" s="1">
        <v>15.7</v>
      </c>
      <c r="BB232" s="1">
        <v>31.3</v>
      </c>
      <c r="BD232" s="1">
        <v>9.1800000000000007E-2</v>
      </c>
      <c r="BF232" s="1">
        <v>0.8</v>
      </c>
      <c r="BG232" s="1">
        <v>34.299999999999997</v>
      </c>
      <c r="BJ232" s="1">
        <v>30.5</v>
      </c>
      <c r="BK232" s="1">
        <v>3.7600000000000001E-2</v>
      </c>
      <c r="BP232" s="1">
        <v>183</v>
      </c>
      <c r="BW232" s="1">
        <v>2.2000000000000002</v>
      </c>
      <c r="DU232" s="1">
        <v>443.7</v>
      </c>
      <c r="DV232" s="1">
        <v>933.3</v>
      </c>
      <c r="DX232" s="1">
        <v>1224</v>
      </c>
      <c r="EA232" s="1">
        <v>1851.3</v>
      </c>
      <c r="EB232" s="1">
        <v>443.7</v>
      </c>
      <c r="EC232" s="1">
        <v>612</v>
      </c>
      <c r="EF232" s="1">
        <v>443.7</v>
      </c>
      <c r="EG232" s="1">
        <v>673.2</v>
      </c>
      <c r="EH232" s="1">
        <v>627.29999999999995</v>
      </c>
      <c r="EI232" s="1">
        <v>948.6</v>
      </c>
      <c r="EK232" s="1">
        <v>581.4</v>
      </c>
      <c r="EL232" s="1">
        <v>550.79999999999995</v>
      </c>
      <c r="EM232" s="1">
        <v>627.29999999999995</v>
      </c>
      <c r="EO232" s="1">
        <v>765</v>
      </c>
      <c r="EQ232" s="1">
        <v>1224</v>
      </c>
      <c r="ER232" s="1">
        <v>826.2</v>
      </c>
    </row>
    <row r="233" spans="1:148" x14ac:dyDescent="0.2">
      <c r="A233" s="1" t="s">
        <v>2375</v>
      </c>
      <c r="B233" s="1" t="s">
        <v>55</v>
      </c>
      <c r="C233" s="1" t="s">
        <v>2335</v>
      </c>
      <c r="E233" s="1">
        <v>37</v>
      </c>
      <c r="F233" s="1" t="s">
        <v>2042</v>
      </c>
      <c r="H233" s="1" t="s">
        <v>2376</v>
      </c>
      <c r="I233" s="1" t="s">
        <v>7</v>
      </c>
      <c r="J233" s="1" t="s">
        <v>2045</v>
      </c>
      <c r="K233" s="1" t="s">
        <v>2046</v>
      </c>
      <c r="L233" s="1" t="s">
        <v>2045</v>
      </c>
      <c r="M233" s="1" t="s">
        <v>2377</v>
      </c>
      <c r="O233" s="1">
        <v>1</v>
      </c>
      <c r="Q233" s="1">
        <v>1993</v>
      </c>
      <c r="R233" s="1" t="s">
        <v>2341</v>
      </c>
      <c r="S233" s="1" t="s">
        <v>27</v>
      </c>
      <c r="T233" s="38">
        <v>1</v>
      </c>
      <c r="Z233" s="1">
        <v>80</v>
      </c>
      <c r="AA233" s="1">
        <v>6.25</v>
      </c>
      <c r="AC233" s="1">
        <v>16.100000000000001</v>
      </c>
      <c r="AH233" s="1">
        <v>1.8</v>
      </c>
      <c r="AV233" s="1">
        <v>1.6</v>
      </c>
      <c r="AY233" s="1">
        <v>30.3</v>
      </c>
      <c r="BB233" s="1">
        <v>31.8</v>
      </c>
      <c r="BD233" s="1">
        <v>8.4900000000000003E-2</v>
      </c>
      <c r="BF233" s="1">
        <v>1.3</v>
      </c>
      <c r="BG233" s="1">
        <v>21.7</v>
      </c>
      <c r="BJ233" s="1">
        <v>32.299999999999997</v>
      </c>
      <c r="BK233" s="1">
        <v>4.24E-2</v>
      </c>
      <c r="BP233" s="1">
        <v>206</v>
      </c>
      <c r="BW233" s="1">
        <v>2.2999999999999998</v>
      </c>
      <c r="DU233" s="1">
        <v>933.8</v>
      </c>
      <c r="DV233" s="1">
        <v>821.1</v>
      </c>
      <c r="DX233" s="1">
        <v>1449</v>
      </c>
      <c r="EA233" s="1">
        <v>2157.4</v>
      </c>
      <c r="EB233" s="1">
        <v>483</v>
      </c>
      <c r="EC233" s="1">
        <v>660.1</v>
      </c>
      <c r="EF233" s="1">
        <v>805</v>
      </c>
      <c r="EG233" s="1">
        <v>1110.9000000000001</v>
      </c>
      <c r="EH233" s="1">
        <v>1352.4</v>
      </c>
      <c r="EI233" s="1">
        <v>450.8</v>
      </c>
      <c r="EK233" s="1">
        <v>627.9</v>
      </c>
      <c r="EL233" s="1">
        <v>676.2</v>
      </c>
      <c r="EM233" s="1">
        <v>547.4</v>
      </c>
      <c r="EO233" s="1">
        <v>660.1</v>
      </c>
      <c r="EQ233" s="1">
        <v>644</v>
      </c>
      <c r="ER233" s="1">
        <v>933.8</v>
      </c>
    </row>
    <row r="234" spans="1:148" x14ac:dyDescent="0.2">
      <c r="A234" s="1" t="s">
        <v>2378</v>
      </c>
      <c r="B234" s="1" t="s">
        <v>55</v>
      </c>
      <c r="C234" s="1" t="s">
        <v>2335</v>
      </c>
      <c r="E234" s="1">
        <v>34</v>
      </c>
      <c r="F234" s="1" t="s">
        <v>2379</v>
      </c>
      <c r="H234" s="1" t="s">
        <v>2380</v>
      </c>
      <c r="I234" s="1" t="s">
        <v>7</v>
      </c>
      <c r="J234" s="1" t="s">
        <v>2381</v>
      </c>
      <c r="K234" s="1" t="s">
        <v>2382</v>
      </c>
      <c r="L234" s="1" t="s">
        <v>2383</v>
      </c>
      <c r="M234" s="1" t="s">
        <v>2384</v>
      </c>
      <c r="O234" s="1">
        <v>1</v>
      </c>
      <c r="Q234" s="1">
        <v>1993</v>
      </c>
      <c r="R234" s="1" t="s">
        <v>2341</v>
      </c>
      <c r="S234" s="1" t="s">
        <v>27</v>
      </c>
      <c r="T234" s="38">
        <v>1</v>
      </c>
      <c r="Z234" s="1">
        <v>76</v>
      </c>
      <c r="AA234" s="1">
        <v>6.25</v>
      </c>
      <c r="AC234" s="1">
        <v>18.399999999999999</v>
      </c>
      <c r="AH234" s="1">
        <v>1.7</v>
      </c>
      <c r="AV234" s="1">
        <v>1.3</v>
      </c>
      <c r="AY234" s="1">
        <v>11.2</v>
      </c>
      <c r="BB234" s="1">
        <v>36.4</v>
      </c>
      <c r="BD234" s="1">
        <v>0.1003</v>
      </c>
      <c r="BF234" s="1">
        <v>0.8</v>
      </c>
      <c r="BG234" s="1">
        <v>6.8</v>
      </c>
      <c r="BJ234" s="1">
        <v>30.2</v>
      </c>
      <c r="BK234" s="1">
        <v>3.4799999999999998E-2</v>
      </c>
      <c r="BP234" s="1">
        <v>187</v>
      </c>
      <c r="BW234" s="1">
        <v>1.7</v>
      </c>
      <c r="DU234" s="1">
        <v>1288</v>
      </c>
      <c r="DV234" s="1">
        <v>920</v>
      </c>
      <c r="DX234" s="1">
        <v>1472</v>
      </c>
      <c r="EA234" s="1">
        <v>2576</v>
      </c>
      <c r="EB234" s="1">
        <v>533.6</v>
      </c>
      <c r="EC234" s="1">
        <v>717.6</v>
      </c>
      <c r="EF234" s="1">
        <v>883.2</v>
      </c>
      <c r="EG234" s="1">
        <v>1306.4000000000001</v>
      </c>
      <c r="EH234" s="1">
        <v>1913.6</v>
      </c>
      <c r="EI234" s="1">
        <v>533.6</v>
      </c>
      <c r="EK234" s="1">
        <v>846.4</v>
      </c>
      <c r="EL234" s="1">
        <v>1067.2</v>
      </c>
      <c r="EM234" s="1">
        <v>772.8</v>
      </c>
      <c r="EO234" s="1">
        <v>772.8</v>
      </c>
      <c r="EQ234" s="1">
        <v>717.6</v>
      </c>
      <c r="ER234" s="1">
        <v>1048.8</v>
      </c>
    </row>
    <row r="235" spans="1:148" x14ac:dyDescent="0.2">
      <c r="A235" s="1" t="s">
        <v>2385</v>
      </c>
      <c r="B235" s="1" t="s">
        <v>55</v>
      </c>
      <c r="C235" s="1" t="s">
        <v>2335</v>
      </c>
      <c r="E235" s="1">
        <v>37</v>
      </c>
      <c r="F235" s="1" t="s">
        <v>2022</v>
      </c>
      <c r="H235" s="1" t="s">
        <v>2386</v>
      </c>
      <c r="I235" s="1" t="s">
        <v>7</v>
      </c>
      <c r="J235" s="1" t="s">
        <v>2025</v>
      </c>
      <c r="K235" s="1" t="s">
        <v>2026</v>
      </c>
      <c r="L235" s="1" t="s">
        <v>2025</v>
      </c>
      <c r="M235" s="1" t="s">
        <v>2387</v>
      </c>
      <c r="O235" s="1">
        <v>1</v>
      </c>
      <c r="Q235" s="1">
        <v>1993</v>
      </c>
      <c r="R235" s="1" t="s">
        <v>2341</v>
      </c>
      <c r="S235" s="1" t="s">
        <v>27</v>
      </c>
      <c r="T235" s="38">
        <v>1</v>
      </c>
      <c r="Z235" s="1">
        <v>76.5</v>
      </c>
      <c r="AA235" s="1">
        <v>6.25</v>
      </c>
      <c r="AC235" s="1">
        <v>19.5</v>
      </c>
      <c r="AH235" s="1">
        <v>1.7</v>
      </c>
      <c r="AV235" s="1">
        <v>1.3</v>
      </c>
      <c r="AY235" s="1">
        <v>21.6</v>
      </c>
      <c r="BB235" s="1">
        <v>19.2</v>
      </c>
      <c r="BD235" s="1">
        <v>4.3900000000000002E-2</v>
      </c>
      <c r="BF235" s="1">
        <v>0.5</v>
      </c>
      <c r="BG235" s="1">
        <v>20.8</v>
      </c>
      <c r="BJ235" s="1">
        <v>31.5</v>
      </c>
      <c r="BK235" s="1">
        <v>1.0999999999999999E-2</v>
      </c>
      <c r="BP235" s="1">
        <v>173</v>
      </c>
      <c r="BW235" s="1">
        <v>1.5</v>
      </c>
      <c r="DU235" s="1">
        <v>1345.5</v>
      </c>
      <c r="DV235" s="1">
        <v>1150.5</v>
      </c>
      <c r="DX235" s="1">
        <v>1716</v>
      </c>
      <c r="EA235" s="1">
        <v>3139.5</v>
      </c>
      <c r="EB235" s="1">
        <v>604.5</v>
      </c>
      <c r="EC235" s="1">
        <v>604.5</v>
      </c>
      <c r="EF235" s="1">
        <v>916.5</v>
      </c>
      <c r="EG235" s="1">
        <v>1482</v>
      </c>
      <c r="EH235" s="1">
        <v>2106</v>
      </c>
      <c r="EI235" s="1">
        <v>604.5</v>
      </c>
      <c r="EK235" s="1">
        <v>975</v>
      </c>
      <c r="EL235" s="1">
        <v>1053</v>
      </c>
      <c r="EM235" s="1">
        <v>799.5</v>
      </c>
      <c r="EO235" s="1">
        <v>780</v>
      </c>
      <c r="EQ235" s="1">
        <v>799.5</v>
      </c>
      <c r="ER235" s="1">
        <v>975</v>
      </c>
    </row>
    <row r="236" spans="1:148" x14ac:dyDescent="0.2">
      <c r="A236" s="1" t="s">
        <v>2388</v>
      </c>
      <c r="B236" s="1" t="s">
        <v>55</v>
      </c>
      <c r="C236" s="1" t="s">
        <v>2335</v>
      </c>
      <c r="E236" s="1">
        <v>37</v>
      </c>
      <c r="F236" s="1" t="s">
        <v>2389</v>
      </c>
      <c r="H236" s="1" t="s">
        <v>2390</v>
      </c>
      <c r="I236" s="1" t="s">
        <v>7</v>
      </c>
      <c r="J236" s="1" t="s">
        <v>2391</v>
      </c>
      <c r="K236" s="1" t="s">
        <v>2392</v>
      </c>
      <c r="L236" s="1" t="s">
        <v>2393</v>
      </c>
      <c r="M236" s="1" t="s">
        <v>2384</v>
      </c>
      <c r="O236" s="1">
        <v>1</v>
      </c>
      <c r="Q236" s="1">
        <v>1993</v>
      </c>
      <c r="R236" s="1" t="s">
        <v>2341</v>
      </c>
      <c r="S236" s="1" t="s">
        <v>27</v>
      </c>
      <c r="T236" s="38">
        <v>1</v>
      </c>
      <c r="Z236" s="1">
        <v>75.3</v>
      </c>
      <c r="AA236" s="1">
        <v>6.25</v>
      </c>
      <c r="AC236" s="1">
        <v>19.8</v>
      </c>
      <c r="AH236" s="1">
        <v>1.4</v>
      </c>
      <c r="AV236" s="1">
        <v>1.5</v>
      </c>
      <c r="AY236" s="1">
        <v>8.9</v>
      </c>
      <c r="BB236" s="1">
        <v>48.8</v>
      </c>
      <c r="BD236" s="1">
        <v>7.8E-2</v>
      </c>
      <c r="BF236" s="1">
        <v>1.8</v>
      </c>
      <c r="BG236" s="1">
        <v>27.3</v>
      </c>
      <c r="BJ236" s="1">
        <v>42.7</v>
      </c>
      <c r="BK236" s="1">
        <v>3.2500000000000001E-2</v>
      </c>
      <c r="BP236" s="1">
        <v>234</v>
      </c>
      <c r="BW236" s="1">
        <v>2.5</v>
      </c>
      <c r="DU236" s="1">
        <v>1148.4000000000001</v>
      </c>
      <c r="DV236" s="1">
        <v>1188</v>
      </c>
      <c r="DX236" s="1">
        <v>1742.4</v>
      </c>
      <c r="EA236" s="1">
        <v>2593.8000000000002</v>
      </c>
      <c r="EB236" s="1">
        <v>574.20000000000005</v>
      </c>
      <c r="EC236" s="1">
        <v>574.20000000000005</v>
      </c>
      <c r="EF236" s="1">
        <v>772.2</v>
      </c>
      <c r="EG236" s="1">
        <v>1603.8</v>
      </c>
      <c r="EH236" s="1">
        <v>1801.8</v>
      </c>
      <c r="EI236" s="1">
        <v>712.8</v>
      </c>
      <c r="EK236" s="1">
        <v>1009.8</v>
      </c>
      <c r="EL236" s="1">
        <v>752.4</v>
      </c>
      <c r="EM236" s="1">
        <v>772.2</v>
      </c>
      <c r="EO236" s="1">
        <v>772.2</v>
      </c>
      <c r="EQ236" s="1">
        <v>831.6</v>
      </c>
      <c r="ER236" s="1">
        <v>1207.8</v>
      </c>
    </row>
    <row r="237" spans="1:148" x14ac:dyDescent="0.2">
      <c r="A237" s="1" t="s">
        <v>2394</v>
      </c>
      <c r="B237" s="1" t="s">
        <v>55</v>
      </c>
      <c r="C237" s="1" t="s">
        <v>2335</v>
      </c>
      <c r="E237" s="1">
        <v>33</v>
      </c>
      <c r="F237" s="1" t="s">
        <v>2395</v>
      </c>
      <c r="H237" s="1" t="s">
        <v>2396</v>
      </c>
      <c r="I237" s="1" t="s">
        <v>7</v>
      </c>
      <c r="J237" s="1" t="s">
        <v>2397</v>
      </c>
      <c r="K237" s="1" t="s">
        <v>2398</v>
      </c>
      <c r="L237" s="1" t="s">
        <v>2397</v>
      </c>
      <c r="M237" s="1" t="s">
        <v>2399</v>
      </c>
      <c r="O237" s="1">
        <v>1</v>
      </c>
      <c r="Q237" s="1">
        <v>1993</v>
      </c>
      <c r="R237" s="1" t="s">
        <v>2341</v>
      </c>
      <c r="S237" s="1" t="s">
        <v>27</v>
      </c>
      <c r="T237" s="38">
        <v>1</v>
      </c>
      <c r="Z237" s="1">
        <v>79.5</v>
      </c>
      <c r="AA237" s="1">
        <v>6.25</v>
      </c>
      <c r="AC237" s="1">
        <v>15.3</v>
      </c>
      <c r="AH237" s="1">
        <v>1.3</v>
      </c>
      <c r="AV237" s="1">
        <v>1.5</v>
      </c>
      <c r="AY237" s="1">
        <v>15</v>
      </c>
      <c r="BB237" s="1">
        <v>58.5</v>
      </c>
      <c r="BD237" s="1">
        <v>9.9500000000000005E-2</v>
      </c>
      <c r="BF237" s="1">
        <v>1.7</v>
      </c>
      <c r="BG237" s="1">
        <v>22.9</v>
      </c>
      <c r="BJ237" s="1">
        <v>43.6</v>
      </c>
      <c r="BK237" s="1">
        <v>7.8E-2</v>
      </c>
      <c r="BP237" s="1">
        <v>228</v>
      </c>
      <c r="BW237" s="1">
        <v>1.8</v>
      </c>
      <c r="DU237" s="1">
        <v>948.6</v>
      </c>
      <c r="DV237" s="1">
        <v>902.7</v>
      </c>
      <c r="DX237" s="1">
        <v>1377</v>
      </c>
      <c r="EA237" s="1">
        <v>2157.3000000000002</v>
      </c>
      <c r="EB237" s="1">
        <v>459</v>
      </c>
      <c r="EC237" s="1">
        <v>612</v>
      </c>
      <c r="EF237" s="1">
        <v>612</v>
      </c>
      <c r="EG237" s="1">
        <v>1224</v>
      </c>
      <c r="EH237" s="1">
        <v>1361.7</v>
      </c>
      <c r="EI237" s="1">
        <v>566.1</v>
      </c>
      <c r="EK237" s="1">
        <v>734.4</v>
      </c>
      <c r="EL237" s="1">
        <v>627.29999999999995</v>
      </c>
      <c r="EM237" s="1">
        <v>627.29999999999995</v>
      </c>
      <c r="EO237" s="1">
        <v>612</v>
      </c>
      <c r="EQ237" s="1">
        <v>596.70000000000005</v>
      </c>
      <c r="ER237" s="1">
        <v>887.4</v>
      </c>
    </row>
    <row r="238" spans="1:148" x14ac:dyDescent="0.2">
      <c r="A238" s="1" t="s">
        <v>2400</v>
      </c>
      <c r="B238" s="1" t="s">
        <v>55</v>
      </c>
      <c r="C238" s="1" t="s">
        <v>2335</v>
      </c>
      <c r="E238" s="1">
        <v>35</v>
      </c>
      <c r="F238" s="1" t="s">
        <v>2028</v>
      </c>
      <c r="H238" s="1" t="s">
        <v>2401</v>
      </c>
      <c r="I238" s="1" t="s">
        <v>7</v>
      </c>
      <c r="J238" s="1" t="s">
        <v>2033</v>
      </c>
      <c r="K238" s="1" t="s">
        <v>2032</v>
      </c>
      <c r="L238" s="1" t="s">
        <v>2033</v>
      </c>
      <c r="M238" s="1" t="s">
        <v>2402</v>
      </c>
      <c r="O238" s="1">
        <v>1</v>
      </c>
      <c r="Q238" s="1">
        <v>1993</v>
      </c>
      <c r="R238" s="1" t="s">
        <v>2341</v>
      </c>
      <c r="S238" s="1" t="s">
        <v>27</v>
      </c>
      <c r="T238" s="38">
        <v>1</v>
      </c>
      <c r="Z238" s="1">
        <v>77.599999999999994</v>
      </c>
      <c r="AA238" s="1">
        <v>6.25</v>
      </c>
      <c r="AC238" s="1">
        <v>17.100000000000001</v>
      </c>
      <c r="AH238" s="1">
        <v>1.2</v>
      </c>
      <c r="AV238" s="1">
        <v>1.6</v>
      </c>
      <c r="AY238" s="1">
        <v>51.4</v>
      </c>
      <c r="BB238" s="1">
        <v>40.4</v>
      </c>
      <c r="BD238" s="1">
        <v>0.10100000000000001</v>
      </c>
      <c r="BF238" s="1">
        <v>1.1000000000000001</v>
      </c>
      <c r="BG238" s="1">
        <v>38.5</v>
      </c>
      <c r="BJ238" s="1">
        <v>50.6</v>
      </c>
      <c r="BK238" s="1">
        <v>0.06</v>
      </c>
      <c r="BP238" s="1">
        <v>251</v>
      </c>
      <c r="BW238" s="1">
        <v>1.6</v>
      </c>
      <c r="DU238" s="1">
        <v>1231.2</v>
      </c>
      <c r="DV238" s="1">
        <v>837.9</v>
      </c>
      <c r="DX238" s="1">
        <v>1710</v>
      </c>
      <c r="EA238" s="1">
        <v>2736</v>
      </c>
      <c r="EB238" s="1">
        <v>615.6</v>
      </c>
      <c r="EC238" s="1">
        <v>666.9</v>
      </c>
      <c r="EF238" s="1">
        <v>701.1</v>
      </c>
      <c r="EG238" s="1">
        <v>1350.9</v>
      </c>
      <c r="EH238" s="1">
        <v>1710</v>
      </c>
      <c r="EI238" s="1">
        <v>478.8</v>
      </c>
      <c r="EK238" s="1">
        <v>855</v>
      </c>
      <c r="EL238" s="1">
        <v>666.9</v>
      </c>
      <c r="EM238" s="1">
        <v>666.9</v>
      </c>
      <c r="EO238" s="1">
        <v>855</v>
      </c>
      <c r="EQ238" s="1">
        <v>530.1</v>
      </c>
      <c r="ER238" s="1">
        <v>1008.9</v>
      </c>
    </row>
    <row r="239" spans="1:148" x14ac:dyDescent="0.2">
      <c r="A239" s="1" t="s">
        <v>2403</v>
      </c>
      <c r="B239" s="1" t="s">
        <v>55</v>
      </c>
      <c r="C239" s="1" t="s">
        <v>2335</v>
      </c>
      <c r="E239" s="1">
        <v>33</v>
      </c>
      <c r="F239" s="1" t="s">
        <v>2404</v>
      </c>
      <c r="H239" s="1" t="s">
        <v>2405</v>
      </c>
      <c r="I239" s="1" t="s">
        <v>7</v>
      </c>
      <c r="J239" s="1" t="s">
        <v>2406</v>
      </c>
      <c r="K239" s="1" t="s">
        <v>2407</v>
      </c>
      <c r="L239" s="1" t="s">
        <v>2408</v>
      </c>
      <c r="M239" s="1" t="s">
        <v>2409</v>
      </c>
      <c r="O239" s="1">
        <v>1</v>
      </c>
      <c r="Q239" s="1">
        <v>1993</v>
      </c>
      <c r="R239" s="1" t="s">
        <v>2341</v>
      </c>
      <c r="S239" s="1" t="s">
        <v>27</v>
      </c>
      <c r="T239" s="38">
        <v>1</v>
      </c>
      <c r="Z239" s="1">
        <v>77.099999999999994</v>
      </c>
      <c r="AA239" s="1">
        <v>6.25</v>
      </c>
      <c r="AC239" s="1">
        <v>18.100000000000001</v>
      </c>
      <c r="AH239" s="1">
        <v>1.2</v>
      </c>
      <c r="AV239" s="1">
        <v>1.3</v>
      </c>
      <c r="AY239" s="1">
        <v>4.7</v>
      </c>
      <c r="BB239" s="1">
        <v>36.5</v>
      </c>
      <c r="BD239" s="1">
        <v>7.6499999999999999E-2</v>
      </c>
      <c r="BF239" s="1">
        <v>0.8</v>
      </c>
      <c r="BG239" s="1">
        <v>15.4</v>
      </c>
      <c r="BJ239" s="1">
        <v>48.3</v>
      </c>
      <c r="BK239" s="1">
        <v>2.7799999999999998E-2</v>
      </c>
      <c r="BP239" s="1">
        <v>208</v>
      </c>
      <c r="BW239" s="1">
        <v>1.5</v>
      </c>
      <c r="DU239" s="1">
        <v>1212.7</v>
      </c>
      <c r="DV239" s="1">
        <v>923.1</v>
      </c>
      <c r="DX239" s="1">
        <v>1701.4</v>
      </c>
      <c r="EA239" s="1">
        <v>2425.4</v>
      </c>
      <c r="EB239" s="1">
        <v>669.7</v>
      </c>
      <c r="EC239" s="1">
        <v>524.9</v>
      </c>
      <c r="EF239" s="1">
        <v>832.6</v>
      </c>
      <c r="EG239" s="1">
        <v>1267</v>
      </c>
      <c r="EH239" s="1">
        <v>1610.9</v>
      </c>
      <c r="EI239" s="1">
        <v>524.9</v>
      </c>
      <c r="EK239" s="1">
        <v>886.9</v>
      </c>
      <c r="EL239" s="1">
        <v>832.6</v>
      </c>
      <c r="EM239" s="1">
        <v>724</v>
      </c>
      <c r="EO239" s="1">
        <v>886.9</v>
      </c>
      <c r="EQ239" s="1">
        <v>651.6</v>
      </c>
      <c r="ER239" s="1">
        <v>905</v>
      </c>
    </row>
    <row r="240" spans="1:148" x14ac:dyDescent="0.2">
      <c r="A240" s="1" t="s">
        <v>2410</v>
      </c>
      <c r="B240" s="1" t="s">
        <v>55</v>
      </c>
      <c r="C240" s="1" t="s">
        <v>2335</v>
      </c>
      <c r="E240" s="1">
        <v>33</v>
      </c>
      <c r="F240" s="1" t="s">
        <v>2411</v>
      </c>
      <c r="H240" s="1" t="s">
        <v>2412</v>
      </c>
      <c r="I240" s="1" t="s">
        <v>7</v>
      </c>
      <c r="J240" s="1" t="s">
        <v>2413</v>
      </c>
      <c r="K240" s="1" t="s">
        <v>2414</v>
      </c>
      <c r="L240" s="1" t="s">
        <v>2415</v>
      </c>
      <c r="M240" s="1" t="s">
        <v>2416</v>
      </c>
      <c r="O240" s="1">
        <v>1</v>
      </c>
      <c r="Q240" s="1">
        <v>1993</v>
      </c>
      <c r="R240" s="1" t="s">
        <v>2341</v>
      </c>
      <c r="S240" s="1" t="s">
        <v>27</v>
      </c>
      <c r="T240" s="38">
        <v>1</v>
      </c>
      <c r="Z240" s="1">
        <v>89.8</v>
      </c>
      <c r="AA240" s="1">
        <v>6.25</v>
      </c>
      <c r="AC240" s="1">
        <v>8</v>
      </c>
      <c r="AH240" s="1">
        <v>0.8</v>
      </c>
      <c r="AV240" s="1">
        <v>0.9</v>
      </c>
      <c r="AY240" s="1">
        <v>19.8</v>
      </c>
      <c r="BB240" s="1">
        <v>28.9</v>
      </c>
      <c r="BD240" s="1">
        <v>3.85E-2</v>
      </c>
      <c r="BF240" s="1">
        <v>0.7</v>
      </c>
      <c r="BG240" s="1">
        <v>18.7</v>
      </c>
      <c r="BJ240" s="1">
        <v>32.1</v>
      </c>
      <c r="BK240" s="1">
        <v>4.4900000000000002E-2</v>
      </c>
      <c r="BP240" s="1">
        <v>116</v>
      </c>
      <c r="BW240" s="1">
        <v>2.7</v>
      </c>
      <c r="DU240" s="1">
        <v>400</v>
      </c>
      <c r="DV240" s="1">
        <v>472</v>
      </c>
      <c r="DX240" s="1">
        <v>824</v>
      </c>
      <c r="EA240" s="1">
        <v>1128</v>
      </c>
      <c r="EB240" s="1">
        <v>408</v>
      </c>
      <c r="EC240" s="1">
        <v>232</v>
      </c>
      <c r="EF240" s="1">
        <v>408</v>
      </c>
      <c r="EG240" s="1">
        <v>560</v>
      </c>
      <c r="EH240" s="1">
        <v>712</v>
      </c>
      <c r="EI240" s="1">
        <v>248</v>
      </c>
      <c r="EK240" s="1">
        <v>400</v>
      </c>
      <c r="EL240" s="1">
        <v>384</v>
      </c>
      <c r="EM240" s="1">
        <v>232</v>
      </c>
      <c r="EO240" s="1">
        <v>344</v>
      </c>
      <c r="EQ240" s="1">
        <v>328</v>
      </c>
      <c r="ER240" s="1">
        <v>400</v>
      </c>
    </row>
    <row r="241" spans="1:148" x14ac:dyDescent="0.2">
      <c r="A241" s="1" t="s">
        <v>2417</v>
      </c>
      <c r="B241" s="1" t="s">
        <v>55</v>
      </c>
      <c r="C241" s="1" t="s">
        <v>2335</v>
      </c>
      <c r="E241" s="1">
        <v>25</v>
      </c>
      <c r="F241" s="1" t="s">
        <v>2418</v>
      </c>
      <c r="H241" s="1" t="s">
        <v>2419</v>
      </c>
      <c r="I241" s="1" t="s">
        <v>7</v>
      </c>
      <c r="J241" s="1" t="s">
        <v>2420</v>
      </c>
      <c r="K241" s="1" t="s">
        <v>2421</v>
      </c>
      <c r="L241" s="1" t="s">
        <v>2420</v>
      </c>
      <c r="M241" s="1" t="s">
        <v>2422</v>
      </c>
      <c r="O241" s="1">
        <v>1</v>
      </c>
      <c r="Q241" s="1">
        <v>1993</v>
      </c>
      <c r="R241" s="1" t="s">
        <v>2341</v>
      </c>
      <c r="S241" s="1" t="s">
        <v>27</v>
      </c>
      <c r="T241" s="38">
        <v>1</v>
      </c>
      <c r="Z241" s="1" t="s">
        <v>2423</v>
      </c>
      <c r="AA241" s="1">
        <v>6.25</v>
      </c>
      <c r="AC241" s="1" t="s">
        <v>2424</v>
      </c>
      <c r="AH241" s="1" t="s">
        <v>2425</v>
      </c>
      <c r="AV241" s="1" t="s">
        <v>1567</v>
      </c>
      <c r="AY241" s="1">
        <v>8.8000000000000007</v>
      </c>
      <c r="BB241" s="1">
        <v>26.6</v>
      </c>
      <c r="BD241" s="1">
        <v>6.3700000000000007E-2</v>
      </c>
      <c r="BF241" s="1">
        <v>0.7</v>
      </c>
      <c r="BG241" s="1">
        <v>36.9</v>
      </c>
      <c r="BJ241" s="1">
        <v>39</v>
      </c>
      <c r="BK241" s="1">
        <v>2.8299999999999999E-2</v>
      </c>
      <c r="BP241" s="1">
        <v>214</v>
      </c>
      <c r="BW241" s="1">
        <v>1.1000000000000001</v>
      </c>
      <c r="DU241" s="1">
        <v>1024</v>
      </c>
      <c r="DV241" s="1">
        <v>816</v>
      </c>
      <c r="DX241" s="1">
        <v>1440</v>
      </c>
      <c r="EA241" s="1">
        <v>2560</v>
      </c>
      <c r="EB241" s="1">
        <v>480</v>
      </c>
      <c r="EC241" s="1">
        <v>624</v>
      </c>
      <c r="EF241" s="1">
        <v>832</v>
      </c>
      <c r="EG241" s="1">
        <v>1216</v>
      </c>
      <c r="EH241" s="1">
        <v>1408</v>
      </c>
      <c r="EI241" s="1">
        <v>496</v>
      </c>
      <c r="EK241" s="1">
        <v>784</v>
      </c>
      <c r="EL241" s="1">
        <v>480</v>
      </c>
      <c r="EM241" s="1">
        <v>464</v>
      </c>
      <c r="EO241" s="1">
        <v>656</v>
      </c>
      <c r="EQ241" s="1">
        <v>624</v>
      </c>
      <c r="ER241" s="1">
        <v>816</v>
      </c>
    </row>
    <row r="242" spans="1:148" x14ac:dyDescent="0.2">
      <c r="A242" s="1" t="s">
        <v>2426</v>
      </c>
      <c r="B242" s="1" t="s">
        <v>55</v>
      </c>
      <c r="C242" s="1" t="s">
        <v>2335</v>
      </c>
      <c r="E242" s="1">
        <v>38</v>
      </c>
      <c r="F242" s="1" t="s">
        <v>2427</v>
      </c>
      <c r="H242" s="1" t="s">
        <v>2428</v>
      </c>
      <c r="I242" s="1" t="s">
        <v>7</v>
      </c>
      <c r="J242" s="1" t="s">
        <v>2429</v>
      </c>
      <c r="K242" s="1" t="s">
        <v>2430</v>
      </c>
      <c r="L242" s="1" t="s">
        <v>2431</v>
      </c>
      <c r="M242" s="1" t="s">
        <v>2432</v>
      </c>
      <c r="O242" s="1">
        <v>1</v>
      </c>
      <c r="Q242" s="1">
        <v>1993</v>
      </c>
      <c r="R242" s="1" t="s">
        <v>2341</v>
      </c>
      <c r="S242" s="1" t="s">
        <v>27</v>
      </c>
      <c r="T242" s="38">
        <v>1</v>
      </c>
      <c r="Z242" s="1">
        <v>79.5</v>
      </c>
      <c r="AA242" s="1">
        <v>6.25</v>
      </c>
      <c r="AC242" s="1">
        <v>16.7</v>
      </c>
      <c r="AH242" s="1">
        <v>0.8</v>
      </c>
      <c r="AV242" s="1">
        <v>1.6</v>
      </c>
      <c r="AY242" s="1">
        <v>19.3</v>
      </c>
      <c r="BB242" s="1">
        <v>37.6</v>
      </c>
      <c r="BD242" s="1">
        <v>5.7799999999999997E-2</v>
      </c>
      <c r="BF242" s="1">
        <v>0.9</v>
      </c>
      <c r="BG242" s="1">
        <v>32.6</v>
      </c>
      <c r="BJ242" s="1">
        <v>29</v>
      </c>
      <c r="BK242" s="1">
        <v>3.85E-2</v>
      </c>
      <c r="BP242" s="1">
        <v>204</v>
      </c>
      <c r="BW242" s="1">
        <v>1.5</v>
      </c>
      <c r="DU242" s="1">
        <v>835</v>
      </c>
      <c r="DV242" s="1">
        <v>901.8</v>
      </c>
      <c r="DX242" s="1">
        <v>1402.8</v>
      </c>
      <c r="EA242" s="1">
        <v>2321.3000000000002</v>
      </c>
      <c r="EB242" s="1">
        <v>651.29999999999995</v>
      </c>
      <c r="EC242" s="1">
        <v>651.29999999999995</v>
      </c>
      <c r="EF242" s="1">
        <v>851.7</v>
      </c>
      <c r="EG242" s="1">
        <v>1185.7</v>
      </c>
      <c r="EH242" s="1">
        <v>1553.1</v>
      </c>
      <c r="EI242" s="1">
        <v>684.7</v>
      </c>
      <c r="EK242" s="1">
        <v>668</v>
      </c>
      <c r="EL242" s="1">
        <v>601.20000000000005</v>
      </c>
      <c r="EM242" s="1">
        <v>400.8</v>
      </c>
      <c r="EO242" s="1">
        <v>651.29999999999995</v>
      </c>
      <c r="EQ242" s="1">
        <v>517.70000000000005</v>
      </c>
      <c r="ER242" s="1">
        <v>835</v>
      </c>
    </row>
    <row r="243" spans="1:148" x14ac:dyDescent="0.2">
      <c r="A243" s="1" t="s">
        <v>2433</v>
      </c>
      <c r="B243" s="1" t="s">
        <v>55</v>
      </c>
      <c r="C243" s="1" t="s">
        <v>2335</v>
      </c>
      <c r="E243" s="1">
        <v>33</v>
      </c>
      <c r="F243" s="1" t="s">
        <v>2434</v>
      </c>
      <c r="H243" s="1" t="s">
        <v>2435</v>
      </c>
      <c r="I243" s="1" t="s">
        <v>7</v>
      </c>
      <c r="J243" s="1" t="s">
        <v>2436</v>
      </c>
      <c r="L243" s="1" t="s">
        <v>2437</v>
      </c>
      <c r="M243" s="1" t="s">
        <v>2438</v>
      </c>
      <c r="O243" s="1">
        <v>1</v>
      </c>
      <c r="Q243" s="1">
        <v>1993</v>
      </c>
      <c r="R243" s="1" t="s">
        <v>2341</v>
      </c>
      <c r="S243" s="1" t="s">
        <v>27</v>
      </c>
      <c r="T243" s="38">
        <v>1</v>
      </c>
      <c r="Z243" s="1">
        <v>75.5</v>
      </c>
      <c r="AA243" s="1">
        <v>6.25</v>
      </c>
      <c r="AC243" s="1">
        <v>21</v>
      </c>
      <c r="AH243" s="1">
        <v>1.4</v>
      </c>
      <c r="AV243" s="1">
        <v>2</v>
      </c>
      <c r="AY243" s="1">
        <v>6.2</v>
      </c>
      <c r="BB243" s="1">
        <v>62</v>
      </c>
      <c r="BD243" s="1">
        <v>5.5399999999999998E-2</v>
      </c>
      <c r="BF243" s="1">
        <v>1.4</v>
      </c>
      <c r="BG243" s="1">
        <v>26.9</v>
      </c>
      <c r="BJ243" s="1">
        <v>44.1</v>
      </c>
      <c r="BK243" s="1">
        <v>2.7699999999999999E-2</v>
      </c>
      <c r="BP243" s="1">
        <v>176</v>
      </c>
      <c r="BW243" s="1">
        <v>1.7</v>
      </c>
      <c r="DU243" s="1">
        <v>1176</v>
      </c>
      <c r="DV243" s="1">
        <v>1071</v>
      </c>
      <c r="DX243" s="1">
        <v>1554</v>
      </c>
      <c r="EA243" s="1">
        <v>3129</v>
      </c>
      <c r="EB243" s="1">
        <v>651</v>
      </c>
      <c r="EC243" s="1">
        <v>483</v>
      </c>
      <c r="EF243" s="1">
        <v>840</v>
      </c>
      <c r="EG243" s="1">
        <v>1491</v>
      </c>
      <c r="EH243" s="1">
        <v>1680</v>
      </c>
      <c r="EI243" s="1">
        <v>630</v>
      </c>
      <c r="EK243" s="1">
        <v>1029</v>
      </c>
      <c r="EL243" s="1">
        <v>798</v>
      </c>
      <c r="EM243" s="1">
        <v>651</v>
      </c>
      <c r="EO243" s="1">
        <v>1071</v>
      </c>
      <c r="EQ243" s="1">
        <v>714</v>
      </c>
      <c r="ER243" s="1">
        <v>1029</v>
      </c>
    </row>
    <row r="244" spans="1:148" x14ac:dyDescent="0.2">
      <c r="A244" s="1" t="s">
        <v>2439</v>
      </c>
      <c r="B244" s="1" t="s">
        <v>55</v>
      </c>
      <c r="C244" s="1" t="s">
        <v>2335</v>
      </c>
      <c r="E244" s="1">
        <v>13</v>
      </c>
      <c r="F244" s="1" t="s">
        <v>2440</v>
      </c>
      <c r="H244" s="1" t="s">
        <v>2441</v>
      </c>
      <c r="I244" s="1" t="s">
        <v>7</v>
      </c>
      <c r="J244" s="1" t="s">
        <v>2442</v>
      </c>
      <c r="K244" s="1" t="s">
        <v>2443</v>
      </c>
      <c r="L244" s="1" t="s">
        <v>2444</v>
      </c>
      <c r="M244" s="1" t="s">
        <v>2445</v>
      </c>
      <c r="O244" s="1">
        <v>1</v>
      </c>
      <c r="Q244" s="1">
        <v>1993</v>
      </c>
      <c r="R244" s="1" t="s">
        <v>2341</v>
      </c>
      <c r="S244" s="1" t="s">
        <v>27</v>
      </c>
      <c r="T244" s="38">
        <v>1</v>
      </c>
      <c r="Z244" s="1">
        <v>77.900000000000006</v>
      </c>
      <c r="AA244" s="1">
        <v>6.25</v>
      </c>
      <c r="AC244" s="1">
        <v>17.3</v>
      </c>
      <c r="AH244" s="1">
        <v>1.3</v>
      </c>
      <c r="AV244" s="1">
        <v>1.3</v>
      </c>
      <c r="AY244" s="1">
        <v>10.1</v>
      </c>
      <c r="BB244" s="1">
        <v>49.6</v>
      </c>
      <c r="BD244" s="1">
        <v>7.5399999999999995E-2</v>
      </c>
      <c r="BF244" s="1">
        <v>0.6</v>
      </c>
      <c r="BG244" s="1">
        <v>9.6</v>
      </c>
      <c r="BJ244" s="1">
        <v>54.3</v>
      </c>
      <c r="BK244" s="1">
        <v>2.3699999999999999E-2</v>
      </c>
      <c r="BP244" s="1">
        <v>205</v>
      </c>
      <c r="BW244" s="1">
        <v>1.5</v>
      </c>
      <c r="DU244" s="1">
        <v>1124.5</v>
      </c>
      <c r="DV244" s="1">
        <v>899.6</v>
      </c>
      <c r="DX244" s="1">
        <v>1453.2</v>
      </c>
      <c r="EA244" s="1">
        <v>2283.6</v>
      </c>
      <c r="EB244" s="1">
        <v>484.4</v>
      </c>
      <c r="EC244" s="1">
        <v>536.29999999999995</v>
      </c>
      <c r="EF244" s="1">
        <v>657.4</v>
      </c>
      <c r="EG244" s="1">
        <v>1176.4000000000001</v>
      </c>
      <c r="EH244" s="1">
        <v>1384</v>
      </c>
      <c r="EI244" s="1">
        <v>328.7</v>
      </c>
      <c r="EK244" s="1">
        <v>761.2</v>
      </c>
      <c r="EL244" s="1">
        <v>692</v>
      </c>
      <c r="EM244" s="1">
        <v>657.4</v>
      </c>
      <c r="EO244" s="1">
        <v>674.7</v>
      </c>
      <c r="EQ244" s="1">
        <v>692</v>
      </c>
      <c r="ER244" s="1">
        <v>761.2</v>
      </c>
    </row>
    <row r="245" spans="1:148" x14ac:dyDescent="0.2">
      <c r="A245" s="1" t="s">
        <v>2446</v>
      </c>
      <c r="B245" s="1" t="s">
        <v>55</v>
      </c>
      <c r="C245" s="1" t="s">
        <v>2335</v>
      </c>
      <c r="E245" s="1">
        <v>11</v>
      </c>
      <c r="F245" s="1" t="s">
        <v>2123</v>
      </c>
      <c r="H245" s="1" t="s">
        <v>2447</v>
      </c>
      <c r="I245" s="1" t="s">
        <v>7</v>
      </c>
      <c r="J245" s="1" t="s">
        <v>2164</v>
      </c>
      <c r="K245" s="1" t="s">
        <v>2127</v>
      </c>
      <c r="L245" s="1" t="s">
        <v>2164</v>
      </c>
      <c r="M245" s="1" t="s">
        <v>2448</v>
      </c>
      <c r="O245" s="1">
        <v>1</v>
      </c>
      <c r="Q245" s="1">
        <v>1993</v>
      </c>
      <c r="R245" s="1" t="s">
        <v>2341</v>
      </c>
      <c r="S245" s="1" t="s">
        <v>27</v>
      </c>
      <c r="T245" s="38">
        <v>1</v>
      </c>
      <c r="Z245" s="1">
        <v>82.8</v>
      </c>
      <c r="AA245" s="1">
        <v>6.25</v>
      </c>
      <c r="AC245" s="1">
        <v>13.5</v>
      </c>
      <c r="AH245" s="1">
        <v>0.6</v>
      </c>
      <c r="AV245" s="1">
        <v>1</v>
      </c>
      <c r="AY245" s="1">
        <v>12.9</v>
      </c>
      <c r="BB245" s="1">
        <v>50.3</v>
      </c>
      <c r="BD245" s="1">
        <v>4.7100000000000003E-2</v>
      </c>
      <c r="BF245" s="1">
        <v>0.7</v>
      </c>
      <c r="BG245" s="1">
        <v>15.5</v>
      </c>
      <c r="BJ245" s="1">
        <v>33.1</v>
      </c>
      <c r="BK245" s="1">
        <v>4.0500000000000001E-2</v>
      </c>
      <c r="BP245" s="1">
        <v>144</v>
      </c>
      <c r="BW245" s="1">
        <v>1.3</v>
      </c>
      <c r="DU245" s="1">
        <v>850.5</v>
      </c>
      <c r="DV245" s="1">
        <v>810</v>
      </c>
      <c r="DX245" s="1">
        <v>1377</v>
      </c>
      <c r="EA245" s="1">
        <v>1917</v>
      </c>
      <c r="EB245" s="1">
        <v>418.5</v>
      </c>
      <c r="EC245" s="1">
        <v>526.5</v>
      </c>
      <c r="EF245" s="1">
        <v>648</v>
      </c>
      <c r="EG245" s="1">
        <v>958.5</v>
      </c>
      <c r="EH245" s="1">
        <v>1350</v>
      </c>
      <c r="EI245" s="1">
        <v>364.5</v>
      </c>
      <c r="EK245" s="1">
        <v>553.5</v>
      </c>
      <c r="EL245" s="1">
        <v>567</v>
      </c>
      <c r="EM245" s="1">
        <v>378</v>
      </c>
      <c r="EO245" s="1">
        <v>648</v>
      </c>
      <c r="EQ245" s="1">
        <v>513</v>
      </c>
      <c r="ER245" s="1">
        <v>661.5</v>
      </c>
    </row>
    <row r="246" spans="1:148" x14ac:dyDescent="0.2">
      <c r="A246" s="1" t="s">
        <v>2449</v>
      </c>
      <c r="B246" s="1" t="s">
        <v>55</v>
      </c>
      <c r="C246" s="1" t="s">
        <v>2335</v>
      </c>
      <c r="E246" s="1">
        <v>11</v>
      </c>
      <c r="F246" s="1" t="s">
        <v>2138</v>
      </c>
      <c r="H246" s="1" t="s">
        <v>2450</v>
      </c>
      <c r="I246" s="1" t="s">
        <v>7</v>
      </c>
      <c r="J246" s="1" t="s">
        <v>2141</v>
      </c>
      <c r="K246" s="1" t="s">
        <v>2142</v>
      </c>
      <c r="L246" s="1" t="s">
        <v>2141</v>
      </c>
      <c r="M246" s="1" t="s">
        <v>2451</v>
      </c>
      <c r="O246" s="1">
        <v>1</v>
      </c>
      <c r="Q246" s="1">
        <v>1993</v>
      </c>
      <c r="R246" s="1" t="s">
        <v>2341</v>
      </c>
      <c r="S246" s="1" t="s">
        <v>27</v>
      </c>
      <c r="T246" s="38">
        <v>1</v>
      </c>
      <c r="Z246" s="1">
        <v>79.7</v>
      </c>
      <c r="AA246" s="1">
        <v>6.25</v>
      </c>
      <c r="AC246" s="1">
        <v>16</v>
      </c>
      <c r="AH246" s="1">
        <v>1</v>
      </c>
      <c r="AV246" s="1">
        <v>1.2</v>
      </c>
      <c r="AY246" s="1">
        <v>20.8</v>
      </c>
      <c r="BB246" s="1">
        <v>34.6</v>
      </c>
      <c r="BD246" s="1">
        <v>5.3800000000000001E-2</v>
      </c>
      <c r="BF246" s="1">
        <v>0.9</v>
      </c>
      <c r="BG246" s="1">
        <v>5</v>
      </c>
      <c r="BJ246" s="1">
        <v>38.299999999999997</v>
      </c>
      <c r="BK246" s="1">
        <v>2.3099999999999999E-2</v>
      </c>
      <c r="BP246" s="1">
        <v>211</v>
      </c>
      <c r="BW246" s="1">
        <v>2</v>
      </c>
      <c r="DU246" s="1">
        <v>976</v>
      </c>
      <c r="DV246" s="1">
        <v>832</v>
      </c>
      <c r="DX246" s="1">
        <v>1536</v>
      </c>
      <c r="EA246" s="1">
        <v>2400</v>
      </c>
      <c r="EB246" s="1">
        <v>608</v>
      </c>
      <c r="EC246" s="1">
        <v>608</v>
      </c>
      <c r="EF246" s="1">
        <v>592</v>
      </c>
      <c r="EG246" s="1">
        <v>1072</v>
      </c>
      <c r="EH246" s="1">
        <v>1344</v>
      </c>
      <c r="EI246" s="1">
        <v>496</v>
      </c>
      <c r="EK246" s="1">
        <v>624</v>
      </c>
      <c r="EL246" s="1">
        <v>656</v>
      </c>
      <c r="EM246" s="1">
        <v>480</v>
      </c>
      <c r="EO246" s="1">
        <v>736</v>
      </c>
      <c r="EQ246" s="1">
        <v>528</v>
      </c>
      <c r="ER246" s="1">
        <v>736</v>
      </c>
    </row>
    <row r="247" spans="1:148" x14ac:dyDescent="0.2">
      <c r="A247" s="1" t="s">
        <v>2452</v>
      </c>
      <c r="B247" s="1" t="s">
        <v>55</v>
      </c>
      <c r="C247" s="1" t="s">
        <v>2453</v>
      </c>
      <c r="E247" s="1">
        <v>13</v>
      </c>
      <c r="F247" s="1" t="s">
        <v>2454</v>
      </c>
      <c r="G247" s="1" t="s">
        <v>2455</v>
      </c>
      <c r="H247" s="1" t="s">
        <v>2456</v>
      </c>
      <c r="I247" s="1" t="s">
        <v>7</v>
      </c>
      <c r="J247" s="1" t="s">
        <v>2457</v>
      </c>
      <c r="K247" s="1" t="s">
        <v>2458</v>
      </c>
      <c r="L247" s="1" t="s">
        <v>2459</v>
      </c>
      <c r="O247" s="1">
        <v>1</v>
      </c>
      <c r="P247" s="1" t="s">
        <v>1269</v>
      </c>
      <c r="Q247" s="1">
        <v>2000</v>
      </c>
      <c r="R247" s="1" t="s">
        <v>2460</v>
      </c>
      <c r="S247" s="1" t="s">
        <v>27</v>
      </c>
      <c r="T247" s="38">
        <v>1</v>
      </c>
      <c r="Z247" s="1">
        <v>70.489999999999995</v>
      </c>
      <c r="AA247" s="1">
        <v>6.25</v>
      </c>
      <c r="AC247" s="1">
        <v>25.53</v>
      </c>
      <c r="AH247" s="1">
        <v>2.5299999999999998</v>
      </c>
      <c r="AK247" s="1">
        <v>1.0289153600000001</v>
      </c>
      <c r="AL247" s="1">
        <v>0.64085460999999999</v>
      </c>
      <c r="AM247" s="1">
        <v>0.54772003000000002</v>
      </c>
      <c r="AV247" s="1">
        <v>1.2</v>
      </c>
      <c r="AY247" s="1">
        <v>19.66</v>
      </c>
      <c r="BF247" s="1">
        <v>0.9</v>
      </c>
      <c r="BJ247" s="1">
        <v>30</v>
      </c>
      <c r="BK247" s="1">
        <v>1.0999999999999999E-2</v>
      </c>
      <c r="BP247" s="1">
        <v>268.3</v>
      </c>
      <c r="DS247" s="1">
        <v>6784</v>
      </c>
      <c r="EC247" s="1">
        <v>822</v>
      </c>
      <c r="EF247" s="1">
        <v>704</v>
      </c>
      <c r="EG247" s="1">
        <v>1124</v>
      </c>
      <c r="EH247" s="1">
        <v>1525</v>
      </c>
      <c r="EI247" s="1">
        <v>297</v>
      </c>
      <c r="EK247" s="1">
        <v>774</v>
      </c>
      <c r="EO247" s="1">
        <v>526</v>
      </c>
      <c r="EQ247" s="1">
        <v>548</v>
      </c>
      <c r="ER247" s="1">
        <v>464</v>
      </c>
    </row>
    <row r="248" spans="1:148" x14ac:dyDescent="0.2">
      <c r="A248" s="1" t="s">
        <v>2461</v>
      </c>
      <c r="B248" s="1" t="s">
        <v>55</v>
      </c>
      <c r="C248" s="1" t="s">
        <v>2453</v>
      </c>
      <c r="E248" s="1">
        <v>13</v>
      </c>
      <c r="F248" s="1" t="s">
        <v>2462</v>
      </c>
      <c r="G248" s="1" t="s">
        <v>2463</v>
      </c>
      <c r="H248" s="1" t="s">
        <v>2464</v>
      </c>
      <c r="I248" s="1" t="s">
        <v>7</v>
      </c>
      <c r="J248" s="1" t="s">
        <v>2465</v>
      </c>
      <c r="K248" s="1" t="s">
        <v>2466</v>
      </c>
      <c r="L248" s="1" t="s">
        <v>2465</v>
      </c>
      <c r="O248" s="1">
        <v>1</v>
      </c>
      <c r="P248" s="1" t="s">
        <v>1269</v>
      </c>
      <c r="Q248" s="1">
        <v>2000</v>
      </c>
      <c r="R248" s="1" t="s">
        <v>2460</v>
      </c>
      <c r="S248" s="1" t="s">
        <v>27</v>
      </c>
      <c r="T248" s="38">
        <v>1</v>
      </c>
      <c r="Z248" s="1">
        <v>72.47</v>
      </c>
      <c r="AA248" s="1">
        <v>6.25</v>
      </c>
      <c r="AC248" s="1">
        <v>22.82</v>
      </c>
      <c r="AH248" s="1">
        <v>2.17</v>
      </c>
      <c r="AL248" s="1">
        <v>1.3246534400000001</v>
      </c>
      <c r="AM248" s="1">
        <v>0.55695656000000004</v>
      </c>
      <c r="AV248" s="1">
        <v>1.73</v>
      </c>
      <c r="AY248" s="1">
        <v>10</v>
      </c>
      <c r="BF248" s="1">
        <v>1.2</v>
      </c>
      <c r="BJ248" s="1">
        <v>33</v>
      </c>
      <c r="BK248" s="1">
        <v>1.7000000000000001E-2</v>
      </c>
      <c r="BP248" s="1">
        <v>159</v>
      </c>
      <c r="DS248" s="1">
        <v>9231</v>
      </c>
      <c r="EC248" s="1">
        <v>1489</v>
      </c>
      <c r="EF248" s="1">
        <v>421</v>
      </c>
      <c r="EG248" s="1">
        <v>1339</v>
      </c>
      <c r="EH248" s="1">
        <v>1916</v>
      </c>
      <c r="EI248" s="1">
        <v>323</v>
      </c>
      <c r="EK248" s="1">
        <v>619</v>
      </c>
      <c r="EO248" s="1">
        <v>2225</v>
      </c>
      <c r="EQ248" s="1">
        <v>460</v>
      </c>
      <c r="ER248" s="1">
        <v>439</v>
      </c>
    </row>
    <row r="249" spans="1:148" x14ac:dyDescent="0.2">
      <c r="A249" s="1" t="s">
        <v>2467</v>
      </c>
      <c r="B249" s="1" t="s">
        <v>55</v>
      </c>
      <c r="C249" s="1" t="s">
        <v>2453</v>
      </c>
      <c r="E249" s="1">
        <v>13</v>
      </c>
      <c r="F249" s="1" t="s">
        <v>2468</v>
      </c>
      <c r="G249" s="1" t="s">
        <v>2469</v>
      </c>
      <c r="H249" s="1" t="s">
        <v>2470</v>
      </c>
      <c r="I249" s="1" t="s">
        <v>7</v>
      </c>
      <c r="J249" s="1" t="s">
        <v>2471</v>
      </c>
      <c r="K249" s="1" t="s">
        <v>2469</v>
      </c>
      <c r="L249" s="1" t="s">
        <v>2471</v>
      </c>
      <c r="O249" s="1">
        <v>1</v>
      </c>
      <c r="P249" s="1" t="s">
        <v>1269</v>
      </c>
      <c r="Q249" s="1">
        <v>2000</v>
      </c>
      <c r="R249" s="1" t="s">
        <v>2460</v>
      </c>
      <c r="S249" s="1" t="s">
        <v>27</v>
      </c>
      <c r="T249" s="38">
        <v>1</v>
      </c>
      <c r="Z249" s="1">
        <v>70.73</v>
      </c>
      <c r="AA249" s="1">
        <v>6.25</v>
      </c>
      <c r="AC249" s="1">
        <v>21.43</v>
      </c>
      <c r="AH249" s="1">
        <v>6.15</v>
      </c>
      <c r="AK249" s="1">
        <v>1.7120546999999999</v>
      </c>
      <c r="AM249" s="1">
        <v>3.8884902499999998</v>
      </c>
      <c r="AV249" s="1">
        <v>1.63</v>
      </c>
      <c r="AY249" s="1">
        <v>15.66</v>
      </c>
      <c r="BF249" s="1">
        <v>1.4</v>
      </c>
      <c r="BJ249" s="1">
        <v>39</v>
      </c>
      <c r="BK249" s="1">
        <v>1.2999999999999999E-2</v>
      </c>
      <c r="BP249" s="1">
        <v>186</v>
      </c>
      <c r="DS249" s="1">
        <v>9100</v>
      </c>
      <c r="EC249" s="1">
        <v>547</v>
      </c>
      <c r="EF249" s="1">
        <v>524</v>
      </c>
      <c r="EG249" s="1">
        <v>1990</v>
      </c>
      <c r="EH249" s="1">
        <v>1660</v>
      </c>
      <c r="EI249" s="1">
        <v>500</v>
      </c>
      <c r="EK249" s="1">
        <v>745</v>
      </c>
      <c r="EO249" s="1">
        <v>925</v>
      </c>
      <c r="EQ249" s="1">
        <v>642</v>
      </c>
      <c r="ER249" s="1">
        <v>567</v>
      </c>
    </row>
    <row r="250" spans="1:148" x14ac:dyDescent="0.2">
      <c r="A250" s="1" t="s">
        <v>2472</v>
      </c>
      <c r="B250" s="1" t="s">
        <v>55</v>
      </c>
      <c r="C250" s="1" t="s">
        <v>2453</v>
      </c>
      <c r="E250" s="1">
        <v>33</v>
      </c>
      <c r="F250" s="1" t="s">
        <v>2473</v>
      </c>
      <c r="G250" s="1" t="s">
        <v>2474</v>
      </c>
      <c r="H250" s="1" t="s">
        <v>2456</v>
      </c>
      <c r="I250" s="1" t="s">
        <v>7</v>
      </c>
      <c r="J250" s="1" t="s">
        <v>2475</v>
      </c>
      <c r="K250" s="1" t="s">
        <v>2476</v>
      </c>
      <c r="L250" s="1" t="s">
        <v>2477</v>
      </c>
      <c r="O250" s="1">
        <v>1</v>
      </c>
      <c r="P250" s="1" t="s">
        <v>1269</v>
      </c>
      <c r="Q250" s="1">
        <v>2000</v>
      </c>
      <c r="R250" s="1" t="s">
        <v>2460</v>
      </c>
      <c r="S250" s="1" t="s">
        <v>27</v>
      </c>
      <c r="T250" s="38">
        <v>1</v>
      </c>
      <c r="Z250" s="1">
        <v>73.89</v>
      </c>
      <c r="AA250" s="1">
        <v>6.25</v>
      </c>
      <c r="AC250" s="1">
        <v>20.48</v>
      </c>
      <c r="AH250" s="1">
        <v>2.73</v>
      </c>
      <c r="AK250" s="1">
        <v>1.1780041000000001</v>
      </c>
      <c r="AM250" s="1">
        <v>1.22127772</v>
      </c>
      <c r="AV250" s="1">
        <v>2.13</v>
      </c>
      <c r="AY250" s="1">
        <v>10.78</v>
      </c>
      <c r="BF250" s="1">
        <v>1.2</v>
      </c>
      <c r="BJ250" s="1">
        <v>24</v>
      </c>
      <c r="BK250" s="1">
        <v>1.0999999999999999E-2</v>
      </c>
      <c r="BP250" s="1">
        <v>315.66000000000003</v>
      </c>
      <c r="DS250" s="1">
        <v>7259</v>
      </c>
      <c r="EC250" s="1">
        <v>1058</v>
      </c>
      <c r="EF250" s="1">
        <v>793</v>
      </c>
      <c r="EG250" s="1">
        <v>1022</v>
      </c>
      <c r="EH250" s="1">
        <v>1992</v>
      </c>
      <c r="EI250" s="1">
        <v>368</v>
      </c>
      <c r="EK250" s="1">
        <v>365</v>
      </c>
      <c r="EO250" s="1">
        <v>1186</v>
      </c>
      <c r="EQ250" s="1">
        <v>591</v>
      </c>
      <c r="ER250" s="1">
        <v>882</v>
      </c>
    </row>
    <row r="251" spans="1:148" x14ac:dyDescent="0.2">
      <c r="A251" s="1" t="s">
        <v>2478</v>
      </c>
      <c r="B251" s="1" t="s">
        <v>55</v>
      </c>
      <c r="C251" s="1" t="s">
        <v>2453</v>
      </c>
      <c r="E251" s="1">
        <v>33</v>
      </c>
      <c r="F251" s="1" t="s">
        <v>2479</v>
      </c>
      <c r="G251" s="1" t="s">
        <v>1407</v>
      </c>
      <c r="H251" s="1" t="s">
        <v>2480</v>
      </c>
      <c r="I251" s="1" t="s">
        <v>7</v>
      </c>
      <c r="J251" s="1" t="s">
        <v>2481</v>
      </c>
      <c r="K251" s="1" t="s">
        <v>2482</v>
      </c>
      <c r="L251" s="1" t="s">
        <v>2483</v>
      </c>
      <c r="O251" s="1">
        <v>1</v>
      </c>
      <c r="P251" s="1" t="s">
        <v>1269</v>
      </c>
      <c r="Q251" s="1">
        <v>2000</v>
      </c>
      <c r="R251" s="1" t="s">
        <v>2460</v>
      </c>
      <c r="S251" s="1" t="s">
        <v>27</v>
      </c>
      <c r="T251" s="38">
        <v>1</v>
      </c>
      <c r="Z251" s="1">
        <v>76.95</v>
      </c>
      <c r="AA251" s="1">
        <v>6.25</v>
      </c>
      <c r="AC251" s="1">
        <v>20.73</v>
      </c>
      <c r="AH251" s="1">
        <v>2.11</v>
      </c>
      <c r="AK251" s="1">
        <v>0.46736127999999999</v>
      </c>
      <c r="AL251" s="1">
        <v>0.49474572999999999</v>
      </c>
      <c r="AM251" s="1">
        <v>0.87995365999999997</v>
      </c>
      <c r="AV251" s="1">
        <v>1.9</v>
      </c>
      <c r="AY251" s="1">
        <v>79.33</v>
      </c>
      <c r="BF251" s="1">
        <v>1.6</v>
      </c>
      <c r="BJ251" s="1">
        <v>44</v>
      </c>
      <c r="BK251" s="1">
        <v>1.2E-2</v>
      </c>
      <c r="BP251" s="1">
        <v>130</v>
      </c>
      <c r="DS251" s="1">
        <v>8568</v>
      </c>
      <c r="EC251" s="1">
        <v>1222</v>
      </c>
      <c r="EF251" s="1">
        <v>952</v>
      </c>
      <c r="EG251" s="1">
        <v>1017</v>
      </c>
      <c r="EH251" s="1">
        <v>1489</v>
      </c>
      <c r="EI251" s="1">
        <v>271</v>
      </c>
      <c r="EK251" s="1">
        <v>716</v>
      </c>
      <c r="EO251" s="1">
        <v>442</v>
      </c>
      <c r="EQ251" s="1">
        <v>1567</v>
      </c>
      <c r="ER251" s="1">
        <v>847</v>
      </c>
    </row>
    <row r="252" spans="1:148" x14ac:dyDescent="0.2">
      <c r="A252" s="1" t="s">
        <v>2484</v>
      </c>
      <c r="B252" s="1" t="s">
        <v>55</v>
      </c>
      <c r="C252" s="1" t="s">
        <v>2453</v>
      </c>
      <c r="E252" s="1">
        <v>33</v>
      </c>
      <c r="F252" s="1" t="s">
        <v>2485</v>
      </c>
      <c r="G252" s="1" t="s">
        <v>2486</v>
      </c>
      <c r="H252" s="1" t="s">
        <v>2487</v>
      </c>
      <c r="I252" s="1" t="s">
        <v>7</v>
      </c>
      <c r="J252" s="1" t="s">
        <v>2488</v>
      </c>
      <c r="K252" s="1" t="s">
        <v>2489</v>
      </c>
      <c r="L252" s="1" t="s">
        <v>2488</v>
      </c>
      <c r="O252" s="1">
        <v>1</v>
      </c>
      <c r="P252" s="1" t="s">
        <v>1269</v>
      </c>
      <c r="Q252" s="1">
        <v>2000</v>
      </c>
      <c r="R252" s="1" t="s">
        <v>2460</v>
      </c>
      <c r="S252" s="1" t="s">
        <v>27</v>
      </c>
      <c r="T252" s="38">
        <v>1</v>
      </c>
      <c r="Z252" s="1">
        <v>71.09</v>
      </c>
      <c r="AA252" s="1">
        <v>6.25</v>
      </c>
      <c r="AC252" s="1">
        <v>21.17</v>
      </c>
      <c r="AH252" s="1">
        <v>6.03</v>
      </c>
      <c r="AK252" s="1">
        <v>2.7524609799999999</v>
      </c>
      <c r="AL252" s="1">
        <v>1.93549547</v>
      </c>
      <c r="AM252" s="1">
        <v>0.80051654000000005</v>
      </c>
      <c r="AV252" s="1">
        <v>1.53</v>
      </c>
      <c r="AY252" s="1">
        <v>75</v>
      </c>
      <c r="BF252" s="1">
        <v>1.5</v>
      </c>
      <c r="BJ252" s="1">
        <v>30</v>
      </c>
      <c r="BK252" s="1">
        <v>8.9999999999999993E-3</v>
      </c>
      <c r="BP252" s="1">
        <v>226.33</v>
      </c>
      <c r="DS252" s="1">
        <v>7308</v>
      </c>
      <c r="EC252" s="1">
        <v>1189</v>
      </c>
      <c r="EF252" s="1">
        <v>615</v>
      </c>
      <c r="EG252" s="1">
        <v>1198</v>
      </c>
      <c r="EH252" s="1">
        <v>1088</v>
      </c>
      <c r="EI252" s="1">
        <v>558</v>
      </c>
      <c r="EK252" s="1">
        <v>650</v>
      </c>
      <c r="EO252" s="1">
        <v>764</v>
      </c>
      <c r="EQ252" s="1">
        <v>603</v>
      </c>
      <c r="ER252" s="1">
        <v>643</v>
      </c>
    </row>
    <row r="253" spans="1:148" x14ac:dyDescent="0.2">
      <c r="A253" s="1" t="s">
        <v>2490</v>
      </c>
      <c r="B253" s="1" t="s">
        <v>55</v>
      </c>
      <c r="C253" s="1" t="s">
        <v>2453</v>
      </c>
      <c r="E253" s="1">
        <v>32</v>
      </c>
      <c r="F253" s="1" t="s">
        <v>2491</v>
      </c>
      <c r="G253" s="1" t="s">
        <v>2492</v>
      </c>
      <c r="H253" s="1" t="s">
        <v>2493</v>
      </c>
      <c r="I253" s="1" t="s">
        <v>7</v>
      </c>
      <c r="J253" s="1" t="s">
        <v>2494</v>
      </c>
      <c r="K253" s="1" t="s">
        <v>2495</v>
      </c>
      <c r="L253" s="1" t="s">
        <v>2494</v>
      </c>
      <c r="O253" s="1">
        <v>1</v>
      </c>
      <c r="P253" s="1" t="s">
        <v>1269</v>
      </c>
      <c r="Q253" s="1">
        <v>2000</v>
      </c>
      <c r="R253" s="1" t="s">
        <v>2460</v>
      </c>
      <c r="S253" s="1" t="s">
        <v>27</v>
      </c>
      <c r="T253" s="38">
        <v>1</v>
      </c>
      <c r="Z253" s="1">
        <v>77.209999999999994</v>
      </c>
      <c r="AA253" s="1">
        <v>6.25</v>
      </c>
      <c r="AC253" s="1">
        <v>18.7</v>
      </c>
      <c r="AH253" s="1">
        <v>1.82</v>
      </c>
      <c r="AK253" s="1">
        <v>0.80396601999999995</v>
      </c>
      <c r="AL253" s="1">
        <v>0.4587427</v>
      </c>
      <c r="AM253" s="1">
        <v>0.28924116</v>
      </c>
      <c r="AV253" s="1">
        <v>1.53</v>
      </c>
      <c r="AY253" s="1">
        <v>23</v>
      </c>
      <c r="BF253" s="1">
        <v>1.3</v>
      </c>
      <c r="BJ253" s="1">
        <v>27.66</v>
      </c>
      <c r="BK253" s="1">
        <v>8.0000000000000002E-3</v>
      </c>
      <c r="BP253" s="1">
        <v>296</v>
      </c>
      <c r="DS253" s="1">
        <v>8738</v>
      </c>
      <c r="EC253" s="1">
        <v>1435</v>
      </c>
      <c r="EF253" s="1">
        <v>760</v>
      </c>
      <c r="EG253" s="1">
        <v>1355</v>
      </c>
      <c r="EH253" s="1">
        <v>1504</v>
      </c>
      <c r="EI253" s="1">
        <v>538</v>
      </c>
      <c r="EK253" s="1">
        <v>802</v>
      </c>
      <c r="EO253" s="1">
        <v>955</v>
      </c>
      <c r="EQ253" s="1">
        <v>682</v>
      </c>
      <c r="ER253" s="1">
        <v>707</v>
      </c>
    </row>
    <row r="254" spans="1:148" x14ac:dyDescent="0.2">
      <c r="A254" s="1" t="s">
        <v>2496</v>
      </c>
      <c r="B254" s="1" t="s">
        <v>55</v>
      </c>
      <c r="C254" s="1" t="s">
        <v>2453</v>
      </c>
      <c r="E254" s="1">
        <v>33</v>
      </c>
      <c r="F254" s="1" t="s">
        <v>2497</v>
      </c>
      <c r="G254" s="1" t="s">
        <v>2498</v>
      </c>
      <c r="H254" s="1" t="s">
        <v>2499</v>
      </c>
      <c r="I254" s="1" t="s">
        <v>7</v>
      </c>
      <c r="J254" s="1" t="s">
        <v>2500</v>
      </c>
      <c r="K254" s="1" t="s">
        <v>2501</v>
      </c>
      <c r="L254" s="1" t="s">
        <v>2500</v>
      </c>
      <c r="O254" s="1">
        <v>1</v>
      </c>
      <c r="P254" s="1" t="s">
        <v>1269</v>
      </c>
      <c r="Q254" s="1">
        <v>2000</v>
      </c>
      <c r="R254" s="1" t="s">
        <v>2460</v>
      </c>
      <c r="S254" s="1" t="s">
        <v>27</v>
      </c>
      <c r="T254" s="38">
        <v>1</v>
      </c>
      <c r="Z254" s="1">
        <v>78.64</v>
      </c>
      <c r="AA254" s="1">
        <v>6.25</v>
      </c>
      <c r="AC254" s="1">
        <v>19.73</v>
      </c>
      <c r="AH254" s="1">
        <v>1.68</v>
      </c>
      <c r="AK254" s="1">
        <v>0.56977599999999995</v>
      </c>
      <c r="AL254" s="1">
        <v>0.62390471999999997</v>
      </c>
      <c r="AM254" s="1">
        <v>0.23503260000000001</v>
      </c>
      <c r="AV254" s="1">
        <v>0.94</v>
      </c>
      <c r="AY254" s="1">
        <v>69</v>
      </c>
      <c r="BF254" s="1">
        <v>0.9</v>
      </c>
      <c r="BJ254" s="1">
        <v>36.33</v>
      </c>
      <c r="BK254" s="1">
        <v>1.2E-2</v>
      </c>
      <c r="BP254" s="1">
        <v>153</v>
      </c>
      <c r="DS254" s="1">
        <v>6536</v>
      </c>
      <c r="EC254" s="1">
        <v>721</v>
      </c>
      <c r="EF254" s="1">
        <v>563</v>
      </c>
      <c r="EG254" s="1">
        <v>1121</v>
      </c>
      <c r="EH254" s="1">
        <v>1061</v>
      </c>
      <c r="EI254" s="1">
        <v>586</v>
      </c>
      <c r="EK254" s="1">
        <v>692</v>
      </c>
      <c r="EO254" s="1">
        <v>630</v>
      </c>
      <c r="EQ254" s="1">
        <v>648</v>
      </c>
      <c r="ER254" s="1">
        <v>514</v>
      </c>
    </row>
    <row r="255" spans="1:148" x14ac:dyDescent="0.2">
      <c r="A255" s="1" t="s">
        <v>2502</v>
      </c>
      <c r="B255" s="1" t="s">
        <v>55</v>
      </c>
      <c r="C255" s="1" t="s">
        <v>2453</v>
      </c>
      <c r="E255" s="1">
        <v>33</v>
      </c>
      <c r="F255" s="1" t="s">
        <v>2503</v>
      </c>
      <c r="G255" s="1" t="s">
        <v>2504</v>
      </c>
      <c r="H255" s="1" t="s">
        <v>2505</v>
      </c>
      <c r="I255" s="1" t="s">
        <v>7</v>
      </c>
      <c r="J255" s="1" t="s">
        <v>2506</v>
      </c>
      <c r="K255" s="1" t="s">
        <v>2507</v>
      </c>
      <c r="L255" s="1" t="s">
        <v>2506</v>
      </c>
      <c r="O255" s="1">
        <v>1</v>
      </c>
      <c r="P255" s="1" t="s">
        <v>1269</v>
      </c>
      <c r="Q255" s="1">
        <v>2000</v>
      </c>
      <c r="R255" s="1" t="s">
        <v>2460</v>
      </c>
      <c r="S255" s="1" t="s">
        <v>27</v>
      </c>
      <c r="T255" s="38">
        <v>1</v>
      </c>
      <c r="Z255" s="1">
        <v>76.72</v>
      </c>
      <c r="AA255" s="1">
        <v>6.25</v>
      </c>
      <c r="AC255" s="1">
        <v>20.99</v>
      </c>
      <c r="AH255" s="1">
        <v>1.1200000000000001</v>
      </c>
      <c r="AK255" s="1">
        <v>0.33462715999999998</v>
      </c>
      <c r="AL255" s="1">
        <v>0.26156839999999998</v>
      </c>
      <c r="AM255" s="1">
        <v>0.30666640000000001</v>
      </c>
      <c r="AV255" s="1">
        <v>1.33</v>
      </c>
      <c r="AY255" s="1">
        <v>17.66</v>
      </c>
      <c r="BF255" s="1">
        <v>1.26</v>
      </c>
      <c r="BJ255" s="1">
        <v>25.33</v>
      </c>
      <c r="BK255" s="1">
        <v>0.01</v>
      </c>
      <c r="BP255" s="1">
        <v>218.66</v>
      </c>
      <c r="DS255" s="1">
        <v>6966</v>
      </c>
      <c r="EC255" s="1">
        <v>924</v>
      </c>
      <c r="EF255" s="1">
        <v>657</v>
      </c>
      <c r="EG255" s="1">
        <v>1948</v>
      </c>
      <c r="EH255" s="1">
        <v>1653</v>
      </c>
      <c r="EI255" s="1">
        <v>490</v>
      </c>
      <c r="EK255" s="1">
        <v>550</v>
      </c>
      <c r="EO255" s="1">
        <v>622</v>
      </c>
      <c r="EQ255" s="1">
        <v>547</v>
      </c>
      <c r="ER255" s="1">
        <v>575</v>
      </c>
    </row>
    <row r="256" spans="1:148" x14ac:dyDescent="0.2">
      <c r="A256" s="1" t="s">
        <v>2508</v>
      </c>
      <c r="B256" s="1" t="s">
        <v>55</v>
      </c>
      <c r="C256" s="1" t="s">
        <v>2453</v>
      </c>
      <c r="E256" s="1">
        <v>33</v>
      </c>
      <c r="F256" s="1" t="s">
        <v>2509</v>
      </c>
      <c r="G256" s="1" t="s">
        <v>2510</v>
      </c>
      <c r="H256" s="1" t="s">
        <v>2511</v>
      </c>
      <c r="I256" s="1" t="s">
        <v>7</v>
      </c>
      <c r="J256" s="1" t="s">
        <v>2512</v>
      </c>
      <c r="K256" s="1" t="s">
        <v>2513</v>
      </c>
      <c r="L256" s="1" t="s">
        <v>2512</v>
      </c>
      <c r="O256" s="1">
        <v>1</v>
      </c>
      <c r="P256" s="1" t="s">
        <v>1269</v>
      </c>
      <c r="Q256" s="1">
        <v>2000</v>
      </c>
      <c r="R256" s="1" t="s">
        <v>2460</v>
      </c>
      <c r="S256" s="1" t="s">
        <v>27</v>
      </c>
      <c r="T256" s="38">
        <v>1</v>
      </c>
      <c r="Z256" s="1">
        <v>77.12</v>
      </c>
      <c r="AA256" s="1">
        <v>6.25</v>
      </c>
      <c r="AC256" s="1">
        <v>21.61</v>
      </c>
      <c r="AH256" s="1">
        <v>1.66</v>
      </c>
      <c r="AK256" s="1">
        <v>0.68883220000000001</v>
      </c>
      <c r="AL256" s="1">
        <v>0.37956060000000003</v>
      </c>
      <c r="AM256" s="1">
        <v>0.33316985999999998</v>
      </c>
      <c r="AV256" s="1">
        <v>1.6</v>
      </c>
      <c r="AY256" s="1">
        <v>73</v>
      </c>
      <c r="BF256" s="1">
        <v>1.46</v>
      </c>
      <c r="BJ256" s="1">
        <v>32</v>
      </c>
      <c r="BK256" s="1">
        <v>8.9999999999999993E-3</v>
      </c>
      <c r="BP256" s="1">
        <v>254.66</v>
      </c>
      <c r="DS256" s="1">
        <v>8197</v>
      </c>
      <c r="EC256" s="1">
        <v>1376</v>
      </c>
      <c r="EF256" s="1">
        <v>651</v>
      </c>
      <c r="EG256" s="1">
        <v>1461</v>
      </c>
      <c r="EH256" s="1">
        <v>1239</v>
      </c>
      <c r="EI256" s="1">
        <v>555</v>
      </c>
      <c r="EK256" s="1">
        <v>695</v>
      </c>
      <c r="EO256" s="1">
        <v>990</v>
      </c>
      <c r="EQ256" s="1">
        <v>603</v>
      </c>
      <c r="ER256" s="1">
        <v>627</v>
      </c>
    </row>
    <row r="257" spans="1:148" x14ac:dyDescent="0.2">
      <c r="A257" s="1" t="s">
        <v>2514</v>
      </c>
      <c r="B257" s="1" t="s">
        <v>55</v>
      </c>
      <c r="C257" s="1" t="s">
        <v>2453</v>
      </c>
      <c r="E257" s="1">
        <v>12</v>
      </c>
      <c r="F257" s="1" t="s">
        <v>2515</v>
      </c>
      <c r="G257" s="1" t="s">
        <v>2516</v>
      </c>
      <c r="H257" s="1" t="s">
        <v>2517</v>
      </c>
      <c r="I257" s="1" t="s">
        <v>7</v>
      </c>
      <c r="J257" s="1" t="s">
        <v>2518</v>
      </c>
      <c r="K257" s="1" t="s">
        <v>2519</v>
      </c>
      <c r="L257" s="1" t="s">
        <v>2520</v>
      </c>
      <c r="O257" s="1">
        <v>1</v>
      </c>
      <c r="P257" s="1" t="s">
        <v>1269</v>
      </c>
      <c r="Q257" s="1">
        <v>2000</v>
      </c>
      <c r="R257" s="1" t="s">
        <v>2460</v>
      </c>
      <c r="S257" s="1" t="s">
        <v>27</v>
      </c>
      <c r="T257" s="38">
        <v>1</v>
      </c>
      <c r="Z257" s="1">
        <v>72.36</v>
      </c>
      <c r="AA257" s="1">
        <v>6.25</v>
      </c>
      <c r="AC257" s="1">
        <v>23.34</v>
      </c>
      <c r="AH257" s="1">
        <v>2.2599999999999998</v>
      </c>
      <c r="AK257" s="1">
        <v>0.12776270000000001</v>
      </c>
      <c r="AL257" s="1">
        <v>0.27321561999999999</v>
      </c>
      <c r="AM257" s="1">
        <v>1.58032632</v>
      </c>
      <c r="AV257" s="1">
        <v>1.94</v>
      </c>
      <c r="AY257" s="1">
        <v>41</v>
      </c>
      <c r="BF257" s="1">
        <v>1.76</v>
      </c>
      <c r="BJ257" s="1">
        <v>42.66</v>
      </c>
      <c r="BK257" s="1">
        <v>1.2E-2</v>
      </c>
      <c r="BP257" s="1">
        <v>322.22000000000003</v>
      </c>
      <c r="DS257" s="1">
        <v>10938</v>
      </c>
      <c r="EC257" s="1">
        <v>1625</v>
      </c>
      <c r="EF257" s="1">
        <v>1583</v>
      </c>
      <c r="EG257" s="1">
        <v>1454</v>
      </c>
      <c r="EH257" s="1">
        <v>486</v>
      </c>
      <c r="EI257" s="1">
        <v>555</v>
      </c>
      <c r="EK257" s="1">
        <v>1117</v>
      </c>
      <c r="EO257" s="1">
        <v>807</v>
      </c>
      <c r="EQ257" s="1">
        <v>1898</v>
      </c>
      <c r="ER257" s="1">
        <v>1413</v>
      </c>
    </row>
    <row r="258" spans="1:148" x14ac:dyDescent="0.2">
      <c r="A258" s="1" t="s">
        <v>2521</v>
      </c>
      <c r="B258" s="1" t="s">
        <v>55</v>
      </c>
      <c r="C258" s="1" t="s">
        <v>2453</v>
      </c>
      <c r="E258" s="1">
        <v>23</v>
      </c>
      <c r="F258" s="1" t="s">
        <v>1471</v>
      </c>
      <c r="G258" s="1" t="s">
        <v>2522</v>
      </c>
      <c r="H258" s="1" t="s">
        <v>2523</v>
      </c>
      <c r="I258" s="1" t="s">
        <v>7</v>
      </c>
      <c r="J258" s="1" t="s">
        <v>1473</v>
      </c>
      <c r="K258" s="1" t="s">
        <v>1474</v>
      </c>
      <c r="L258" s="1" t="s">
        <v>1473</v>
      </c>
      <c r="O258" s="1">
        <v>1</v>
      </c>
      <c r="P258" s="1" t="s">
        <v>1269</v>
      </c>
      <c r="Q258" s="1">
        <v>2000</v>
      </c>
      <c r="R258" s="1" t="s">
        <v>2460</v>
      </c>
      <c r="S258" s="1" t="s">
        <v>27</v>
      </c>
      <c r="T258" s="38">
        <v>1</v>
      </c>
      <c r="Z258" s="1">
        <v>77.06</v>
      </c>
      <c r="AA258" s="1">
        <v>6.25</v>
      </c>
      <c r="AC258" s="1">
        <v>20.86</v>
      </c>
      <c r="AH258" s="1">
        <v>1.5</v>
      </c>
      <c r="AK258" s="1">
        <v>0.3681545</v>
      </c>
      <c r="AL258" s="1">
        <v>0.47370050000000002</v>
      </c>
      <c r="AM258" s="1">
        <v>0.41464499999999999</v>
      </c>
      <c r="AV258" s="1">
        <v>1.3</v>
      </c>
      <c r="AY258" s="1">
        <v>71.33</v>
      </c>
      <c r="BF258" s="1">
        <v>1.45</v>
      </c>
      <c r="BJ258" s="1">
        <v>42.33</v>
      </c>
      <c r="BK258" s="1">
        <v>1.2E-2</v>
      </c>
      <c r="BP258" s="1">
        <v>122</v>
      </c>
      <c r="DS258" s="1">
        <v>7008</v>
      </c>
      <c r="EC258" s="1">
        <v>1077</v>
      </c>
      <c r="EF258" s="1">
        <v>654</v>
      </c>
      <c r="EG258" s="1">
        <v>1067</v>
      </c>
      <c r="EH258" s="1">
        <v>770</v>
      </c>
      <c r="EI258" s="1">
        <v>648</v>
      </c>
      <c r="EK258" s="1">
        <v>915</v>
      </c>
      <c r="EO258" s="1">
        <v>613</v>
      </c>
      <c r="EQ258" s="1">
        <v>766</v>
      </c>
      <c r="ER258" s="1">
        <v>498</v>
      </c>
    </row>
    <row r="259" spans="1:148" x14ac:dyDescent="0.2">
      <c r="A259" s="1" t="s">
        <v>2524</v>
      </c>
      <c r="B259" s="1" t="s">
        <v>55</v>
      </c>
      <c r="C259" s="1" t="s">
        <v>2525</v>
      </c>
      <c r="D259" s="1" t="s">
        <v>2</v>
      </c>
      <c r="E259" s="1">
        <v>13</v>
      </c>
      <c r="F259" s="1" t="s">
        <v>2526</v>
      </c>
      <c r="H259" s="1" t="s">
        <v>2527</v>
      </c>
      <c r="I259" s="1" t="s">
        <v>7</v>
      </c>
      <c r="J259" s="1" t="s">
        <v>2528</v>
      </c>
      <c r="L259" s="1" t="s">
        <v>2528</v>
      </c>
      <c r="M259" s="1" t="s">
        <v>2529</v>
      </c>
      <c r="O259" s="1">
        <v>3</v>
      </c>
      <c r="P259" s="1" t="s">
        <v>1269</v>
      </c>
      <c r="Q259" s="1">
        <v>2008</v>
      </c>
      <c r="R259" s="1" t="s">
        <v>2530</v>
      </c>
      <c r="S259" s="1" t="s">
        <v>27</v>
      </c>
      <c r="T259" s="38">
        <v>1</v>
      </c>
      <c r="Z259" s="1">
        <v>79.599999999999994</v>
      </c>
      <c r="AA259" s="1">
        <v>6.25</v>
      </c>
      <c r="AC259" s="1">
        <v>15.5</v>
      </c>
      <c r="AH259" s="1">
        <v>2.5099999999999998</v>
      </c>
      <c r="AK259" s="1">
        <v>0.76739166999999997</v>
      </c>
      <c r="AL259" s="1">
        <v>0.75199985999999996</v>
      </c>
      <c r="AM259" s="1">
        <v>0.63766069999999997</v>
      </c>
      <c r="AV259" s="1">
        <v>1.08</v>
      </c>
    </row>
    <row r="260" spans="1:148" x14ac:dyDescent="0.2">
      <c r="A260" s="1" t="s">
        <v>2531</v>
      </c>
      <c r="B260" s="1" t="s">
        <v>55</v>
      </c>
      <c r="C260" s="1" t="s">
        <v>2525</v>
      </c>
      <c r="D260" s="1" t="s">
        <v>2</v>
      </c>
      <c r="E260" s="1">
        <v>13</v>
      </c>
      <c r="F260" s="1" t="s">
        <v>2526</v>
      </c>
      <c r="H260" s="1" t="s">
        <v>2532</v>
      </c>
      <c r="I260" s="1" t="s">
        <v>11</v>
      </c>
      <c r="J260" s="1" t="s">
        <v>2528</v>
      </c>
      <c r="L260" s="1" t="s">
        <v>2528</v>
      </c>
      <c r="M260" s="1" t="s">
        <v>2529</v>
      </c>
      <c r="O260" s="1">
        <v>3</v>
      </c>
      <c r="P260" s="1" t="s">
        <v>1269</v>
      </c>
      <c r="Q260" s="1">
        <v>2008</v>
      </c>
      <c r="R260" s="1" t="s">
        <v>2530</v>
      </c>
      <c r="S260" s="1" t="s">
        <v>27</v>
      </c>
      <c r="T260" s="38">
        <v>1</v>
      </c>
      <c r="Z260" s="1">
        <v>74.900000000000006</v>
      </c>
      <c r="AA260" s="1">
        <v>6.25</v>
      </c>
      <c r="AC260" s="1">
        <v>20.100000000000001</v>
      </c>
      <c r="AH260" s="1">
        <v>2.4500000000000002</v>
      </c>
      <c r="AK260" s="1">
        <v>0.77356884999999997</v>
      </c>
      <c r="AL260" s="1">
        <v>0.73928324999999995</v>
      </c>
      <c r="AM260" s="1">
        <v>0.6299979</v>
      </c>
      <c r="AV260" s="1">
        <v>0.95</v>
      </c>
    </row>
    <row r="261" spans="1:148" x14ac:dyDescent="0.2">
      <c r="A261" s="1" t="s">
        <v>2533</v>
      </c>
      <c r="B261" s="1" t="s">
        <v>55</v>
      </c>
      <c r="C261" s="1" t="s">
        <v>2525</v>
      </c>
      <c r="D261" s="1" t="s">
        <v>2</v>
      </c>
      <c r="E261" s="1">
        <v>13</v>
      </c>
      <c r="F261" s="1" t="s">
        <v>2526</v>
      </c>
      <c r="H261" s="1" t="s">
        <v>2534</v>
      </c>
      <c r="I261" s="1" t="s">
        <v>11</v>
      </c>
      <c r="J261" s="1" t="s">
        <v>2528</v>
      </c>
      <c r="L261" s="1" t="s">
        <v>2528</v>
      </c>
      <c r="M261" s="1" t="s">
        <v>2529</v>
      </c>
      <c r="O261" s="1">
        <v>3</v>
      </c>
      <c r="P261" s="1" t="s">
        <v>1269</v>
      </c>
      <c r="Q261" s="1">
        <v>2008</v>
      </c>
      <c r="R261" s="1" t="s">
        <v>2530</v>
      </c>
      <c r="S261" s="1" t="s">
        <v>27</v>
      </c>
      <c r="T261" s="38">
        <v>1</v>
      </c>
      <c r="Z261" s="1">
        <v>70.2</v>
      </c>
      <c r="AA261" s="1">
        <v>6.25</v>
      </c>
      <c r="AC261" s="1">
        <v>23</v>
      </c>
      <c r="AH261" s="1">
        <v>3.64</v>
      </c>
      <c r="AK261" s="1">
        <v>1.138592</v>
      </c>
      <c r="AL261" s="1">
        <v>1.1808825599999999</v>
      </c>
      <c r="AM261" s="1">
        <v>0.93364544000000005</v>
      </c>
      <c r="AV261" s="1">
        <v>1.54</v>
      </c>
    </row>
    <row r="262" spans="1:148" x14ac:dyDescent="0.2">
      <c r="A262" s="1" t="s">
        <v>2535</v>
      </c>
      <c r="B262" s="1" t="s">
        <v>55</v>
      </c>
      <c r="C262" s="1" t="s">
        <v>2525</v>
      </c>
      <c r="D262" s="1" t="s">
        <v>2</v>
      </c>
      <c r="E262" s="1">
        <v>13</v>
      </c>
      <c r="F262" s="1" t="s">
        <v>2526</v>
      </c>
      <c r="H262" s="1" t="s">
        <v>2536</v>
      </c>
      <c r="I262" s="1" t="s">
        <v>11</v>
      </c>
      <c r="J262" s="1" t="s">
        <v>2528</v>
      </c>
      <c r="L262" s="1" t="s">
        <v>2528</v>
      </c>
      <c r="M262" s="1" t="s">
        <v>2529</v>
      </c>
      <c r="O262" s="1">
        <v>3</v>
      </c>
      <c r="P262" s="1" t="s">
        <v>1269</v>
      </c>
      <c r="Q262" s="1">
        <v>2008</v>
      </c>
      <c r="R262" s="1" t="s">
        <v>2530</v>
      </c>
      <c r="S262" s="1" t="s">
        <v>27</v>
      </c>
      <c r="T262" s="38">
        <v>1</v>
      </c>
      <c r="Z262" s="1">
        <v>71.400000000000006</v>
      </c>
      <c r="AA262" s="1">
        <v>6.25</v>
      </c>
      <c r="AC262" s="1">
        <v>21.9</v>
      </c>
      <c r="AH262" s="1">
        <v>3.37</v>
      </c>
      <c r="AK262" s="1">
        <v>1.06843076</v>
      </c>
      <c r="AL262" s="1">
        <v>1.12845496</v>
      </c>
      <c r="AM262" s="1">
        <v>0.80432428</v>
      </c>
      <c r="AV262" s="1">
        <v>1.58</v>
      </c>
    </row>
    <row r="263" spans="1:148" x14ac:dyDescent="0.2">
      <c r="A263" s="1" t="s">
        <v>2537</v>
      </c>
      <c r="B263" s="1" t="s">
        <v>55</v>
      </c>
      <c r="C263" s="1" t="s">
        <v>2525</v>
      </c>
      <c r="D263" s="1" t="s">
        <v>2</v>
      </c>
      <c r="E263" s="1">
        <v>13</v>
      </c>
      <c r="F263" s="1" t="s">
        <v>2526</v>
      </c>
      <c r="H263" s="1" t="s">
        <v>2538</v>
      </c>
      <c r="I263" s="1" t="s">
        <v>11</v>
      </c>
      <c r="J263" s="1" t="s">
        <v>2528</v>
      </c>
      <c r="L263" s="1" t="s">
        <v>2528</v>
      </c>
      <c r="M263" s="1" t="s">
        <v>2529</v>
      </c>
      <c r="O263" s="1">
        <v>3</v>
      </c>
      <c r="P263" s="1" t="s">
        <v>1269</v>
      </c>
      <c r="Q263" s="1">
        <v>2008</v>
      </c>
      <c r="R263" s="1" t="s">
        <v>2530</v>
      </c>
      <c r="S263" s="1" t="s">
        <v>27</v>
      </c>
      <c r="T263" s="38">
        <v>1</v>
      </c>
      <c r="Z263" s="1" t="s">
        <v>2539</v>
      </c>
      <c r="AA263" s="1">
        <v>6.25</v>
      </c>
      <c r="AC263" s="1" t="s">
        <v>2540</v>
      </c>
      <c r="AH263" s="1" t="s">
        <v>2541</v>
      </c>
      <c r="AK263" s="1">
        <v>1.15025073</v>
      </c>
      <c r="AL263" s="1">
        <v>1.19436064</v>
      </c>
      <c r="AM263" s="1">
        <v>1.0484586300000001</v>
      </c>
      <c r="AV263" s="1" t="s">
        <v>2542</v>
      </c>
    </row>
    <row r="264" spans="1:148" x14ac:dyDescent="0.2">
      <c r="A264" s="1" t="s">
        <v>2543</v>
      </c>
      <c r="B264" s="1" t="s">
        <v>55</v>
      </c>
      <c r="C264" s="1" t="s">
        <v>2525</v>
      </c>
      <c r="D264" s="1" t="s">
        <v>2</v>
      </c>
      <c r="E264" s="1">
        <v>13</v>
      </c>
      <c r="F264" s="1" t="s">
        <v>2526</v>
      </c>
      <c r="H264" s="1" t="s">
        <v>2544</v>
      </c>
      <c r="I264" s="1" t="s">
        <v>11</v>
      </c>
      <c r="J264" s="1" t="s">
        <v>2528</v>
      </c>
      <c r="L264" s="1" t="s">
        <v>2528</v>
      </c>
      <c r="M264" s="1" t="s">
        <v>2529</v>
      </c>
      <c r="O264" s="1">
        <v>3</v>
      </c>
      <c r="P264" s="1" t="s">
        <v>1269</v>
      </c>
      <c r="Q264" s="1">
        <v>2008</v>
      </c>
      <c r="R264" s="1" t="s">
        <v>2530</v>
      </c>
      <c r="S264" s="1" t="s">
        <v>27</v>
      </c>
      <c r="T264" s="38">
        <v>1</v>
      </c>
      <c r="Z264" s="1" t="s">
        <v>2545</v>
      </c>
      <c r="AA264" s="1">
        <v>6.25</v>
      </c>
      <c r="AC264" s="1" t="s">
        <v>2546</v>
      </c>
      <c r="AH264" s="1" t="s">
        <v>2547</v>
      </c>
      <c r="AK264" s="1">
        <v>2.3254199999999998</v>
      </c>
      <c r="AL264" s="1">
        <v>3.4752109999999998</v>
      </c>
      <c r="AM264" s="1">
        <v>7.1183690000000004</v>
      </c>
      <c r="AV264" s="1" t="s">
        <v>2548</v>
      </c>
    </row>
    <row r="265" spans="1:148" x14ac:dyDescent="0.2">
      <c r="A265" s="1" t="s">
        <v>2549</v>
      </c>
      <c r="B265" s="1" t="s">
        <v>55</v>
      </c>
      <c r="C265" s="1" t="s">
        <v>2525</v>
      </c>
      <c r="D265" s="1" t="s">
        <v>2</v>
      </c>
      <c r="E265" s="1">
        <v>13</v>
      </c>
      <c r="F265" s="1" t="s">
        <v>2526</v>
      </c>
      <c r="H265" s="1" t="s">
        <v>2550</v>
      </c>
      <c r="I265" s="1" t="s">
        <v>11</v>
      </c>
      <c r="J265" s="1" t="s">
        <v>2528</v>
      </c>
      <c r="L265" s="1" t="s">
        <v>2528</v>
      </c>
      <c r="M265" s="1" t="s">
        <v>2529</v>
      </c>
      <c r="O265" s="1">
        <v>3</v>
      </c>
      <c r="P265" s="1" t="s">
        <v>1269</v>
      </c>
      <c r="Q265" s="1">
        <v>2008</v>
      </c>
      <c r="R265" s="1" t="s">
        <v>2530</v>
      </c>
      <c r="S265" s="1" t="s">
        <v>27</v>
      </c>
      <c r="T265" s="38">
        <v>1</v>
      </c>
      <c r="Z265" s="1" t="s">
        <v>2551</v>
      </c>
      <c r="AA265" s="1">
        <v>6.25</v>
      </c>
      <c r="AC265" s="1" t="s">
        <v>2552</v>
      </c>
      <c r="AH265" s="1" t="s">
        <v>2553</v>
      </c>
      <c r="AK265" s="1">
        <v>5.3870921999999997</v>
      </c>
      <c r="AL265" s="1">
        <v>2.992829</v>
      </c>
      <c r="AM265" s="1">
        <v>4.6323787999999997</v>
      </c>
      <c r="AV265" s="1" t="s">
        <v>2554</v>
      </c>
    </row>
    <row r="266" spans="1:148" x14ac:dyDescent="0.2">
      <c r="A266" s="1" t="s">
        <v>2555</v>
      </c>
      <c r="B266" s="1" t="s">
        <v>55</v>
      </c>
      <c r="D266" s="1" t="s">
        <v>2</v>
      </c>
      <c r="E266" s="1">
        <v>11</v>
      </c>
      <c r="F266" s="1" t="s">
        <v>1389</v>
      </c>
      <c r="H266" s="1" t="s">
        <v>2152</v>
      </c>
      <c r="I266" s="1" t="s">
        <v>7</v>
      </c>
      <c r="J266" s="1" t="s">
        <v>1392</v>
      </c>
      <c r="K266" s="1" t="s">
        <v>1393</v>
      </c>
      <c r="L266" s="1" t="s">
        <v>1392</v>
      </c>
      <c r="M266" s="1" t="s">
        <v>2556</v>
      </c>
      <c r="O266" s="1">
        <v>1</v>
      </c>
      <c r="Q266" s="1">
        <v>2006</v>
      </c>
      <c r="R266" s="1" t="s">
        <v>2557</v>
      </c>
      <c r="S266" s="1" t="s">
        <v>27</v>
      </c>
      <c r="T266" s="38">
        <v>1</v>
      </c>
      <c r="AH266" s="1">
        <v>5.4</v>
      </c>
      <c r="CR266" s="1">
        <v>0.98</v>
      </c>
    </row>
    <row r="267" spans="1:148" x14ac:dyDescent="0.2">
      <c r="A267" s="1" t="s">
        <v>2558</v>
      </c>
      <c r="B267" s="1" t="s">
        <v>55</v>
      </c>
      <c r="D267" s="1" t="s">
        <v>2</v>
      </c>
      <c r="E267" s="1">
        <v>13</v>
      </c>
      <c r="F267" s="1" t="s">
        <v>1694</v>
      </c>
      <c r="H267" s="1" t="s">
        <v>2559</v>
      </c>
      <c r="I267" s="1" t="s">
        <v>7</v>
      </c>
      <c r="J267" s="1" t="s">
        <v>1696</v>
      </c>
      <c r="K267" s="1" t="s">
        <v>1697</v>
      </c>
      <c r="L267" s="1" t="s">
        <v>1696</v>
      </c>
      <c r="M267" s="1" t="s">
        <v>2560</v>
      </c>
      <c r="O267" s="1">
        <v>1</v>
      </c>
      <c r="Q267" s="1">
        <v>2006</v>
      </c>
      <c r="R267" s="1" t="s">
        <v>2557</v>
      </c>
      <c r="S267" s="1" t="s">
        <v>27</v>
      </c>
      <c r="T267" s="38">
        <v>1</v>
      </c>
      <c r="CR267" s="1">
        <v>0.74</v>
      </c>
    </row>
    <row r="268" spans="1:148" x14ac:dyDescent="0.2">
      <c r="A268" s="1" t="s">
        <v>2561</v>
      </c>
      <c r="B268" s="1" t="s">
        <v>55</v>
      </c>
      <c r="D268" s="1" t="s">
        <v>2</v>
      </c>
      <c r="E268" s="1">
        <v>13</v>
      </c>
      <c r="F268" s="1" t="s">
        <v>1279</v>
      </c>
      <c r="H268" s="1" t="s">
        <v>2562</v>
      </c>
      <c r="I268" s="1" t="s">
        <v>7</v>
      </c>
      <c r="J268" s="1" t="s">
        <v>1281</v>
      </c>
      <c r="K268" s="1" t="s">
        <v>1282</v>
      </c>
      <c r="L268" s="1" t="s">
        <v>1281</v>
      </c>
      <c r="M268" s="1" t="s">
        <v>2560</v>
      </c>
      <c r="O268" s="1">
        <v>1</v>
      </c>
      <c r="Q268" s="1">
        <v>2006</v>
      </c>
      <c r="R268" s="1" t="s">
        <v>2557</v>
      </c>
      <c r="S268" s="1" t="s">
        <v>27</v>
      </c>
      <c r="T268" s="38">
        <v>1</v>
      </c>
      <c r="CR268" s="1">
        <v>5.3</v>
      </c>
    </row>
    <row r="269" spans="1:148" x14ac:dyDescent="0.2">
      <c r="A269" s="1" t="s">
        <v>2563</v>
      </c>
      <c r="B269" s="1" t="s">
        <v>55</v>
      </c>
      <c r="C269" s="1" t="s">
        <v>2564</v>
      </c>
      <c r="D269" s="1" t="s">
        <v>2</v>
      </c>
      <c r="E269" s="1">
        <v>23</v>
      </c>
      <c r="F269" s="1" t="s">
        <v>1471</v>
      </c>
      <c r="H269" s="1" t="s">
        <v>2565</v>
      </c>
      <c r="I269" s="1" t="s">
        <v>7</v>
      </c>
      <c r="J269" s="1" t="s">
        <v>1473</v>
      </c>
      <c r="K269" s="1" t="s">
        <v>1474</v>
      </c>
      <c r="L269" s="1" t="s">
        <v>1473</v>
      </c>
      <c r="M269" s="1" t="s">
        <v>2566</v>
      </c>
      <c r="O269" s="1">
        <v>2</v>
      </c>
      <c r="Q269" s="1">
        <v>2006</v>
      </c>
      <c r="R269" s="1" t="s">
        <v>2557</v>
      </c>
      <c r="S269" s="1" t="s">
        <v>27</v>
      </c>
      <c r="T269" s="38">
        <v>1</v>
      </c>
      <c r="AH269" s="1">
        <v>5.4</v>
      </c>
      <c r="CR269" s="1">
        <v>7.2</v>
      </c>
    </row>
    <row r="270" spans="1:148" x14ac:dyDescent="0.2">
      <c r="A270" s="1" t="s">
        <v>2567</v>
      </c>
      <c r="B270" s="1" t="s">
        <v>55</v>
      </c>
      <c r="C270" s="1" t="s">
        <v>2564</v>
      </c>
      <c r="D270" s="1" t="s">
        <v>2</v>
      </c>
      <c r="E270" s="1">
        <v>23</v>
      </c>
      <c r="F270" s="1" t="s">
        <v>1471</v>
      </c>
      <c r="H270" s="1" t="s">
        <v>2565</v>
      </c>
      <c r="I270" s="1" t="s">
        <v>7</v>
      </c>
      <c r="J270" s="1" t="s">
        <v>1473</v>
      </c>
      <c r="K270" s="1" t="s">
        <v>1474</v>
      </c>
      <c r="L270" s="1" t="s">
        <v>1473</v>
      </c>
      <c r="M270" s="1" t="s">
        <v>2568</v>
      </c>
      <c r="O270" s="1">
        <v>2</v>
      </c>
      <c r="Q270" s="1">
        <v>2006</v>
      </c>
      <c r="R270" s="1" t="s">
        <v>2557</v>
      </c>
      <c r="S270" s="1" t="s">
        <v>27</v>
      </c>
      <c r="T270" s="38">
        <v>1</v>
      </c>
      <c r="AH270" s="1">
        <v>6.1</v>
      </c>
      <c r="CR270" s="1">
        <v>3.8</v>
      </c>
    </row>
    <row r="271" spans="1:148" x14ac:dyDescent="0.2">
      <c r="A271" s="1" t="s">
        <v>2569</v>
      </c>
      <c r="B271" s="1" t="s">
        <v>55</v>
      </c>
      <c r="C271" s="1" t="s">
        <v>2564</v>
      </c>
      <c r="D271" s="1" t="s">
        <v>2</v>
      </c>
      <c r="E271" s="1">
        <v>23</v>
      </c>
      <c r="F271" s="1" t="s">
        <v>1471</v>
      </c>
      <c r="H271" s="1" t="s">
        <v>2565</v>
      </c>
      <c r="I271" s="1" t="s">
        <v>7</v>
      </c>
      <c r="J271" s="1" t="s">
        <v>1473</v>
      </c>
      <c r="K271" s="1" t="s">
        <v>1474</v>
      </c>
      <c r="L271" s="1" t="s">
        <v>1473</v>
      </c>
      <c r="M271" s="1" t="s">
        <v>2570</v>
      </c>
      <c r="O271" s="1">
        <v>2</v>
      </c>
      <c r="Q271" s="1">
        <v>2006</v>
      </c>
      <c r="R271" s="1" t="s">
        <v>2557</v>
      </c>
      <c r="S271" s="1" t="s">
        <v>27</v>
      </c>
      <c r="T271" s="38">
        <v>1</v>
      </c>
      <c r="AH271" s="1">
        <v>2.5</v>
      </c>
      <c r="CR271" s="1">
        <v>10.7</v>
      </c>
    </row>
    <row r="272" spans="1:148" x14ac:dyDescent="0.2">
      <c r="A272" s="1" t="s">
        <v>2571</v>
      </c>
      <c r="B272" s="1" t="s">
        <v>55</v>
      </c>
      <c r="C272" s="1" t="s">
        <v>2564</v>
      </c>
      <c r="D272" s="1" t="s">
        <v>2</v>
      </c>
      <c r="E272" s="1">
        <v>23</v>
      </c>
      <c r="F272" s="1" t="s">
        <v>1471</v>
      </c>
      <c r="H272" s="1" t="s">
        <v>2565</v>
      </c>
      <c r="I272" s="1" t="s">
        <v>7</v>
      </c>
      <c r="J272" s="1" t="s">
        <v>1473</v>
      </c>
      <c r="K272" s="1" t="s">
        <v>1474</v>
      </c>
      <c r="L272" s="1" t="s">
        <v>1473</v>
      </c>
      <c r="M272" s="1" t="s">
        <v>2572</v>
      </c>
      <c r="O272" s="1">
        <v>2</v>
      </c>
      <c r="Q272" s="1">
        <v>2006</v>
      </c>
      <c r="R272" s="1" t="s">
        <v>2557</v>
      </c>
      <c r="S272" s="1" t="s">
        <v>27</v>
      </c>
      <c r="T272" s="38">
        <v>1</v>
      </c>
      <c r="AH272" s="1">
        <v>5.5</v>
      </c>
      <c r="CR272" s="1">
        <v>10.7</v>
      </c>
    </row>
    <row r="273" spans="1:96" x14ac:dyDescent="0.2">
      <c r="A273" s="1" t="s">
        <v>2573</v>
      </c>
      <c r="B273" s="1" t="s">
        <v>55</v>
      </c>
      <c r="C273" s="1" t="s">
        <v>2564</v>
      </c>
      <c r="D273" s="1" t="s">
        <v>2</v>
      </c>
      <c r="E273" s="1">
        <v>23</v>
      </c>
      <c r="F273" s="1" t="s">
        <v>1471</v>
      </c>
      <c r="H273" s="1" t="s">
        <v>2574</v>
      </c>
      <c r="I273" s="1" t="s">
        <v>7</v>
      </c>
      <c r="J273" s="1" t="s">
        <v>1473</v>
      </c>
      <c r="K273" s="1" t="s">
        <v>1474</v>
      </c>
      <c r="L273" s="1" t="s">
        <v>1473</v>
      </c>
      <c r="M273" s="1" t="s">
        <v>2575</v>
      </c>
      <c r="O273" s="1">
        <v>2</v>
      </c>
      <c r="Q273" s="1">
        <v>2006</v>
      </c>
      <c r="R273" s="1" t="s">
        <v>2557</v>
      </c>
      <c r="S273" s="1" t="s">
        <v>27</v>
      </c>
      <c r="T273" s="38">
        <v>1</v>
      </c>
      <c r="AH273" s="1">
        <v>3.8</v>
      </c>
      <c r="CR273" s="1">
        <v>8.5</v>
      </c>
    </row>
    <row r="274" spans="1:96" x14ac:dyDescent="0.2">
      <c r="A274" s="1" t="s">
        <v>2576</v>
      </c>
      <c r="B274" s="1" t="s">
        <v>55</v>
      </c>
      <c r="C274" s="1" t="s">
        <v>2564</v>
      </c>
      <c r="D274" s="1" t="s">
        <v>2</v>
      </c>
      <c r="E274" s="1">
        <v>23</v>
      </c>
      <c r="F274" s="1" t="s">
        <v>1471</v>
      </c>
      <c r="H274" s="1" t="s">
        <v>2574</v>
      </c>
      <c r="I274" s="1" t="s">
        <v>7</v>
      </c>
      <c r="J274" s="1" t="s">
        <v>1473</v>
      </c>
      <c r="K274" s="1" t="s">
        <v>1474</v>
      </c>
      <c r="L274" s="1" t="s">
        <v>1473</v>
      </c>
      <c r="M274" s="1" t="s">
        <v>2577</v>
      </c>
      <c r="O274" s="1">
        <v>2</v>
      </c>
      <c r="Q274" s="1">
        <v>2006</v>
      </c>
      <c r="R274" s="1" t="s">
        <v>2557</v>
      </c>
      <c r="S274" s="1" t="s">
        <v>27</v>
      </c>
      <c r="T274" s="38">
        <v>1</v>
      </c>
      <c r="AH274" s="1">
        <v>1.9</v>
      </c>
      <c r="CR274" s="1">
        <v>7.9</v>
      </c>
    </row>
    <row r="275" spans="1:96" x14ac:dyDescent="0.2">
      <c r="A275" s="1" t="s">
        <v>2578</v>
      </c>
      <c r="B275" s="1" t="s">
        <v>55</v>
      </c>
      <c r="C275" s="1" t="s">
        <v>2579</v>
      </c>
      <c r="D275" s="1" t="s">
        <v>2</v>
      </c>
      <c r="E275" s="1">
        <v>23</v>
      </c>
      <c r="F275" s="1" t="s">
        <v>1273</v>
      </c>
      <c r="H275" s="1" t="s">
        <v>2580</v>
      </c>
      <c r="I275" s="1" t="s">
        <v>7</v>
      </c>
      <c r="J275" s="1" t="s">
        <v>1275</v>
      </c>
      <c r="K275" s="1" t="s">
        <v>1276</v>
      </c>
      <c r="L275" s="1" t="s">
        <v>1275</v>
      </c>
      <c r="M275" s="1" t="s">
        <v>2581</v>
      </c>
      <c r="O275" s="1">
        <v>2</v>
      </c>
      <c r="Q275" s="1">
        <v>2006</v>
      </c>
      <c r="R275" s="1" t="s">
        <v>2557</v>
      </c>
      <c r="S275" s="1" t="s">
        <v>27</v>
      </c>
      <c r="T275" s="38">
        <v>1</v>
      </c>
      <c r="AH275" s="1">
        <v>14.4</v>
      </c>
      <c r="CR275" s="1">
        <v>8.4</v>
      </c>
    </row>
    <row r="276" spans="1:96" x14ac:dyDescent="0.2">
      <c r="A276" s="1" t="s">
        <v>2582</v>
      </c>
      <c r="B276" s="1" t="s">
        <v>55</v>
      </c>
      <c r="C276" s="1" t="s">
        <v>2583</v>
      </c>
      <c r="D276" s="1" t="s">
        <v>2</v>
      </c>
      <c r="E276" s="1">
        <v>23</v>
      </c>
      <c r="F276" s="1" t="s">
        <v>1273</v>
      </c>
      <c r="H276" s="1" t="s">
        <v>2580</v>
      </c>
      <c r="I276" s="1" t="s">
        <v>7</v>
      </c>
      <c r="J276" s="1" t="s">
        <v>1275</v>
      </c>
      <c r="K276" s="1" t="s">
        <v>1276</v>
      </c>
      <c r="L276" s="1" t="s">
        <v>1275</v>
      </c>
      <c r="M276" s="1" t="s">
        <v>2584</v>
      </c>
      <c r="O276" s="1">
        <v>2</v>
      </c>
      <c r="Q276" s="1">
        <v>2006</v>
      </c>
      <c r="R276" s="1" t="s">
        <v>2557</v>
      </c>
      <c r="S276" s="1" t="s">
        <v>27</v>
      </c>
      <c r="T276" s="38">
        <v>1</v>
      </c>
      <c r="AH276" s="1">
        <v>15.8</v>
      </c>
      <c r="CR276" s="1">
        <v>9.1</v>
      </c>
    </row>
    <row r="277" spans="1:96" x14ac:dyDescent="0.2">
      <c r="A277" s="1" t="s">
        <v>2585</v>
      </c>
      <c r="B277" s="1" t="s">
        <v>55</v>
      </c>
      <c r="C277" s="1" t="s">
        <v>2583</v>
      </c>
      <c r="D277" s="1" t="s">
        <v>2</v>
      </c>
      <c r="E277" s="1">
        <v>23</v>
      </c>
      <c r="F277" s="1" t="s">
        <v>1273</v>
      </c>
      <c r="H277" s="1" t="s">
        <v>2580</v>
      </c>
      <c r="I277" s="1" t="s">
        <v>7</v>
      </c>
      <c r="J277" s="1" t="s">
        <v>1275</v>
      </c>
      <c r="K277" s="1" t="s">
        <v>1276</v>
      </c>
      <c r="L277" s="1" t="s">
        <v>1275</v>
      </c>
      <c r="M277" s="1" t="s">
        <v>2584</v>
      </c>
      <c r="O277" s="1">
        <v>2</v>
      </c>
      <c r="Q277" s="1">
        <v>2006</v>
      </c>
      <c r="R277" s="1" t="s">
        <v>2557</v>
      </c>
      <c r="S277" s="1" t="s">
        <v>27</v>
      </c>
      <c r="T277" s="38">
        <v>1</v>
      </c>
      <c r="AH277" s="1">
        <v>21.6</v>
      </c>
      <c r="CR277" s="1">
        <v>8.6</v>
      </c>
    </row>
    <row r="278" spans="1:96" x14ac:dyDescent="0.2">
      <c r="A278" s="1" t="s">
        <v>2586</v>
      </c>
      <c r="B278" s="1" t="s">
        <v>55</v>
      </c>
      <c r="C278" s="1" t="s">
        <v>2579</v>
      </c>
      <c r="D278" s="1" t="s">
        <v>2</v>
      </c>
      <c r="E278" s="1">
        <v>23</v>
      </c>
      <c r="F278" s="1" t="s">
        <v>1273</v>
      </c>
      <c r="H278" s="1" t="s">
        <v>2580</v>
      </c>
      <c r="I278" s="1" t="s">
        <v>7</v>
      </c>
      <c r="J278" s="1" t="s">
        <v>1275</v>
      </c>
      <c r="K278" s="1" t="s">
        <v>1276</v>
      </c>
      <c r="L278" s="1" t="s">
        <v>1275</v>
      </c>
      <c r="M278" s="1" t="s">
        <v>2587</v>
      </c>
      <c r="O278" s="1">
        <v>2</v>
      </c>
      <c r="Q278" s="1">
        <v>2006</v>
      </c>
      <c r="R278" s="1" t="s">
        <v>2557</v>
      </c>
      <c r="S278" s="1" t="s">
        <v>27</v>
      </c>
      <c r="T278" s="38">
        <v>1</v>
      </c>
      <c r="AH278" s="1">
        <v>14.3</v>
      </c>
      <c r="CR278" s="1">
        <v>4.2</v>
      </c>
    </row>
    <row r="279" spans="1:96" x14ac:dyDescent="0.2">
      <c r="A279" s="1" t="s">
        <v>2588</v>
      </c>
      <c r="B279" s="1" t="s">
        <v>55</v>
      </c>
      <c r="C279" s="1" t="s">
        <v>2579</v>
      </c>
      <c r="D279" s="1" t="s">
        <v>2</v>
      </c>
      <c r="E279" s="1">
        <v>23</v>
      </c>
      <c r="F279" s="1" t="s">
        <v>1273</v>
      </c>
      <c r="H279" s="1" t="s">
        <v>2589</v>
      </c>
      <c r="I279" s="1" t="s">
        <v>7</v>
      </c>
      <c r="J279" s="1" t="s">
        <v>1275</v>
      </c>
      <c r="K279" s="1" t="s">
        <v>1276</v>
      </c>
      <c r="L279" s="1" t="s">
        <v>1275</v>
      </c>
      <c r="M279" s="1" t="s">
        <v>2581</v>
      </c>
      <c r="O279" s="1">
        <v>2</v>
      </c>
      <c r="Q279" s="1">
        <v>2006</v>
      </c>
      <c r="R279" s="1" t="s">
        <v>2557</v>
      </c>
      <c r="S279" s="1" t="s">
        <v>27</v>
      </c>
      <c r="T279" s="38">
        <v>1</v>
      </c>
      <c r="AH279" s="1">
        <v>16.3</v>
      </c>
      <c r="CR279" s="1">
        <v>4.2</v>
      </c>
    </row>
    <row r="280" spans="1:96" x14ac:dyDescent="0.2">
      <c r="A280" s="1" t="s">
        <v>2590</v>
      </c>
      <c r="B280" s="1" t="s">
        <v>55</v>
      </c>
      <c r="C280" s="1" t="s">
        <v>2579</v>
      </c>
      <c r="D280" s="1" t="s">
        <v>2</v>
      </c>
      <c r="E280" s="1">
        <v>23</v>
      </c>
      <c r="F280" s="1" t="s">
        <v>1273</v>
      </c>
      <c r="H280" s="1" t="s">
        <v>2589</v>
      </c>
      <c r="I280" s="1" t="s">
        <v>7</v>
      </c>
      <c r="J280" s="1" t="s">
        <v>1275</v>
      </c>
      <c r="K280" s="1" t="s">
        <v>1276</v>
      </c>
      <c r="L280" s="1" t="s">
        <v>1275</v>
      </c>
      <c r="M280" s="1" t="s">
        <v>2587</v>
      </c>
      <c r="O280" s="1">
        <v>2</v>
      </c>
      <c r="Q280" s="1">
        <v>2006</v>
      </c>
      <c r="R280" s="1" t="s">
        <v>2557</v>
      </c>
      <c r="S280" s="1" t="s">
        <v>27</v>
      </c>
      <c r="T280" s="38">
        <v>1</v>
      </c>
      <c r="AH280" s="1">
        <v>17</v>
      </c>
      <c r="CR280" s="1">
        <v>6.6</v>
      </c>
    </row>
    <row r="281" spans="1:96" x14ac:dyDescent="0.2">
      <c r="A281" s="1" t="s">
        <v>2591</v>
      </c>
      <c r="B281" s="1" t="s">
        <v>55</v>
      </c>
      <c r="C281" s="1" t="s">
        <v>2583</v>
      </c>
      <c r="D281" s="1" t="s">
        <v>2</v>
      </c>
      <c r="E281" s="1">
        <v>23</v>
      </c>
      <c r="F281" s="1" t="s">
        <v>1273</v>
      </c>
      <c r="H281" s="1" t="s">
        <v>2592</v>
      </c>
      <c r="I281" s="1" t="s">
        <v>11</v>
      </c>
      <c r="J281" s="1" t="s">
        <v>1275</v>
      </c>
      <c r="K281" s="1" t="s">
        <v>1276</v>
      </c>
      <c r="L281" s="1" t="s">
        <v>1275</v>
      </c>
      <c r="O281" s="1">
        <v>1</v>
      </c>
      <c r="Q281" s="1">
        <v>2006</v>
      </c>
      <c r="R281" s="1" t="s">
        <v>2557</v>
      </c>
      <c r="S281" s="1" t="s">
        <v>27</v>
      </c>
      <c r="T281" s="38">
        <v>1</v>
      </c>
      <c r="AH281" s="1">
        <v>7</v>
      </c>
      <c r="CR281" s="1">
        <v>6.6</v>
      </c>
    </row>
    <row r="282" spans="1:96" x14ac:dyDescent="0.2">
      <c r="A282" s="1" t="s">
        <v>2593</v>
      </c>
      <c r="B282" s="1" t="s">
        <v>55</v>
      </c>
      <c r="C282" s="1" t="s">
        <v>2594</v>
      </c>
      <c r="D282" s="1" t="s">
        <v>2</v>
      </c>
      <c r="E282" s="1">
        <v>23</v>
      </c>
      <c r="F282" s="1" t="s">
        <v>1273</v>
      </c>
      <c r="H282" s="1" t="s">
        <v>2592</v>
      </c>
      <c r="I282" s="1" t="s">
        <v>11</v>
      </c>
      <c r="J282" s="1" t="s">
        <v>1275</v>
      </c>
      <c r="K282" s="1" t="s">
        <v>1276</v>
      </c>
      <c r="L282" s="1" t="s">
        <v>1275</v>
      </c>
      <c r="O282" s="1">
        <v>1</v>
      </c>
      <c r="Q282" s="1">
        <v>2006</v>
      </c>
      <c r="R282" s="1" t="s">
        <v>2557</v>
      </c>
      <c r="S282" s="1" t="s">
        <v>27</v>
      </c>
      <c r="T282" s="38">
        <v>1</v>
      </c>
      <c r="AH282" s="1">
        <v>9.8000000000000007</v>
      </c>
      <c r="CR282" s="1">
        <v>5.0999999999999996</v>
      </c>
    </row>
    <row r="283" spans="1:96" x14ac:dyDescent="0.2">
      <c r="A283" s="1" t="s">
        <v>2595</v>
      </c>
      <c r="B283" s="1" t="s">
        <v>55</v>
      </c>
      <c r="C283" s="1" t="s">
        <v>2596</v>
      </c>
      <c r="D283" s="1" t="s">
        <v>2</v>
      </c>
      <c r="E283" s="1">
        <v>23</v>
      </c>
      <c r="F283" s="1" t="s">
        <v>1273</v>
      </c>
      <c r="H283" s="1" t="s">
        <v>2592</v>
      </c>
      <c r="I283" s="1" t="s">
        <v>11</v>
      </c>
      <c r="J283" s="1" t="s">
        <v>1275</v>
      </c>
      <c r="K283" s="1" t="s">
        <v>1276</v>
      </c>
      <c r="L283" s="1" t="s">
        <v>1275</v>
      </c>
      <c r="O283" s="1">
        <v>1</v>
      </c>
      <c r="Q283" s="1">
        <v>2006</v>
      </c>
      <c r="R283" s="1" t="s">
        <v>2557</v>
      </c>
      <c r="S283" s="1" t="s">
        <v>27</v>
      </c>
      <c r="T283" s="38">
        <v>1</v>
      </c>
      <c r="AH283" s="1">
        <v>10.5</v>
      </c>
      <c r="CR283" s="1">
        <v>6.8</v>
      </c>
    </row>
    <row r="284" spans="1:96" x14ac:dyDescent="0.2">
      <c r="A284" s="1" t="s">
        <v>2597</v>
      </c>
      <c r="B284" s="1" t="s">
        <v>55</v>
      </c>
      <c r="C284" s="1" t="s">
        <v>236</v>
      </c>
      <c r="E284" s="1">
        <v>13</v>
      </c>
      <c r="F284" s="1" t="s">
        <v>2598</v>
      </c>
      <c r="G284" s="1" t="s">
        <v>2599</v>
      </c>
      <c r="H284" s="1" t="s">
        <v>2600</v>
      </c>
      <c r="I284" s="1" t="s">
        <v>7</v>
      </c>
      <c r="J284" s="1" t="s">
        <v>2601</v>
      </c>
      <c r="L284" s="1" t="s">
        <v>2601</v>
      </c>
      <c r="N284" s="1" t="s">
        <v>2602</v>
      </c>
      <c r="O284" s="1">
        <v>1</v>
      </c>
      <c r="P284" s="1" t="s">
        <v>2603</v>
      </c>
      <c r="Q284" s="1">
        <v>2010</v>
      </c>
      <c r="R284" s="1" t="s">
        <v>2604</v>
      </c>
      <c r="S284" s="1" t="s">
        <v>27</v>
      </c>
      <c r="T284" s="38">
        <v>1</v>
      </c>
      <c r="Z284" s="1">
        <v>72.91</v>
      </c>
      <c r="AE284" s="1">
        <v>20.07</v>
      </c>
      <c r="AJ284" s="1">
        <v>3.37</v>
      </c>
      <c r="AV284" s="1">
        <v>1.25</v>
      </c>
    </row>
    <row r="285" spans="1:96" x14ac:dyDescent="0.2">
      <c r="A285" s="1" t="s">
        <v>2605</v>
      </c>
      <c r="B285" s="1" t="s">
        <v>55</v>
      </c>
      <c r="C285" s="1" t="s">
        <v>236</v>
      </c>
      <c r="E285" s="1">
        <v>13</v>
      </c>
      <c r="F285" s="1" t="s">
        <v>2598</v>
      </c>
      <c r="G285" s="1" t="s">
        <v>2599</v>
      </c>
      <c r="H285" s="1" t="s">
        <v>2606</v>
      </c>
      <c r="I285" s="1" t="s">
        <v>11</v>
      </c>
      <c r="J285" s="1" t="s">
        <v>2601</v>
      </c>
      <c r="L285" s="1" t="s">
        <v>2601</v>
      </c>
      <c r="N285" s="1" t="s">
        <v>2607</v>
      </c>
      <c r="O285" s="1">
        <v>1</v>
      </c>
      <c r="P285" s="1" t="s">
        <v>2603</v>
      </c>
      <c r="Q285" s="1">
        <v>2010</v>
      </c>
      <c r="R285" s="1" t="s">
        <v>2604</v>
      </c>
      <c r="S285" s="1" t="s">
        <v>27</v>
      </c>
      <c r="T285" s="38">
        <v>1</v>
      </c>
      <c r="Z285" s="1">
        <v>58.51</v>
      </c>
      <c r="AE285" s="1">
        <v>28.07</v>
      </c>
      <c r="AJ285" s="1">
        <v>8.09</v>
      </c>
      <c r="AV285" s="1">
        <v>3.28</v>
      </c>
    </row>
    <row r="286" spans="1:96" x14ac:dyDescent="0.2">
      <c r="A286" s="1" t="s">
        <v>2608</v>
      </c>
      <c r="B286" s="1" t="s">
        <v>55</v>
      </c>
      <c r="C286" s="1" t="s">
        <v>236</v>
      </c>
      <c r="E286" s="1">
        <v>13</v>
      </c>
      <c r="F286" s="1" t="s">
        <v>2598</v>
      </c>
      <c r="G286" s="1" t="s">
        <v>2599</v>
      </c>
      <c r="H286" s="1" t="s">
        <v>2609</v>
      </c>
      <c r="I286" s="1" t="s">
        <v>11</v>
      </c>
      <c r="J286" s="1" t="s">
        <v>2601</v>
      </c>
      <c r="L286" s="1" t="s">
        <v>2601</v>
      </c>
      <c r="N286" s="1" t="s">
        <v>2610</v>
      </c>
      <c r="O286" s="1">
        <v>1</v>
      </c>
      <c r="P286" s="1" t="s">
        <v>2603</v>
      </c>
      <c r="Q286" s="1">
        <v>2010</v>
      </c>
      <c r="R286" s="1" t="s">
        <v>2604</v>
      </c>
      <c r="S286" s="1" t="s">
        <v>27</v>
      </c>
      <c r="T286" s="38">
        <v>1</v>
      </c>
      <c r="Z286" s="1">
        <v>59.68</v>
      </c>
      <c r="AE286" s="1">
        <v>27.14</v>
      </c>
      <c r="AJ286" s="1">
        <v>7.76</v>
      </c>
      <c r="AV286" s="1">
        <v>3.47</v>
      </c>
    </row>
    <row r="287" spans="1:96" x14ac:dyDescent="0.2">
      <c r="A287" s="1" t="s">
        <v>2611</v>
      </c>
      <c r="B287" s="1" t="s">
        <v>55</v>
      </c>
      <c r="C287" s="1" t="s">
        <v>2612</v>
      </c>
      <c r="D287" s="1" t="s">
        <v>2</v>
      </c>
      <c r="E287" s="1">
        <v>13</v>
      </c>
      <c r="F287" s="1" t="s">
        <v>2613</v>
      </c>
      <c r="H287" s="1" t="s">
        <v>2614</v>
      </c>
      <c r="I287" s="1" t="s">
        <v>7</v>
      </c>
      <c r="J287" s="1" t="s">
        <v>2615</v>
      </c>
      <c r="K287" s="1" t="s">
        <v>2616</v>
      </c>
      <c r="L287" s="1" t="s">
        <v>2617</v>
      </c>
      <c r="N287" s="1" t="s">
        <v>2618</v>
      </c>
      <c r="P287" s="1" t="s">
        <v>2619</v>
      </c>
      <c r="Q287" s="1">
        <v>2007</v>
      </c>
      <c r="R287" s="1" t="s">
        <v>2620</v>
      </c>
      <c r="S287" s="1" t="s">
        <v>27</v>
      </c>
      <c r="T287" s="38">
        <v>1</v>
      </c>
      <c r="Z287" s="1">
        <v>75.680000000000007</v>
      </c>
      <c r="AE287" s="1">
        <v>18.68</v>
      </c>
      <c r="AJ287" s="1">
        <v>3.03</v>
      </c>
      <c r="AV287" s="1">
        <v>1.17</v>
      </c>
    </row>
    <row r="288" spans="1:96" x14ac:dyDescent="0.2">
      <c r="A288" s="1" t="s">
        <v>2621</v>
      </c>
      <c r="B288" s="1" t="s">
        <v>55</v>
      </c>
      <c r="C288" s="1" t="s">
        <v>2612</v>
      </c>
      <c r="D288" s="1" t="s">
        <v>2</v>
      </c>
      <c r="E288" s="1">
        <v>13</v>
      </c>
      <c r="F288" s="1" t="s">
        <v>2613</v>
      </c>
      <c r="H288" s="1" t="s">
        <v>2614</v>
      </c>
      <c r="I288" s="1" t="s">
        <v>7</v>
      </c>
      <c r="J288" s="1" t="s">
        <v>2615</v>
      </c>
      <c r="K288" s="1" t="s">
        <v>2616</v>
      </c>
      <c r="L288" s="1" t="s">
        <v>2617</v>
      </c>
      <c r="N288" s="1" t="s">
        <v>2622</v>
      </c>
      <c r="P288" s="1" t="s">
        <v>2619</v>
      </c>
      <c r="Q288" s="1">
        <v>2007</v>
      </c>
      <c r="R288" s="1" t="s">
        <v>2620</v>
      </c>
      <c r="S288" s="1" t="s">
        <v>27</v>
      </c>
      <c r="T288" s="38">
        <v>1</v>
      </c>
      <c r="Z288" s="1">
        <v>75.209999999999994</v>
      </c>
      <c r="AE288" s="1">
        <v>18.41</v>
      </c>
      <c r="AJ288" s="1">
        <v>2.98</v>
      </c>
      <c r="AV288" s="1">
        <v>1.18</v>
      </c>
    </row>
    <row r="289" spans="1:153" x14ac:dyDescent="0.2">
      <c r="A289" s="1" t="s">
        <v>2623</v>
      </c>
      <c r="B289" s="1" t="s">
        <v>55</v>
      </c>
      <c r="C289" s="1" t="s">
        <v>2612</v>
      </c>
      <c r="D289" s="1" t="s">
        <v>2</v>
      </c>
      <c r="E289" s="1">
        <v>13</v>
      </c>
      <c r="F289" s="1" t="s">
        <v>2613</v>
      </c>
      <c r="H289" s="1" t="s">
        <v>2614</v>
      </c>
      <c r="I289" s="1" t="s">
        <v>7</v>
      </c>
      <c r="J289" s="1" t="s">
        <v>2615</v>
      </c>
      <c r="K289" s="1" t="s">
        <v>2616</v>
      </c>
      <c r="L289" s="1" t="s">
        <v>2617</v>
      </c>
      <c r="N289" s="1" t="s">
        <v>2624</v>
      </c>
      <c r="P289" s="1" t="s">
        <v>2619</v>
      </c>
      <c r="Q289" s="1">
        <v>2007</v>
      </c>
      <c r="R289" s="1" t="s">
        <v>2620</v>
      </c>
      <c r="S289" s="1" t="s">
        <v>27</v>
      </c>
      <c r="T289" s="38">
        <v>1</v>
      </c>
      <c r="Z289" s="1">
        <v>75.08</v>
      </c>
      <c r="AE289" s="1">
        <v>18.36</v>
      </c>
      <c r="AJ289" s="1">
        <v>2.9</v>
      </c>
      <c r="AV289" s="1">
        <v>1.18</v>
      </c>
    </row>
    <row r="290" spans="1:153" x14ac:dyDescent="0.2">
      <c r="A290" s="1" t="s">
        <v>2625</v>
      </c>
      <c r="B290" s="1" t="s">
        <v>55</v>
      </c>
      <c r="C290" s="1" t="s">
        <v>2612</v>
      </c>
      <c r="D290" s="1" t="s">
        <v>2</v>
      </c>
      <c r="E290" s="1">
        <v>13</v>
      </c>
      <c r="F290" s="1" t="s">
        <v>2613</v>
      </c>
      <c r="H290" s="1" t="s">
        <v>2614</v>
      </c>
      <c r="I290" s="1" t="s">
        <v>7</v>
      </c>
      <c r="J290" s="1" t="s">
        <v>2615</v>
      </c>
      <c r="K290" s="1" t="s">
        <v>2616</v>
      </c>
      <c r="L290" s="1" t="s">
        <v>2617</v>
      </c>
      <c r="N290" s="1" t="s">
        <v>2626</v>
      </c>
      <c r="P290" s="1" t="s">
        <v>2619</v>
      </c>
      <c r="Q290" s="1">
        <v>2007</v>
      </c>
      <c r="R290" s="1" t="s">
        <v>2620</v>
      </c>
      <c r="S290" s="1" t="s">
        <v>27</v>
      </c>
      <c r="T290" s="38">
        <v>1</v>
      </c>
      <c r="Z290" s="1" t="s">
        <v>2627</v>
      </c>
      <c r="AE290" s="1" t="s">
        <v>2628</v>
      </c>
      <c r="AJ290" s="1" t="s">
        <v>2629</v>
      </c>
      <c r="AV290" s="1" t="s">
        <v>2630</v>
      </c>
    </row>
    <row r="291" spans="1:153" x14ac:dyDescent="0.2">
      <c r="A291" s="1" t="s">
        <v>2631</v>
      </c>
      <c r="B291" s="1" t="s">
        <v>55</v>
      </c>
      <c r="C291" s="1" t="s">
        <v>2612</v>
      </c>
      <c r="D291" s="1" t="s">
        <v>2</v>
      </c>
      <c r="E291" s="1">
        <v>13</v>
      </c>
      <c r="F291" s="1" t="s">
        <v>2613</v>
      </c>
      <c r="H291" s="1" t="s">
        <v>2614</v>
      </c>
      <c r="I291" s="1" t="s">
        <v>7</v>
      </c>
      <c r="J291" s="1" t="s">
        <v>2615</v>
      </c>
      <c r="K291" s="1" t="s">
        <v>2616</v>
      </c>
      <c r="L291" s="1" t="s">
        <v>2617</v>
      </c>
      <c r="N291" s="1" t="s">
        <v>2632</v>
      </c>
      <c r="P291" s="1" t="s">
        <v>2619</v>
      </c>
      <c r="Q291" s="1">
        <v>2007</v>
      </c>
      <c r="R291" s="1" t="s">
        <v>2620</v>
      </c>
      <c r="S291" s="1" t="s">
        <v>27</v>
      </c>
      <c r="T291" s="38">
        <v>1</v>
      </c>
      <c r="Z291" s="1" t="s">
        <v>2627</v>
      </c>
      <c r="AE291" s="1" t="s">
        <v>2633</v>
      </c>
      <c r="AJ291" s="1" t="s">
        <v>2629</v>
      </c>
      <c r="AV291" s="1" t="s">
        <v>2634</v>
      </c>
    </row>
    <row r="292" spans="1:153" x14ac:dyDescent="0.2">
      <c r="A292" s="1" t="s">
        <v>2635</v>
      </c>
      <c r="B292" s="1" t="s">
        <v>55</v>
      </c>
      <c r="C292" s="1" t="s">
        <v>2612</v>
      </c>
      <c r="D292" s="1" t="s">
        <v>2</v>
      </c>
      <c r="E292" s="1">
        <v>13</v>
      </c>
      <c r="F292" s="1" t="s">
        <v>2613</v>
      </c>
      <c r="H292" s="1" t="s">
        <v>2614</v>
      </c>
      <c r="I292" s="1" t="s">
        <v>7</v>
      </c>
      <c r="J292" s="1" t="s">
        <v>2615</v>
      </c>
      <c r="K292" s="1" t="s">
        <v>2616</v>
      </c>
      <c r="L292" s="1" t="s">
        <v>2617</v>
      </c>
      <c r="N292" s="1" t="s">
        <v>2636</v>
      </c>
      <c r="P292" s="1" t="s">
        <v>2619</v>
      </c>
      <c r="Q292" s="1">
        <v>2007</v>
      </c>
      <c r="R292" s="1" t="s">
        <v>2620</v>
      </c>
      <c r="S292" s="1" t="s">
        <v>27</v>
      </c>
      <c r="T292" s="38">
        <v>1</v>
      </c>
      <c r="Z292" s="1" t="s">
        <v>2637</v>
      </c>
      <c r="AE292" s="1" t="s">
        <v>2638</v>
      </c>
      <c r="AJ292" s="1" t="s">
        <v>2639</v>
      </c>
      <c r="AV292" s="1" t="s">
        <v>2640</v>
      </c>
    </row>
    <row r="293" spans="1:153" x14ac:dyDescent="0.2">
      <c r="A293" s="1" t="s">
        <v>2641</v>
      </c>
      <c r="B293" s="1" t="s">
        <v>55</v>
      </c>
      <c r="C293" s="1" t="s">
        <v>238</v>
      </c>
      <c r="D293" s="1" t="s">
        <v>2</v>
      </c>
      <c r="E293" s="1">
        <v>13</v>
      </c>
      <c r="F293" s="1" t="s">
        <v>2598</v>
      </c>
      <c r="G293" s="1" t="s">
        <v>2599</v>
      </c>
      <c r="H293" s="1" t="s">
        <v>2642</v>
      </c>
      <c r="I293" s="1" t="s">
        <v>7</v>
      </c>
      <c r="J293" s="1" t="s">
        <v>2601</v>
      </c>
      <c r="L293" s="1" t="s">
        <v>2601</v>
      </c>
      <c r="M293" s="1" t="s">
        <v>2643</v>
      </c>
      <c r="N293" s="1" t="s">
        <v>2644</v>
      </c>
      <c r="O293" s="1">
        <v>3</v>
      </c>
      <c r="P293" s="1" t="s">
        <v>2645</v>
      </c>
      <c r="Q293" s="1">
        <v>2001</v>
      </c>
      <c r="R293" s="1" t="s">
        <v>2646</v>
      </c>
      <c r="S293" s="1" t="s">
        <v>27</v>
      </c>
      <c r="T293" s="38">
        <v>1</v>
      </c>
      <c r="Z293" s="1">
        <v>73.02</v>
      </c>
      <c r="AE293" s="1">
        <v>18.84</v>
      </c>
      <c r="AH293" s="1">
        <v>5.09</v>
      </c>
      <c r="AK293" s="1">
        <v>1.788498151</v>
      </c>
      <c r="AM293" s="1">
        <v>1.8976596400000001</v>
      </c>
      <c r="AV293" s="1">
        <v>1.17</v>
      </c>
      <c r="EW293" s="1">
        <v>52.79</v>
      </c>
    </row>
    <row r="294" spans="1:153" x14ac:dyDescent="0.2">
      <c r="A294" s="1" t="s">
        <v>2647</v>
      </c>
      <c r="B294" s="1" t="s">
        <v>55</v>
      </c>
      <c r="C294" s="1" t="s">
        <v>238</v>
      </c>
      <c r="D294" s="1" t="s">
        <v>2</v>
      </c>
      <c r="E294" s="1">
        <v>13</v>
      </c>
      <c r="F294" s="1" t="s">
        <v>2598</v>
      </c>
      <c r="G294" s="1" t="s">
        <v>2599</v>
      </c>
      <c r="H294" s="1" t="s">
        <v>2648</v>
      </c>
      <c r="I294" s="1" t="s">
        <v>7</v>
      </c>
      <c r="J294" s="1" t="s">
        <v>2601</v>
      </c>
      <c r="L294" s="1" t="s">
        <v>2601</v>
      </c>
      <c r="M294" s="1" t="s">
        <v>2643</v>
      </c>
      <c r="N294" s="1" t="s">
        <v>2644</v>
      </c>
      <c r="O294" s="1">
        <v>3</v>
      </c>
      <c r="P294" s="1" t="s">
        <v>2645</v>
      </c>
      <c r="Q294" s="1">
        <v>2001</v>
      </c>
      <c r="R294" s="1" t="s">
        <v>2646</v>
      </c>
      <c r="S294" s="1" t="s">
        <v>27</v>
      </c>
      <c r="T294" s="38">
        <v>1</v>
      </c>
      <c r="Z294" s="1">
        <v>71.77</v>
      </c>
      <c r="AE294" s="1">
        <v>20.03</v>
      </c>
      <c r="AH294" s="1">
        <v>6.83</v>
      </c>
      <c r="AK294" s="1">
        <v>2.2220234130000001</v>
      </c>
      <c r="AM294" s="1">
        <v>0.86214757600000003</v>
      </c>
      <c r="AV294" s="1">
        <v>1.1499999999999999</v>
      </c>
      <c r="EW294" s="1">
        <v>51.45</v>
      </c>
    </row>
    <row r="295" spans="1:153" x14ac:dyDescent="0.2">
      <c r="A295" s="1" t="s">
        <v>2649</v>
      </c>
      <c r="B295" s="1" t="s">
        <v>55</v>
      </c>
      <c r="C295" s="1" t="s">
        <v>238</v>
      </c>
      <c r="D295" s="1" t="s">
        <v>2</v>
      </c>
      <c r="E295" s="1">
        <v>13</v>
      </c>
      <c r="F295" s="1" t="s">
        <v>2650</v>
      </c>
      <c r="G295" s="1" t="s">
        <v>2651</v>
      </c>
      <c r="H295" s="1" t="s">
        <v>2652</v>
      </c>
      <c r="I295" s="1" t="s">
        <v>7</v>
      </c>
      <c r="J295" s="1" t="s">
        <v>2653</v>
      </c>
      <c r="K295" s="1" t="s">
        <v>2654</v>
      </c>
      <c r="L295" s="1" t="s">
        <v>1455</v>
      </c>
      <c r="M295" s="1" t="s">
        <v>2643</v>
      </c>
      <c r="N295" s="1" t="s">
        <v>2644</v>
      </c>
      <c r="O295" s="1">
        <v>3</v>
      </c>
      <c r="P295" s="1" t="s">
        <v>2645</v>
      </c>
      <c r="Q295" s="1">
        <v>2001</v>
      </c>
      <c r="R295" s="1" t="s">
        <v>2646</v>
      </c>
      <c r="S295" s="1" t="s">
        <v>27</v>
      </c>
      <c r="T295" s="38">
        <v>1</v>
      </c>
      <c r="Z295" s="1">
        <v>70.48</v>
      </c>
      <c r="AE295" s="1">
        <v>19.63</v>
      </c>
      <c r="AH295" s="1">
        <v>7.94</v>
      </c>
      <c r="AK295" s="1">
        <v>2.4432262260000002</v>
      </c>
      <c r="AM295" s="1">
        <v>1.073769956</v>
      </c>
      <c r="AV295" s="1">
        <v>1.19</v>
      </c>
      <c r="EW295" s="1">
        <v>46.11</v>
      </c>
    </row>
    <row r="296" spans="1:153" x14ac:dyDescent="0.2">
      <c r="A296" s="1" t="s">
        <v>2655</v>
      </c>
      <c r="B296" s="1" t="s">
        <v>55</v>
      </c>
      <c r="C296" s="1" t="s">
        <v>238</v>
      </c>
      <c r="D296" s="1" t="s">
        <v>2</v>
      </c>
      <c r="E296" s="1">
        <v>13</v>
      </c>
      <c r="F296" s="1" t="s">
        <v>2656</v>
      </c>
      <c r="G296" s="1" t="s">
        <v>2657</v>
      </c>
      <c r="H296" s="1" t="s">
        <v>2658</v>
      </c>
      <c r="I296" s="1" t="s">
        <v>7</v>
      </c>
      <c r="J296" s="1" t="s">
        <v>2659</v>
      </c>
      <c r="L296" s="1" t="s">
        <v>2659</v>
      </c>
      <c r="M296" s="1" t="s">
        <v>2643</v>
      </c>
      <c r="N296" s="1" t="s">
        <v>2644</v>
      </c>
      <c r="O296" s="1">
        <v>3</v>
      </c>
      <c r="P296" s="1" t="s">
        <v>2645</v>
      </c>
      <c r="Q296" s="1">
        <v>2001</v>
      </c>
      <c r="R296" s="1" t="s">
        <v>2646</v>
      </c>
      <c r="S296" s="1" t="s">
        <v>27</v>
      </c>
      <c r="T296" s="38">
        <v>1</v>
      </c>
      <c r="Z296" s="1">
        <v>73.37</v>
      </c>
      <c r="AE296" s="1">
        <v>19.059999999999999</v>
      </c>
      <c r="AH296" s="1">
        <v>5.6</v>
      </c>
      <c r="AK296" s="1">
        <v>1.71561568</v>
      </c>
      <c r="AM296" s="1">
        <v>0.95334567999999997</v>
      </c>
      <c r="AV296" s="1">
        <v>1.1299999999999999</v>
      </c>
      <c r="EW296" s="1">
        <v>50.33</v>
      </c>
    </row>
    <row r="297" spans="1:153" x14ac:dyDescent="0.2">
      <c r="A297" s="1" t="s">
        <v>2660</v>
      </c>
      <c r="B297" s="1" t="s">
        <v>55</v>
      </c>
      <c r="C297" s="1" t="s">
        <v>238</v>
      </c>
      <c r="D297" s="1" t="s">
        <v>2</v>
      </c>
      <c r="E297" s="1">
        <v>13</v>
      </c>
      <c r="F297" s="1" t="s">
        <v>2656</v>
      </c>
      <c r="G297" s="1" t="s">
        <v>2657</v>
      </c>
      <c r="H297" s="1" t="s">
        <v>2661</v>
      </c>
      <c r="I297" s="1" t="s">
        <v>7</v>
      </c>
      <c r="J297" s="1" t="s">
        <v>2659</v>
      </c>
      <c r="L297" s="1" t="s">
        <v>2659</v>
      </c>
      <c r="M297" s="1" t="s">
        <v>2643</v>
      </c>
      <c r="N297" s="1" t="s">
        <v>2644</v>
      </c>
      <c r="O297" s="1">
        <v>3</v>
      </c>
      <c r="P297" s="1" t="s">
        <v>2645</v>
      </c>
      <c r="Q297" s="1">
        <v>2001</v>
      </c>
      <c r="R297" s="1" t="s">
        <v>2646</v>
      </c>
      <c r="S297" s="1" t="s">
        <v>27</v>
      </c>
      <c r="T297" s="38">
        <v>1</v>
      </c>
      <c r="Z297" s="1">
        <v>73.98</v>
      </c>
      <c r="AE297" s="1">
        <v>19.739999999999998</v>
      </c>
      <c r="AH297" s="1">
        <v>3.74</v>
      </c>
      <c r="AK297" s="1">
        <v>1.19299873</v>
      </c>
      <c r="AM297" s="1">
        <v>0.49460087600000002</v>
      </c>
      <c r="AV297" s="1">
        <v>1.32</v>
      </c>
      <c r="EW297" s="1">
        <v>49.68</v>
      </c>
    </row>
    <row r="298" spans="1:153" x14ac:dyDescent="0.2">
      <c r="A298" s="1" t="s">
        <v>2662</v>
      </c>
      <c r="B298" s="1" t="s">
        <v>55</v>
      </c>
      <c r="C298" s="1" t="s">
        <v>2663</v>
      </c>
      <c r="D298" s="1" t="s">
        <v>2</v>
      </c>
      <c r="E298" s="1">
        <v>13</v>
      </c>
      <c r="F298" s="1" t="s">
        <v>1447</v>
      </c>
      <c r="G298" s="1" t="s">
        <v>1448</v>
      </c>
      <c r="H298" s="1" t="s">
        <v>2664</v>
      </c>
      <c r="I298" s="1" t="s">
        <v>7</v>
      </c>
      <c r="J298" s="1" t="s">
        <v>1450</v>
      </c>
      <c r="K298" s="1" t="s">
        <v>1451</v>
      </c>
      <c r="L298" s="1" t="s">
        <v>2665</v>
      </c>
      <c r="M298" s="1" t="s">
        <v>2666</v>
      </c>
      <c r="N298" s="1" t="s">
        <v>2667</v>
      </c>
      <c r="O298" s="1">
        <v>3</v>
      </c>
      <c r="P298" s="1" t="s">
        <v>2668</v>
      </c>
      <c r="Q298" s="1">
        <v>2009</v>
      </c>
      <c r="R298" s="1" t="s">
        <v>2669</v>
      </c>
      <c r="S298" s="1" t="s">
        <v>27</v>
      </c>
      <c r="T298" s="38">
        <v>1</v>
      </c>
      <c r="Z298" s="1">
        <v>71</v>
      </c>
      <c r="AE298" s="1">
        <v>17.899999999999999</v>
      </c>
      <c r="AH298" s="1">
        <v>8.9</v>
      </c>
      <c r="AK298" s="1">
        <v>3.1921287135575902</v>
      </c>
      <c r="AL298" s="1">
        <v>3.60376718927896</v>
      </c>
      <c r="AM298" s="1">
        <v>1.22693654437415</v>
      </c>
      <c r="AN298" s="1">
        <v>0.13786755278929799</v>
      </c>
      <c r="AV298" s="1">
        <v>1.1000000000000001</v>
      </c>
    </row>
    <row r="299" spans="1:153" x14ac:dyDescent="0.2">
      <c r="A299" s="1" t="s">
        <v>2670</v>
      </c>
      <c r="B299" s="1" t="s">
        <v>55</v>
      </c>
      <c r="C299" s="1" t="s">
        <v>2663</v>
      </c>
      <c r="D299" s="1" t="s">
        <v>2</v>
      </c>
      <c r="E299" s="1">
        <v>13</v>
      </c>
      <c r="F299" s="1" t="s">
        <v>1433</v>
      </c>
      <c r="G299" s="1" t="s">
        <v>1434</v>
      </c>
      <c r="H299" s="1" t="s">
        <v>2671</v>
      </c>
      <c r="I299" s="1" t="s">
        <v>7</v>
      </c>
      <c r="J299" s="1" t="s">
        <v>1437</v>
      </c>
      <c r="K299" s="1" t="s">
        <v>1434</v>
      </c>
      <c r="L299" s="1" t="s">
        <v>1437</v>
      </c>
      <c r="M299" s="1" t="s">
        <v>2666</v>
      </c>
      <c r="N299" s="1" t="s">
        <v>2672</v>
      </c>
      <c r="O299" s="1">
        <v>3</v>
      </c>
      <c r="P299" s="1" t="s">
        <v>2668</v>
      </c>
      <c r="Q299" s="1">
        <v>2009</v>
      </c>
      <c r="R299" s="1" t="s">
        <v>2669</v>
      </c>
      <c r="S299" s="1" t="s">
        <v>27</v>
      </c>
      <c r="T299" s="38">
        <v>1</v>
      </c>
      <c r="Z299" s="1">
        <v>70.099999999999994</v>
      </c>
      <c r="AE299" s="1">
        <v>15</v>
      </c>
      <c r="AH299" s="1">
        <v>12.2</v>
      </c>
      <c r="AK299" s="1">
        <v>4.0602294238757297</v>
      </c>
      <c r="AL299" s="1">
        <v>5.9075256407918904</v>
      </c>
      <c r="AM299" s="1">
        <v>1.1154357764645499</v>
      </c>
      <c r="AN299" s="1">
        <v>0.15640915886783199</v>
      </c>
      <c r="AV299" s="1">
        <v>1.1000000000000001</v>
      </c>
    </row>
    <row r="300" spans="1:153" x14ac:dyDescent="0.2">
      <c r="A300" s="1" t="s">
        <v>2673</v>
      </c>
      <c r="B300" s="1" t="s">
        <v>55</v>
      </c>
      <c r="C300" s="1" t="s">
        <v>2674</v>
      </c>
      <c r="D300" s="1" t="s">
        <v>2</v>
      </c>
      <c r="E300" s="1">
        <v>13</v>
      </c>
      <c r="F300" s="1" t="s">
        <v>1694</v>
      </c>
      <c r="H300" s="1" t="s">
        <v>2675</v>
      </c>
      <c r="I300" s="1" t="s">
        <v>7</v>
      </c>
      <c r="J300" s="1" t="s">
        <v>1696</v>
      </c>
      <c r="K300" s="1" t="s">
        <v>1697</v>
      </c>
      <c r="L300" s="1" t="s">
        <v>1696</v>
      </c>
      <c r="M300" s="1" t="s">
        <v>480</v>
      </c>
      <c r="N300" s="1" t="s">
        <v>2676</v>
      </c>
      <c r="O300" s="1">
        <v>10</v>
      </c>
      <c r="P300" s="1" t="s">
        <v>1269</v>
      </c>
      <c r="Q300" s="1">
        <v>2008</v>
      </c>
      <c r="R300" s="1" t="s">
        <v>2677</v>
      </c>
      <c r="S300" s="1" t="s">
        <v>27</v>
      </c>
      <c r="T300" s="38">
        <v>1</v>
      </c>
      <c r="AI300" s="1">
        <v>2.4</v>
      </c>
      <c r="AK300" s="1">
        <v>0.56723171999999999</v>
      </c>
      <c r="AL300" s="1">
        <v>0.64772580000000002</v>
      </c>
      <c r="AM300" s="1">
        <v>0.88124248000000005</v>
      </c>
    </row>
    <row r="301" spans="1:153" x14ac:dyDescent="0.2">
      <c r="A301" s="1" t="s">
        <v>2678</v>
      </c>
      <c r="B301" s="1" t="s">
        <v>55</v>
      </c>
      <c r="C301" s="1" t="s">
        <v>2679</v>
      </c>
      <c r="D301" s="1" t="s">
        <v>2</v>
      </c>
      <c r="E301" s="1">
        <v>13</v>
      </c>
      <c r="F301" s="1" t="s">
        <v>2680</v>
      </c>
      <c r="H301" s="1" t="s">
        <v>2681</v>
      </c>
      <c r="I301" s="1" t="s">
        <v>7</v>
      </c>
      <c r="J301" s="1" t="s">
        <v>2682</v>
      </c>
      <c r="K301" s="1" t="s">
        <v>2683</v>
      </c>
      <c r="L301" s="1" t="s">
        <v>2684</v>
      </c>
      <c r="N301" s="1" t="s">
        <v>2685</v>
      </c>
      <c r="Q301" s="1">
        <v>2008</v>
      </c>
      <c r="R301" s="1" t="s">
        <v>2686</v>
      </c>
      <c r="S301" s="1" t="s">
        <v>27</v>
      </c>
      <c r="T301" s="38">
        <v>1</v>
      </c>
      <c r="V301" s="1">
        <v>612</v>
      </c>
      <c r="Z301" s="1">
        <v>76.25</v>
      </c>
      <c r="AA301" s="1">
        <v>6.25</v>
      </c>
      <c r="AC301" s="1">
        <v>19.27</v>
      </c>
      <c r="AH301" s="1">
        <v>3.98</v>
      </c>
      <c r="AK301" s="1">
        <v>0.94564800000000004</v>
      </c>
      <c r="AL301" s="1">
        <v>1.0435559999999999</v>
      </c>
      <c r="AM301" s="1">
        <v>1.100868</v>
      </c>
      <c r="AV301" s="1" t="s">
        <v>2687</v>
      </c>
    </row>
    <row r="302" spans="1:153" x14ac:dyDescent="0.2">
      <c r="A302" s="1" t="s">
        <v>2688</v>
      </c>
      <c r="B302" s="1" t="s">
        <v>55</v>
      </c>
      <c r="C302" s="1" t="s">
        <v>2679</v>
      </c>
      <c r="D302" s="1" t="s">
        <v>2</v>
      </c>
      <c r="E302" s="1">
        <v>13</v>
      </c>
      <c r="F302" s="1" t="s">
        <v>2680</v>
      </c>
      <c r="H302" s="1" t="s">
        <v>2689</v>
      </c>
      <c r="I302" s="1" t="s">
        <v>7</v>
      </c>
      <c r="J302" s="1" t="s">
        <v>2682</v>
      </c>
      <c r="K302" s="1" t="s">
        <v>2683</v>
      </c>
      <c r="L302" s="1" t="s">
        <v>2684</v>
      </c>
      <c r="N302" s="1" t="s">
        <v>2690</v>
      </c>
      <c r="Q302" s="1">
        <v>2008</v>
      </c>
      <c r="R302" s="1" t="s">
        <v>2686</v>
      </c>
      <c r="S302" s="1" t="s">
        <v>27</v>
      </c>
      <c r="T302" s="38">
        <v>1</v>
      </c>
      <c r="V302" s="1">
        <v>592</v>
      </c>
      <c r="Z302" s="1">
        <v>77.14</v>
      </c>
      <c r="AA302" s="1">
        <v>6.25</v>
      </c>
      <c r="AC302" s="1">
        <v>18.670000000000002</v>
      </c>
      <c r="AH302" s="1">
        <v>3.82</v>
      </c>
      <c r="AK302" s="1">
        <v>0.94468600000000003</v>
      </c>
      <c r="AL302" s="1">
        <v>1.1379779999999999</v>
      </c>
      <c r="AM302" s="1">
        <v>1.1295740000000001</v>
      </c>
      <c r="AV302" s="1" t="s">
        <v>2691</v>
      </c>
    </row>
    <row r="303" spans="1:153" x14ac:dyDescent="0.2">
      <c r="A303" s="1" t="s">
        <v>2692</v>
      </c>
      <c r="B303" s="1" t="s">
        <v>55</v>
      </c>
      <c r="C303" s="1" t="s">
        <v>2679</v>
      </c>
      <c r="D303" s="1" t="s">
        <v>2</v>
      </c>
      <c r="E303" s="1">
        <v>13</v>
      </c>
      <c r="F303" s="1" t="s">
        <v>2680</v>
      </c>
      <c r="H303" s="1" t="s">
        <v>2693</v>
      </c>
      <c r="I303" s="1" t="s">
        <v>7</v>
      </c>
      <c r="J303" s="1" t="s">
        <v>2682</v>
      </c>
      <c r="K303" s="1" t="s">
        <v>2683</v>
      </c>
      <c r="L303" s="1" t="s">
        <v>2684</v>
      </c>
      <c r="N303" s="1" t="s">
        <v>2694</v>
      </c>
      <c r="Q303" s="1">
        <v>2008</v>
      </c>
      <c r="R303" s="1" t="s">
        <v>2686</v>
      </c>
      <c r="S303" s="1" t="s">
        <v>27</v>
      </c>
      <c r="T303" s="38">
        <v>1</v>
      </c>
      <c r="V303" s="1">
        <v>593</v>
      </c>
      <c r="Z303" s="1">
        <v>77.63</v>
      </c>
      <c r="AA303" s="1">
        <v>6.25</v>
      </c>
      <c r="AC303" s="1">
        <v>17.829999999999998</v>
      </c>
      <c r="AH303" s="1">
        <v>4.3600000000000003</v>
      </c>
      <c r="AK303" s="1">
        <v>1.1022080000000001</v>
      </c>
      <c r="AL303" s="1">
        <v>1.2761720000000001</v>
      </c>
      <c r="AM303" s="1">
        <v>1.273992</v>
      </c>
      <c r="AV303" s="1" t="s">
        <v>2691</v>
      </c>
    </row>
    <row r="304" spans="1:153" x14ac:dyDescent="0.2">
      <c r="A304" s="1" t="s">
        <v>2695</v>
      </c>
      <c r="B304" s="1" t="s">
        <v>55</v>
      </c>
      <c r="C304" s="1" t="s">
        <v>2696</v>
      </c>
      <c r="D304" s="1" t="s">
        <v>2</v>
      </c>
      <c r="E304" s="1">
        <v>21</v>
      </c>
      <c r="F304" s="1" t="s">
        <v>2697</v>
      </c>
      <c r="H304" s="1" t="s">
        <v>2698</v>
      </c>
      <c r="I304" s="1" t="s">
        <v>7</v>
      </c>
      <c r="J304" s="1" t="s">
        <v>2699</v>
      </c>
      <c r="K304" s="1" t="s">
        <v>2700</v>
      </c>
      <c r="L304" s="1" t="s">
        <v>2699</v>
      </c>
      <c r="M304" s="1" t="s">
        <v>2701</v>
      </c>
      <c r="N304" s="1" t="s">
        <v>2702</v>
      </c>
      <c r="O304" s="1">
        <v>1</v>
      </c>
      <c r="Q304" s="1">
        <v>1991</v>
      </c>
      <c r="R304" s="1" t="s">
        <v>2703</v>
      </c>
      <c r="S304" s="1" t="s">
        <v>27</v>
      </c>
      <c r="T304" s="38">
        <v>1</v>
      </c>
      <c r="U304" s="1">
        <v>0.33500000000000002</v>
      </c>
      <c r="Z304" s="1">
        <v>81.900000000000006</v>
      </c>
      <c r="AC304" s="1">
        <v>15.8</v>
      </c>
      <c r="AI304" s="1">
        <v>1.53</v>
      </c>
      <c r="AV304" s="1">
        <v>0.93</v>
      </c>
      <c r="BF304" s="1">
        <v>1.98</v>
      </c>
    </row>
    <row r="305" spans="1:162" x14ac:dyDescent="0.2">
      <c r="A305" s="1" t="s">
        <v>2704</v>
      </c>
      <c r="B305" s="1" t="s">
        <v>55</v>
      </c>
      <c r="C305" s="1" t="s">
        <v>2696</v>
      </c>
      <c r="D305" s="1" t="s">
        <v>2</v>
      </c>
      <c r="E305" s="1">
        <v>21</v>
      </c>
      <c r="F305" s="1" t="s">
        <v>2697</v>
      </c>
      <c r="H305" s="1" t="s">
        <v>2705</v>
      </c>
      <c r="I305" s="1" t="s">
        <v>7</v>
      </c>
      <c r="J305" s="1" t="s">
        <v>2699</v>
      </c>
      <c r="K305" s="1" t="s">
        <v>2700</v>
      </c>
      <c r="L305" s="1" t="s">
        <v>2699</v>
      </c>
      <c r="M305" s="1" t="s">
        <v>2701</v>
      </c>
      <c r="N305" s="1" t="s">
        <v>2706</v>
      </c>
      <c r="O305" s="1">
        <v>1</v>
      </c>
      <c r="Q305" s="1">
        <v>1991</v>
      </c>
      <c r="R305" s="1" t="s">
        <v>2703</v>
      </c>
      <c r="S305" s="1" t="s">
        <v>27</v>
      </c>
      <c r="T305" s="38">
        <v>1</v>
      </c>
      <c r="U305" s="1">
        <v>0.33500000000000002</v>
      </c>
      <c r="Z305" s="1">
        <v>83.8</v>
      </c>
      <c r="AC305" s="1">
        <v>15.9</v>
      </c>
      <c r="AI305" s="1">
        <v>0.27</v>
      </c>
      <c r="AV305" s="1">
        <v>1</v>
      </c>
      <c r="BF305" s="1">
        <v>0.64</v>
      </c>
    </row>
    <row r="306" spans="1:162" x14ac:dyDescent="0.2">
      <c r="A306" s="1" t="s">
        <v>2707</v>
      </c>
      <c r="B306" s="1" t="s">
        <v>55</v>
      </c>
      <c r="C306" s="1" t="s">
        <v>2708</v>
      </c>
      <c r="D306" s="1" t="s">
        <v>2</v>
      </c>
      <c r="E306" s="1">
        <v>22</v>
      </c>
      <c r="F306" s="1" t="s">
        <v>2709</v>
      </c>
      <c r="H306" s="1" t="s">
        <v>2710</v>
      </c>
      <c r="I306" s="1" t="s">
        <v>7</v>
      </c>
      <c r="J306" s="1" t="s">
        <v>2711</v>
      </c>
      <c r="K306" s="1" t="s">
        <v>2712</v>
      </c>
      <c r="L306" s="1" t="s">
        <v>2711</v>
      </c>
      <c r="N306" s="1" t="s">
        <v>2713</v>
      </c>
      <c r="O306" s="1">
        <v>3</v>
      </c>
      <c r="P306" s="1" t="s">
        <v>2714</v>
      </c>
      <c r="Q306" s="1">
        <v>2009</v>
      </c>
      <c r="R306" s="1" t="s">
        <v>2715</v>
      </c>
      <c r="S306" s="1" t="s">
        <v>27</v>
      </c>
      <c r="T306" s="38">
        <v>1</v>
      </c>
      <c r="Z306" s="1">
        <v>67.400000000000006</v>
      </c>
      <c r="AE306" s="1">
        <v>18.899999999999999</v>
      </c>
      <c r="AH306" s="1">
        <v>13.1</v>
      </c>
      <c r="FA306" s="1">
        <v>1.4672000000000001</v>
      </c>
      <c r="FE306" s="1">
        <v>8.8948999999999998</v>
      </c>
      <c r="FF306" s="1">
        <v>589.5</v>
      </c>
    </row>
    <row r="307" spans="1:162" x14ac:dyDescent="0.2">
      <c r="A307" s="1" t="s">
        <v>2716</v>
      </c>
      <c r="B307" s="1" t="s">
        <v>55</v>
      </c>
      <c r="C307" s="1" t="s">
        <v>236</v>
      </c>
      <c r="E307" s="1">
        <v>22</v>
      </c>
      <c r="F307" s="1" t="s">
        <v>1753</v>
      </c>
      <c r="H307" s="1" t="s">
        <v>2717</v>
      </c>
      <c r="I307" s="1" t="s">
        <v>11</v>
      </c>
      <c r="J307" s="1" t="s">
        <v>1755</v>
      </c>
      <c r="K307" s="1" t="s">
        <v>1756</v>
      </c>
      <c r="L307" s="1" t="s">
        <v>1755</v>
      </c>
      <c r="O307" s="1">
        <v>3</v>
      </c>
      <c r="Q307" s="1">
        <v>2010</v>
      </c>
      <c r="R307" s="1" t="s">
        <v>2718</v>
      </c>
      <c r="S307" s="1" t="s">
        <v>27</v>
      </c>
      <c r="T307" s="38">
        <v>1</v>
      </c>
      <c r="W307" s="1" t="s">
        <v>2719</v>
      </c>
      <c r="Z307" s="1" t="s">
        <v>2720</v>
      </c>
      <c r="AC307" s="1" t="s">
        <v>2721</v>
      </c>
      <c r="AI307" s="1" t="s">
        <v>2722</v>
      </c>
      <c r="AV307" s="1" t="s">
        <v>1224</v>
      </c>
      <c r="AY307" s="1">
        <v>28.22</v>
      </c>
      <c r="BH307" s="1">
        <v>171.03</v>
      </c>
      <c r="BJ307" s="1">
        <v>22.61</v>
      </c>
      <c r="BM307" s="1">
        <v>469.57</v>
      </c>
      <c r="BN307" s="1">
        <v>1500</v>
      </c>
    </row>
    <row r="308" spans="1:162" x14ac:dyDescent="0.2">
      <c r="A308" s="1" t="s">
        <v>2723</v>
      </c>
      <c r="B308" s="1" t="s">
        <v>55</v>
      </c>
      <c r="C308" s="1" t="s">
        <v>236</v>
      </c>
      <c r="E308" s="1">
        <v>33</v>
      </c>
      <c r="F308" s="1" t="s">
        <v>1288</v>
      </c>
      <c r="H308" s="1" t="s">
        <v>2724</v>
      </c>
      <c r="I308" s="1" t="s">
        <v>11</v>
      </c>
      <c r="J308" s="1" t="s">
        <v>1290</v>
      </c>
      <c r="K308" s="1" t="s">
        <v>1291</v>
      </c>
      <c r="L308" s="1" t="s">
        <v>1290</v>
      </c>
      <c r="O308" s="1">
        <v>3</v>
      </c>
      <c r="Q308" s="1">
        <v>2010</v>
      </c>
      <c r="R308" s="1" t="s">
        <v>2718</v>
      </c>
      <c r="S308" s="1" t="s">
        <v>27</v>
      </c>
      <c r="T308" s="38">
        <v>1</v>
      </c>
      <c r="W308" s="1">
        <v>93.8</v>
      </c>
      <c r="Z308" s="1">
        <v>75.900000000000006</v>
      </c>
      <c r="AC308" s="1">
        <v>20.7</v>
      </c>
      <c r="AI308" s="1">
        <v>0.51</v>
      </c>
      <c r="AV308" s="1">
        <v>4.7</v>
      </c>
      <c r="AY308" s="1">
        <v>24.78</v>
      </c>
      <c r="BH308" s="1">
        <v>383.42</v>
      </c>
      <c r="BJ308" s="1">
        <v>32.1</v>
      </c>
      <c r="BM308" s="1">
        <v>1506.64</v>
      </c>
      <c r="BN308" s="1">
        <v>3500</v>
      </c>
    </row>
    <row r="309" spans="1:162" x14ac:dyDescent="0.2">
      <c r="A309" s="1" t="s">
        <v>2725</v>
      </c>
      <c r="B309" s="1" t="s">
        <v>55</v>
      </c>
      <c r="C309" s="1" t="s">
        <v>2726</v>
      </c>
      <c r="D309" s="1" t="s">
        <v>2</v>
      </c>
      <c r="E309" s="1">
        <v>23</v>
      </c>
      <c r="F309" s="1" t="s">
        <v>1273</v>
      </c>
      <c r="H309" s="1" t="s">
        <v>2727</v>
      </c>
      <c r="I309" s="1" t="s">
        <v>11</v>
      </c>
      <c r="J309" s="1" t="s">
        <v>1275</v>
      </c>
      <c r="K309" s="1" t="s">
        <v>1276</v>
      </c>
      <c r="L309" s="1" t="s">
        <v>1275</v>
      </c>
      <c r="O309" s="1">
        <v>3</v>
      </c>
      <c r="Q309" s="1">
        <v>2010</v>
      </c>
      <c r="R309" s="1" t="s">
        <v>2718</v>
      </c>
      <c r="S309" s="1" t="s">
        <v>27</v>
      </c>
      <c r="T309" s="38">
        <v>1</v>
      </c>
      <c r="W309" s="1">
        <v>205.6</v>
      </c>
      <c r="Z309" s="1">
        <v>61.1</v>
      </c>
      <c r="AC309" s="1">
        <v>20.7</v>
      </c>
      <c r="AI309" s="1">
        <v>13</v>
      </c>
      <c r="AV309" s="1">
        <v>4.0999999999999996</v>
      </c>
      <c r="AY309" s="1">
        <v>38.590000000000003</v>
      </c>
      <c r="BH309" s="1">
        <v>312.25</v>
      </c>
      <c r="BJ309" s="1">
        <v>31.5</v>
      </c>
      <c r="BM309" s="1">
        <v>1366.29</v>
      </c>
      <c r="BN309" s="1">
        <v>2970</v>
      </c>
    </row>
    <row r="310" spans="1:162" x14ac:dyDescent="0.2">
      <c r="A310" s="1" t="s">
        <v>2728</v>
      </c>
      <c r="B310" s="1" t="s">
        <v>55</v>
      </c>
      <c r="C310" s="1" t="s">
        <v>2583</v>
      </c>
      <c r="D310" s="1" t="s">
        <v>2</v>
      </c>
      <c r="E310" s="1">
        <v>23</v>
      </c>
      <c r="F310" s="1" t="s">
        <v>1273</v>
      </c>
      <c r="H310" s="1" t="s">
        <v>2729</v>
      </c>
      <c r="I310" s="1" t="s">
        <v>11</v>
      </c>
      <c r="J310" s="1" t="s">
        <v>1275</v>
      </c>
      <c r="K310" s="1" t="s">
        <v>1276</v>
      </c>
      <c r="L310" s="1" t="s">
        <v>1275</v>
      </c>
      <c r="O310" s="1">
        <v>3</v>
      </c>
      <c r="Q310" s="1">
        <v>2010</v>
      </c>
      <c r="R310" s="1" t="s">
        <v>2718</v>
      </c>
      <c r="S310" s="1" t="s">
        <v>27</v>
      </c>
      <c r="T310" s="38">
        <v>1</v>
      </c>
      <c r="W310" s="1">
        <v>211.9</v>
      </c>
      <c r="Z310" s="1">
        <v>61.2</v>
      </c>
      <c r="AC310" s="1">
        <v>22.3</v>
      </c>
      <c r="AI310" s="1">
        <v>12.9</v>
      </c>
      <c r="AV310" s="1">
        <v>4</v>
      </c>
      <c r="AY310" s="1">
        <v>19.12</v>
      </c>
      <c r="BH310" s="1">
        <v>254.25</v>
      </c>
      <c r="BJ310" s="1">
        <v>56.19</v>
      </c>
      <c r="BM310" s="1">
        <v>5285.66</v>
      </c>
      <c r="BN310" s="1">
        <v>2660</v>
      </c>
      <c r="DP310" s="1">
        <v>0.43</v>
      </c>
    </row>
    <row r="311" spans="1:162" x14ac:dyDescent="0.2">
      <c r="A311" s="1" t="s">
        <v>2730</v>
      </c>
      <c r="B311" s="1" t="s">
        <v>55</v>
      </c>
      <c r="C311" s="1" t="s">
        <v>2731</v>
      </c>
      <c r="D311" s="1" t="s">
        <v>2</v>
      </c>
      <c r="E311" s="1">
        <v>23</v>
      </c>
      <c r="F311" s="1" t="s">
        <v>1273</v>
      </c>
      <c r="H311" s="1" t="s">
        <v>2729</v>
      </c>
      <c r="I311" s="1" t="s">
        <v>11</v>
      </c>
      <c r="J311" s="1" t="s">
        <v>1275</v>
      </c>
      <c r="K311" s="1" t="s">
        <v>1276</v>
      </c>
      <c r="L311" s="1" t="s">
        <v>1275</v>
      </c>
      <c r="O311" s="1">
        <v>3</v>
      </c>
      <c r="Q311" s="1">
        <v>2010</v>
      </c>
      <c r="R311" s="1" t="s">
        <v>2718</v>
      </c>
      <c r="S311" s="1" t="s">
        <v>27</v>
      </c>
      <c r="T311" s="38">
        <v>1</v>
      </c>
      <c r="W311" s="1">
        <v>192.9</v>
      </c>
      <c r="Z311" s="1">
        <v>63.1</v>
      </c>
      <c r="AC311" s="1">
        <v>22.5</v>
      </c>
      <c r="AI311" s="1">
        <v>10.7</v>
      </c>
      <c r="AV311" s="1">
        <v>3.5</v>
      </c>
      <c r="AY311" s="1">
        <v>93.01</v>
      </c>
      <c r="BH311" s="1">
        <v>477.04</v>
      </c>
      <c r="BJ311" s="1">
        <v>55.13</v>
      </c>
      <c r="BM311" s="1">
        <v>950.72</v>
      </c>
      <c r="BN311" s="1">
        <v>2380</v>
      </c>
      <c r="DP311" s="1">
        <v>7.3999999999999996E-2</v>
      </c>
    </row>
    <row r="312" spans="1:162" x14ac:dyDescent="0.2">
      <c r="A312" s="1" t="s">
        <v>2732</v>
      </c>
      <c r="B312" s="1" t="s">
        <v>55</v>
      </c>
      <c r="C312" s="1" t="s">
        <v>2733</v>
      </c>
      <c r="D312" s="1" t="s">
        <v>2</v>
      </c>
      <c r="E312" s="1">
        <v>23</v>
      </c>
      <c r="F312" s="1" t="s">
        <v>1734</v>
      </c>
      <c r="H312" s="1" t="s">
        <v>2734</v>
      </c>
      <c r="I312" s="1" t="s">
        <v>11</v>
      </c>
      <c r="J312" s="1" t="s">
        <v>1737</v>
      </c>
      <c r="K312" s="1" t="s">
        <v>1738</v>
      </c>
      <c r="L312" s="1" t="s">
        <v>1737</v>
      </c>
      <c r="O312" s="1">
        <v>3</v>
      </c>
      <c r="Q312" s="1">
        <v>2010</v>
      </c>
      <c r="R312" s="1" t="s">
        <v>2718</v>
      </c>
      <c r="S312" s="1" t="s">
        <v>27</v>
      </c>
      <c r="T312" s="38">
        <v>1</v>
      </c>
      <c r="W312" s="1">
        <v>179.4</v>
      </c>
      <c r="Z312" s="1">
        <v>65.2</v>
      </c>
      <c r="AC312" s="1">
        <v>16.5</v>
      </c>
      <c r="AI312" s="1">
        <v>12</v>
      </c>
      <c r="AV312" s="1">
        <v>5.2</v>
      </c>
      <c r="AY312" s="1">
        <v>116.11</v>
      </c>
      <c r="BH312" s="1">
        <v>367.72</v>
      </c>
      <c r="BJ312" s="1">
        <v>41.94</v>
      </c>
      <c r="BM312" s="1">
        <v>972.77</v>
      </c>
      <c r="BN312" s="1">
        <v>3090</v>
      </c>
    </row>
    <row r="313" spans="1:162" x14ac:dyDescent="0.2">
      <c r="A313" s="1" t="s">
        <v>2735</v>
      </c>
      <c r="B313" s="1" t="s">
        <v>55</v>
      </c>
      <c r="C313" s="1" t="s">
        <v>2736</v>
      </c>
      <c r="D313" s="1" t="s">
        <v>4</v>
      </c>
      <c r="E313" s="1">
        <v>33</v>
      </c>
      <c r="F313" s="1" t="s">
        <v>2737</v>
      </c>
      <c r="G313" s="1" t="s">
        <v>2738</v>
      </c>
      <c r="H313" s="1" t="s">
        <v>2739</v>
      </c>
      <c r="I313" s="1" t="s">
        <v>7</v>
      </c>
      <c r="L313" s="1" t="s">
        <v>2740</v>
      </c>
      <c r="M313" s="1" t="s">
        <v>2741</v>
      </c>
      <c r="N313" s="1" t="s">
        <v>2742</v>
      </c>
      <c r="O313" s="1">
        <v>1</v>
      </c>
      <c r="Q313" s="1">
        <v>1997</v>
      </c>
      <c r="R313" s="1" t="s">
        <v>2743</v>
      </c>
      <c r="S313" s="1" t="s">
        <v>27</v>
      </c>
      <c r="T313" s="38">
        <v>1</v>
      </c>
      <c r="Y313" s="1">
        <v>19.399999999999999</v>
      </c>
      <c r="BG313" s="1">
        <v>32.799999999999997</v>
      </c>
    </row>
    <row r="314" spans="1:162" x14ac:dyDescent="0.2">
      <c r="A314" s="1" t="s">
        <v>2744</v>
      </c>
      <c r="B314" s="1" t="s">
        <v>55</v>
      </c>
      <c r="C314" s="1" t="s">
        <v>2736</v>
      </c>
      <c r="D314" s="1" t="s">
        <v>4</v>
      </c>
      <c r="E314" s="1">
        <v>33</v>
      </c>
      <c r="F314" s="1" t="s">
        <v>2737</v>
      </c>
      <c r="G314" s="1" t="s">
        <v>2738</v>
      </c>
      <c r="H314" s="1" t="s">
        <v>2745</v>
      </c>
      <c r="I314" s="1" t="s">
        <v>7</v>
      </c>
      <c r="L314" s="1" t="s">
        <v>2740</v>
      </c>
      <c r="M314" s="1" t="s">
        <v>2741</v>
      </c>
      <c r="N314" s="1" t="s">
        <v>2746</v>
      </c>
      <c r="O314" s="1">
        <v>1</v>
      </c>
      <c r="Q314" s="1">
        <v>1997</v>
      </c>
      <c r="R314" s="1" t="s">
        <v>2743</v>
      </c>
      <c r="S314" s="1" t="s">
        <v>27</v>
      </c>
      <c r="T314" s="38">
        <v>1</v>
      </c>
      <c r="Y314" s="1">
        <v>19.2</v>
      </c>
      <c r="BG314" s="1">
        <v>88.4</v>
      </c>
    </row>
    <row r="315" spans="1:162" x14ac:dyDescent="0.2">
      <c r="A315" s="1" t="s">
        <v>2747</v>
      </c>
      <c r="B315" s="1" t="s">
        <v>55</v>
      </c>
      <c r="C315" s="1" t="s">
        <v>2736</v>
      </c>
      <c r="D315" s="1" t="s">
        <v>4</v>
      </c>
      <c r="E315" s="1">
        <v>33</v>
      </c>
      <c r="F315" s="1" t="s">
        <v>2737</v>
      </c>
      <c r="G315" s="1" t="s">
        <v>2738</v>
      </c>
      <c r="H315" s="1" t="s">
        <v>2748</v>
      </c>
      <c r="I315" s="1" t="s">
        <v>7</v>
      </c>
      <c r="L315" s="1" t="s">
        <v>2740</v>
      </c>
      <c r="M315" s="1" t="s">
        <v>2741</v>
      </c>
      <c r="N315" s="1" t="s">
        <v>2749</v>
      </c>
      <c r="O315" s="1">
        <v>1</v>
      </c>
      <c r="Q315" s="1">
        <v>1997</v>
      </c>
      <c r="R315" s="1" t="s">
        <v>2743</v>
      </c>
      <c r="S315" s="1" t="s">
        <v>27</v>
      </c>
      <c r="T315" s="38">
        <v>1</v>
      </c>
      <c r="Y315" s="1">
        <v>19.2</v>
      </c>
      <c r="BG315" s="1">
        <v>92.2</v>
      </c>
    </row>
    <row r="316" spans="1:162" x14ac:dyDescent="0.2">
      <c r="A316" s="1" t="s">
        <v>2750</v>
      </c>
      <c r="B316" s="1" t="s">
        <v>55</v>
      </c>
      <c r="C316" s="1" t="s">
        <v>2736</v>
      </c>
      <c r="D316" s="1" t="s">
        <v>4</v>
      </c>
      <c r="E316" s="1">
        <v>33</v>
      </c>
      <c r="F316" s="1" t="s">
        <v>2751</v>
      </c>
      <c r="G316" s="1" t="s">
        <v>2752</v>
      </c>
      <c r="H316" s="1" t="s">
        <v>2753</v>
      </c>
      <c r="I316" s="1" t="s">
        <v>7</v>
      </c>
      <c r="K316" s="1" t="s">
        <v>2754</v>
      </c>
      <c r="L316" s="1" t="s">
        <v>2755</v>
      </c>
      <c r="M316" s="1" t="s">
        <v>2741</v>
      </c>
      <c r="N316" s="1" t="s">
        <v>2756</v>
      </c>
      <c r="O316" s="1">
        <v>1</v>
      </c>
      <c r="Q316" s="1">
        <v>1997</v>
      </c>
      <c r="R316" s="1" t="s">
        <v>2743</v>
      </c>
      <c r="S316" s="1" t="s">
        <v>27</v>
      </c>
      <c r="T316" s="38">
        <v>1</v>
      </c>
      <c r="Y316" s="1">
        <v>18.7</v>
      </c>
      <c r="BG316" s="1">
        <v>19.399999999999999</v>
      </c>
    </row>
    <row r="317" spans="1:162" x14ac:dyDescent="0.2">
      <c r="A317" s="1" t="s">
        <v>2757</v>
      </c>
      <c r="B317" s="1" t="s">
        <v>55</v>
      </c>
      <c r="C317" s="1" t="s">
        <v>2736</v>
      </c>
      <c r="D317" s="1" t="s">
        <v>4</v>
      </c>
      <c r="E317" s="1">
        <v>33</v>
      </c>
      <c r="F317" s="1" t="s">
        <v>2751</v>
      </c>
      <c r="G317" s="1" t="s">
        <v>2752</v>
      </c>
      <c r="H317" s="1" t="s">
        <v>2758</v>
      </c>
      <c r="I317" s="1" t="s">
        <v>7</v>
      </c>
      <c r="K317" s="1" t="s">
        <v>2754</v>
      </c>
      <c r="L317" s="1" t="s">
        <v>2755</v>
      </c>
      <c r="M317" s="1" t="s">
        <v>2741</v>
      </c>
      <c r="N317" s="1" t="s">
        <v>2759</v>
      </c>
      <c r="O317" s="1">
        <v>1</v>
      </c>
      <c r="Q317" s="1">
        <v>1997</v>
      </c>
      <c r="R317" s="1" t="s">
        <v>2743</v>
      </c>
      <c r="S317" s="1" t="s">
        <v>27</v>
      </c>
      <c r="T317" s="38">
        <v>1</v>
      </c>
      <c r="Y317" s="1">
        <v>18.399999999999999</v>
      </c>
      <c r="BG317" s="1">
        <v>12.2</v>
      </c>
    </row>
    <row r="318" spans="1:162" x14ac:dyDescent="0.2">
      <c r="A318" s="1" t="s">
        <v>2760</v>
      </c>
      <c r="B318" s="1" t="s">
        <v>55</v>
      </c>
      <c r="C318" s="1" t="s">
        <v>2736</v>
      </c>
      <c r="D318" s="1" t="s">
        <v>4</v>
      </c>
      <c r="E318" s="1">
        <v>33</v>
      </c>
      <c r="F318" s="1" t="s">
        <v>2751</v>
      </c>
      <c r="G318" s="1" t="s">
        <v>2752</v>
      </c>
      <c r="H318" s="1" t="s">
        <v>2761</v>
      </c>
      <c r="I318" s="1" t="s">
        <v>7</v>
      </c>
      <c r="K318" s="1" t="s">
        <v>2754</v>
      </c>
      <c r="L318" s="1" t="s">
        <v>2755</v>
      </c>
      <c r="M318" s="1" t="s">
        <v>2741</v>
      </c>
      <c r="N318" s="1" t="s">
        <v>2762</v>
      </c>
      <c r="O318" s="1">
        <v>1</v>
      </c>
      <c r="Q318" s="1">
        <v>1997</v>
      </c>
      <c r="R318" s="1" t="s">
        <v>2743</v>
      </c>
      <c r="S318" s="1" t="s">
        <v>27</v>
      </c>
      <c r="T318" s="38">
        <v>1</v>
      </c>
      <c r="Y318" s="1">
        <v>20.9</v>
      </c>
      <c r="BG318" s="1">
        <v>31.3</v>
      </c>
    </row>
    <row r="319" spans="1:162" x14ac:dyDescent="0.2">
      <c r="A319" s="1" t="s">
        <v>2763</v>
      </c>
      <c r="B319" s="1" t="s">
        <v>55</v>
      </c>
      <c r="C319" s="1" t="s">
        <v>2736</v>
      </c>
      <c r="D319" s="1" t="s">
        <v>4</v>
      </c>
      <c r="E319" s="1">
        <v>33</v>
      </c>
      <c r="F319" s="1" t="s">
        <v>2737</v>
      </c>
      <c r="G319" s="1" t="s">
        <v>2738</v>
      </c>
      <c r="H319" s="1" t="s">
        <v>2764</v>
      </c>
      <c r="I319" s="1" t="s">
        <v>7</v>
      </c>
      <c r="L319" s="1" t="s">
        <v>2740</v>
      </c>
      <c r="M319" s="1" t="s">
        <v>2741</v>
      </c>
      <c r="N319" s="1" t="s">
        <v>2765</v>
      </c>
      <c r="O319" s="1">
        <v>1</v>
      </c>
      <c r="Q319" s="1">
        <v>1997</v>
      </c>
      <c r="R319" s="1" t="s">
        <v>2743</v>
      </c>
      <c r="S319" s="1" t="s">
        <v>27</v>
      </c>
      <c r="T319" s="38">
        <v>1</v>
      </c>
      <c r="Y319" s="1">
        <v>35</v>
      </c>
      <c r="BG319" s="1">
        <v>121.1</v>
      </c>
    </row>
    <row r="320" spans="1:162" x14ac:dyDescent="0.2">
      <c r="A320" s="1" t="s">
        <v>2766</v>
      </c>
      <c r="B320" s="1" t="s">
        <v>55</v>
      </c>
      <c r="C320" s="1" t="s">
        <v>2736</v>
      </c>
      <c r="D320" s="1" t="s">
        <v>4</v>
      </c>
      <c r="E320" s="1">
        <v>33</v>
      </c>
      <c r="F320" s="1" t="s">
        <v>2737</v>
      </c>
      <c r="G320" s="1" t="s">
        <v>2738</v>
      </c>
      <c r="H320" s="1" t="s">
        <v>2767</v>
      </c>
      <c r="I320" s="1" t="s">
        <v>7</v>
      </c>
      <c r="L320" s="1" t="s">
        <v>2740</v>
      </c>
      <c r="M320" s="1" t="s">
        <v>2741</v>
      </c>
      <c r="N320" s="1" t="s">
        <v>2765</v>
      </c>
      <c r="O320" s="1">
        <v>1</v>
      </c>
      <c r="Q320" s="1">
        <v>1997</v>
      </c>
      <c r="R320" s="1" t="s">
        <v>2743</v>
      </c>
      <c r="S320" s="1" t="s">
        <v>27</v>
      </c>
      <c r="T320" s="38">
        <v>1</v>
      </c>
      <c r="Y320" s="1">
        <v>30.8</v>
      </c>
      <c r="BG320" s="1">
        <v>142.19999999999999</v>
      </c>
    </row>
    <row r="321" spans="1:96" x14ac:dyDescent="0.2">
      <c r="A321" s="1" t="s">
        <v>2768</v>
      </c>
      <c r="B321" s="1" t="s">
        <v>55</v>
      </c>
      <c r="C321" s="1" t="s">
        <v>2736</v>
      </c>
      <c r="D321" s="1" t="s">
        <v>4</v>
      </c>
      <c r="E321" s="1">
        <v>33</v>
      </c>
      <c r="F321" s="1" t="s">
        <v>2737</v>
      </c>
      <c r="G321" s="1" t="s">
        <v>2738</v>
      </c>
      <c r="H321" s="1" t="s">
        <v>2769</v>
      </c>
      <c r="I321" s="1" t="s">
        <v>7</v>
      </c>
      <c r="L321" s="1" t="s">
        <v>2740</v>
      </c>
      <c r="M321" s="1" t="s">
        <v>2741</v>
      </c>
      <c r="N321" s="1" t="s">
        <v>2765</v>
      </c>
      <c r="O321" s="1">
        <v>1</v>
      </c>
      <c r="Q321" s="1">
        <v>1997</v>
      </c>
      <c r="R321" s="1" t="s">
        <v>2743</v>
      </c>
      <c r="S321" s="1" t="s">
        <v>27</v>
      </c>
      <c r="T321" s="38">
        <v>1</v>
      </c>
      <c r="Y321" s="1">
        <v>29.3</v>
      </c>
      <c r="BG321" s="1">
        <v>54.1</v>
      </c>
    </row>
    <row r="322" spans="1:96" x14ac:dyDescent="0.2">
      <c r="A322" s="1" t="s">
        <v>2770</v>
      </c>
      <c r="B322" s="1" t="s">
        <v>55</v>
      </c>
      <c r="C322" s="1" t="s">
        <v>2736</v>
      </c>
      <c r="D322" s="1" t="s">
        <v>4</v>
      </c>
      <c r="E322" s="1">
        <v>33</v>
      </c>
      <c r="F322" s="1" t="s">
        <v>2751</v>
      </c>
      <c r="G322" s="1" t="s">
        <v>2752</v>
      </c>
      <c r="H322" s="1" t="s">
        <v>2771</v>
      </c>
      <c r="I322" s="1" t="s">
        <v>7</v>
      </c>
      <c r="K322" s="1" t="s">
        <v>2754</v>
      </c>
      <c r="L322" s="1" t="s">
        <v>2772</v>
      </c>
      <c r="M322" s="1" t="s">
        <v>2741</v>
      </c>
      <c r="N322" s="1" t="s">
        <v>2765</v>
      </c>
      <c r="O322" s="1">
        <v>1</v>
      </c>
      <c r="Q322" s="1">
        <v>1997</v>
      </c>
      <c r="R322" s="1" t="s">
        <v>2743</v>
      </c>
      <c r="S322" s="1" t="s">
        <v>27</v>
      </c>
      <c r="T322" s="38">
        <v>1</v>
      </c>
      <c r="Y322" s="1">
        <v>28.6</v>
      </c>
      <c r="BG322" s="1">
        <v>28.5</v>
      </c>
    </row>
    <row r="323" spans="1:96" x14ac:dyDescent="0.2">
      <c r="A323" s="1" t="s">
        <v>2773</v>
      </c>
      <c r="B323" s="1" t="s">
        <v>55</v>
      </c>
      <c r="C323" s="1" t="s">
        <v>2736</v>
      </c>
      <c r="D323" s="1" t="s">
        <v>4</v>
      </c>
      <c r="E323" s="1">
        <v>33</v>
      </c>
      <c r="F323" s="1" t="s">
        <v>2751</v>
      </c>
      <c r="G323" s="1" t="s">
        <v>2752</v>
      </c>
      <c r="H323" s="1" t="s">
        <v>2774</v>
      </c>
      <c r="I323" s="1" t="s">
        <v>7</v>
      </c>
      <c r="K323" s="1" t="s">
        <v>2754</v>
      </c>
      <c r="L323" s="1" t="s">
        <v>2772</v>
      </c>
      <c r="M323" s="1" t="s">
        <v>2741</v>
      </c>
      <c r="N323" s="1" t="s">
        <v>2765</v>
      </c>
      <c r="O323" s="1">
        <v>1</v>
      </c>
      <c r="Q323" s="1">
        <v>1997</v>
      </c>
      <c r="R323" s="1" t="s">
        <v>2743</v>
      </c>
      <c r="S323" s="1" t="s">
        <v>27</v>
      </c>
      <c r="T323" s="38">
        <v>1</v>
      </c>
      <c r="Y323" s="1">
        <v>31.8</v>
      </c>
      <c r="BG323" s="1">
        <v>24.2</v>
      </c>
    </row>
    <row r="324" spans="1:96" x14ac:dyDescent="0.2">
      <c r="A324" s="1" t="s">
        <v>2775</v>
      </c>
      <c r="B324" s="1" t="s">
        <v>55</v>
      </c>
      <c r="C324" s="1" t="s">
        <v>2736</v>
      </c>
      <c r="D324" s="1" t="s">
        <v>4</v>
      </c>
      <c r="E324" s="1">
        <v>33</v>
      </c>
      <c r="F324" s="1" t="s">
        <v>2751</v>
      </c>
      <c r="G324" s="1" t="s">
        <v>2752</v>
      </c>
      <c r="H324" s="1" t="s">
        <v>2776</v>
      </c>
      <c r="I324" s="1" t="s">
        <v>7</v>
      </c>
      <c r="K324" s="1" t="s">
        <v>2754</v>
      </c>
      <c r="L324" s="1" t="s">
        <v>2772</v>
      </c>
      <c r="M324" s="1" t="s">
        <v>2741</v>
      </c>
      <c r="N324" s="1" t="s">
        <v>2765</v>
      </c>
      <c r="O324" s="1">
        <v>1</v>
      </c>
      <c r="Q324" s="1">
        <v>1997</v>
      </c>
      <c r="R324" s="1" t="s">
        <v>2743</v>
      </c>
      <c r="S324" s="1" t="s">
        <v>27</v>
      </c>
      <c r="T324" s="38">
        <v>1</v>
      </c>
      <c r="Y324" s="1">
        <v>32.299999999999997</v>
      </c>
      <c r="BG324" s="1">
        <v>35.700000000000003</v>
      </c>
    </row>
    <row r="325" spans="1:96" x14ac:dyDescent="0.2">
      <c r="A325" s="1" t="s">
        <v>2777</v>
      </c>
      <c r="B325" s="1" t="s">
        <v>55</v>
      </c>
      <c r="C325" s="1" t="s">
        <v>2736</v>
      </c>
      <c r="D325" s="1" t="s">
        <v>4</v>
      </c>
      <c r="E325" s="1">
        <v>33</v>
      </c>
      <c r="F325" s="1" t="s">
        <v>2778</v>
      </c>
      <c r="G325" s="1" t="s">
        <v>2779</v>
      </c>
      <c r="H325" s="1" t="s">
        <v>2780</v>
      </c>
      <c r="I325" s="1" t="s">
        <v>7</v>
      </c>
      <c r="K325" s="1" t="s">
        <v>2781</v>
      </c>
      <c r="L325" s="1" t="s">
        <v>2782</v>
      </c>
      <c r="M325" s="1" t="s">
        <v>2741</v>
      </c>
      <c r="N325" s="1" t="s">
        <v>2783</v>
      </c>
      <c r="O325" s="1">
        <v>1</v>
      </c>
      <c r="Q325" s="1">
        <v>1997</v>
      </c>
      <c r="R325" s="1" t="s">
        <v>2743</v>
      </c>
      <c r="S325" s="1" t="s">
        <v>27</v>
      </c>
      <c r="T325" s="38">
        <v>1</v>
      </c>
      <c r="Y325" s="1">
        <v>22.2</v>
      </c>
      <c r="BG325" s="1">
        <v>29.1</v>
      </c>
    </row>
    <row r="326" spans="1:96" x14ac:dyDescent="0.2">
      <c r="A326" s="1" t="s">
        <v>2784</v>
      </c>
      <c r="B326" s="1" t="s">
        <v>55</v>
      </c>
      <c r="C326" s="1" t="s">
        <v>2736</v>
      </c>
      <c r="D326" s="1" t="s">
        <v>4</v>
      </c>
      <c r="E326" s="1">
        <v>11</v>
      </c>
      <c r="F326" s="1" t="s">
        <v>1720</v>
      </c>
      <c r="G326" s="1" t="s">
        <v>2785</v>
      </c>
      <c r="H326" s="1" t="s">
        <v>2786</v>
      </c>
      <c r="I326" s="1" t="s">
        <v>7</v>
      </c>
      <c r="K326" s="1" t="s">
        <v>2787</v>
      </c>
      <c r="L326" s="1" t="s">
        <v>2788</v>
      </c>
      <c r="M326" s="1" t="s">
        <v>2741</v>
      </c>
      <c r="N326" s="1" t="s">
        <v>2789</v>
      </c>
      <c r="O326" s="1">
        <v>1</v>
      </c>
      <c r="Q326" s="1">
        <v>1997</v>
      </c>
      <c r="R326" s="1" t="s">
        <v>2743</v>
      </c>
      <c r="S326" s="1" t="s">
        <v>27</v>
      </c>
      <c r="T326" s="38">
        <v>1</v>
      </c>
      <c r="Y326" s="1">
        <v>19.5</v>
      </c>
      <c r="BG326" s="1">
        <v>22.8</v>
      </c>
    </row>
    <row r="327" spans="1:96" x14ac:dyDescent="0.2">
      <c r="A327" s="1" t="s">
        <v>2790</v>
      </c>
      <c r="B327" s="1" t="s">
        <v>55</v>
      </c>
      <c r="C327" s="1" t="s">
        <v>2736</v>
      </c>
      <c r="D327" s="1" t="s">
        <v>4</v>
      </c>
      <c r="E327" s="1">
        <v>11</v>
      </c>
      <c r="F327" s="1" t="s">
        <v>1720</v>
      </c>
      <c r="G327" s="1" t="s">
        <v>2791</v>
      </c>
      <c r="H327" s="1" t="s">
        <v>2792</v>
      </c>
      <c r="I327" s="1" t="s">
        <v>7</v>
      </c>
      <c r="K327" s="1" t="s">
        <v>2787</v>
      </c>
      <c r="L327" s="1" t="s">
        <v>2788</v>
      </c>
      <c r="M327" s="1" t="s">
        <v>2741</v>
      </c>
      <c r="N327" s="1" t="s">
        <v>2765</v>
      </c>
      <c r="O327" s="1">
        <v>1</v>
      </c>
      <c r="Q327" s="1">
        <v>1997</v>
      </c>
      <c r="R327" s="1" t="s">
        <v>2743</v>
      </c>
      <c r="S327" s="1" t="s">
        <v>27</v>
      </c>
      <c r="T327" s="38">
        <v>1</v>
      </c>
      <c r="BG327" s="1">
        <v>34.700000000000003</v>
      </c>
    </row>
    <row r="328" spans="1:96" x14ac:dyDescent="0.2">
      <c r="A328" s="1" t="s">
        <v>2793</v>
      </c>
      <c r="B328" s="1" t="s">
        <v>55</v>
      </c>
      <c r="C328" s="1" t="s">
        <v>2736</v>
      </c>
      <c r="D328" s="1" t="s">
        <v>4</v>
      </c>
      <c r="E328" s="1">
        <v>11</v>
      </c>
      <c r="F328" s="1" t="s">
        <v>1720</v>
      </c>
      <c r="G328" s="1" t="s">
        <v>2794</v>
      </c>
      <c r="H328" s="1" t="s">
        <v>2795</v>
      </c>
      <c r="I328" s="1" t="s">
        <v>7</v>
      </c>
      <c r="K328" s="1" t="s">
        <v>2787</v>
      </c>
      <c r="L328" s="1" t="s">
        <v>2788</v>
      </c>
      <c r="M328" s="1" t="s">
        <v>2741</v>
      </c>
      <c r="N328" s="1" t="s">
        <v>2765</v>
      </c>
      <c r="O328" s="1">
        <v>1</v>
      </c>
      <c r="Q328" s="1">
        <v>1997</v>
      </c>
      <c r="R328" s="1" t="s">
        <v>2743</v>
      </c>
      <c r="S328" s="1" t="s">
        <v>27</v>
      </c>
      <c r="T328" s="38">
        <v>1</v>
      </c>
      <c r="BG328" s="1">
        <v>36.799999999999997</v>
      </c>
    </row>
    <row r="329" spans="1:96" x14ac:dyDescent="0.2">
      <c r="A329" s="1" t="s">
        <v>2796</v>
      </c>
      <c r="B329" s="1" t="s">
        <v>1911</v>
      </c>
      <c r="C329" s="1" t="s">
        <v>2736</v>
      </c>
      <c r="D329" s="1" t="s">
        <v>4</v>
      </c>
      <c r="E329" s="1">
        <v>40</v>
      </c>
      <c r="F329" s="1" t="s">
        <v>1932</v>
      </c>
      <c r="H329" s="1" t="s">
        <v>2797</v>
      </c>
      <c r="I329" s="1" t="s">
        <v>7</v>
      </c>
      <c r="K329" s="1" t="s">
        <v>1935</v>
      </c>
      <c r="L329" s="1" t="s">
        <v>2798</v>
      </c>
      <c r="M329" s="1" t="s">
        <v>2741</v>
      </c>
      <c r="O329" s="1">
        <v>1</v>
      </c>
      <c r="Q329" s="1">
        <v>1997</v>
      </c>
      <c r="R329" s="1" t="s">
        <v>2743</v>
      </c>
      <c r="S329" s="1" t="s">
        <v>27</v>
      </c>
      <c r="T329" s="38">
        <v>1</v>
      </c>
      <c r="BG329" s="1">
        <v>138</v>
      </c>
    </row>
    <row r="330" spans="1:96" x14ac:dyDescent="0.2">
      <c r="A330" s="1" t="s">
        <v>2799</v>
      </c>
      <c r="B330" s="1" t="s">
        <v>55</v>
      </c>
      <c r="C330" s="1" t="s">
        <v>2736</v>
      </c>
      <c r="D330" s="1" t="s">
        <v>4</v>
      </c>
      <c r="E330" s="1">
        <v>11</v>
      </c>
      <c r="F330" s="1" t="s">
        <v>1720</v>
      </c>
      <c r="G330" s="1" t="s">
        <v>2785</v>
      </c>
      <c r="H330" s="1" t="s">
        <v>2800</v>
      </c>
      <c r="I330" s="1" t="s">
        <v>7</v>
      </c>
      <c r="K330" s="1" t="s">
        <v>2787</v>
      </c>
      <c r="L330" s="1" t="s">
        <v>2788</v>
      </c>
      <c r="M330" s="1" t="s">
        <v>2741</v>
      </c>
      <c r="N330" s="1" t="s">
        <v>2801</v>
      </c>
      <c r="O330" s="1">
        <v>6</v>
      </c>
      <c r="Q330" s="1">
        <v>1997</v>
      </c>
      <c r="R330" s="1" t="s">
        <v>2743</v>
      </c>
      <c r="S330" s="1" t="s">
        <v>27</v>
      </c>
      <c r="T330" s="38">
        <v>1</v>
      </c>
      <c r="Y330" s="1">
        <v>19.2</v>
      </c>
      <c r="BG330" s="1">
        <v>35</v>
      </c>
    </row>
    <row r="331" spans="1:96" x14ac:dyDescent="0.2">
      <c r="A331" s="1" t="s">
        <v>2802</v>
      </c>
      <c r="B331" s="1" t="s">
        <v>55</v>
      </c>
      <c r="C331" s="1" t="s">
        <v>2803</v>
      </c>
      <c r="D331" s="1" t="s">
        <v>4</v>
      </c>
      <c r="E331" s="1">
        <v>11</v>
      </c>
      <c r="F331" s="1" t="s">
        <v>2804</v>
      </c>
      <c r="H331" s="1" t="s">
        <v>2805</v>
      </c>
      <c r="I331" s="1" t="s">
        <v>7</v>
      </c>
      <c r="K331" s="1" t="s">
        <v>2806</v>
      </c>
      <c r="L331" s="1" t="s">
        <v>2807</v>
      </c>
      <c r="M331" s="1" t="s">
        <v>2808</v>
      </c>
      <c r="N331" s="1" t="s">
        <v>2809</v>
      </c>
      <c r="O331" s="1">
        <v>1</v>
      </c>
      <c r="Q331" s="1">
        <v>1997</v>
      </c>
      <c r="R331" s="1" t="s">
        <v>2743</v>
      </c>
      <c r="S331" s="1" t="s">
        <v>27</v>
      </c>
      <c r="T331" s="38">
        <v>1</v>
      </c>
      <c r="Y331" s="1">
        <v>18.7</v>
      </c>
      <c r="BG331" s="1">
        <v>3.1</v>
      </c>
    </row>
    <row r="332" spans="1:96" x14ac:dyDescent="0.2">
      <c r="A332" s="1" t="s">
        <v>2810</v>
      </c>
      <c r="B332" s="1" t="s">
        <v>55</v>
      </c>
      <c r="C332" s="1" t="s">
        <v>2811</v>
      </c>
      <c r="D332" s="1" t="s">
        <v>2</v>
      </c>
      <c r="E332" s="1">
        <v>23</v>
      </c>
      <c r="F332" s="1" t="s">
        <v>1471</v>
      </c>
      <c r="H332" s="1" t="s">
        <v>2812</v>
      </c>
      <c r="I332" s="1" t="s">
        <v>7</v>
      </c>
      <c r="J332" s="1" t="s">
        <v>1473</v>
      </c>
      <c r="K332" s="1" t="s">
        <v>1474</v>
      </c>
      <c r="L332" s="1" t="s">
        <v>1473</v>
      </c>
      <c r="O332" s="1">
        <v>1</v>
      </c>
      <c r="Q332" s="1">
        <v>1999</v>
      </c>
      <c r="R332" s="1" t="s">
        <v>2813</v>
      </c>
      <c r="S332" s="1" t="s">
        <v>27</v>
      </c>
      <c r="T332" s="38">
        <v>1</v>
      </c>
      <c r="Y332" s="1">
        <v>27.8</v>
      </c>
      <c r="AH332" s="1">
        <v>7.8</v>
      </c>
      <c r="CR332" s="1">
        <v>7.5</v>
      </c>
    </row>
    <row r="333" spans="1:96" x14ac:dyDescent="0.2">
      <c r="A333" s="1" t="s">
        <v>2814</v>
      </c>
      <c r="B333" s="1" t="s">
        <v>55</v>
      </c>
      <c r="C333" s="1" t="s">
        <v>2811</v>
      </c>
      <c r="D333" s="1" t="s">
        <v>2</v>
      </c>
      <c r="E333" s="1">
        <v>23</v>
      </c>
      <c r="F333" s="1" t="s">
        <v>1471</v>
      </c>
      <c r="H333" s="1" t="s">
        <v>2815</v>
      </c>
      <c r="I333" s="1" t="s">
        <v>7</v>
      </c>
      <c r="J333" s="1" t="s">
        <v>1473</v>
      </c>
      <c r="K333" s="1" t="s">
        <v>1474</v>
      </c>
      <c r="L333" s="1" t="s">
        <v>1473</v>
      </c>
      <c r="O333" s="1">
        <v>1</v>
      </c>
      <c r="Q333" s="1">
        <v>1999</v>
      </c>
      <c r="R333" s="1" t="s">
        <v>2813</v>
      </c>
      <c r="S333" s="1" t="s">
        <v>27</v>
      </c>
      <c r="T333" s="38">
        <v>1</v>
      </c>
      <c r="Y333" s="1">
        <v>32.5</v>
      </c>
      <c r="AH333" s="1">
        <v>13.8</v>
      </c>
      <c r="CR333" s="1">
        <v>7.2</v>
      </c>
    </row>
    <row r="334" spans="1:96" x14ac:dyDescent="0.2">
      <c r="A334" s="1" t="s">
        <v>2816</v>
      </c>
      <c r="B334" s="1" t="s">
        <v>55</v>
      </c>
      <c r="C334" s="1" t="s">
        <v>2811</v>
      </c>
      <c r="D334" s="1" t="s">
        <v>2</v>
      </c>
      <c r="E334" s="1">
        <v>23</v>
      </c>
      <c r="F334" s="1" t="s">
        <v>1471</v>
      </c>
      <c r="H334" s="1" t="s">
        <v>2815</v>
      </c>
      <c r="I334" s="1" t="s">
        <v>7</v>
      </c>
      <c r="J334" s="1" t="s">
        <v>1473</v>
      </c>
      <c r="K334" s="1" t="s">
        <v>1474</v>
      </c>
      <c r="L334" s="1" t="s">
        <v>1473</v>
      </c>
      <c r="O334" s="1">
        <v>1</v>
      </c>
      <c r="Q334" s="1">
        <v>1999</v>
      </c>
      <c r="R334" s="1" t="s">
        <v>2813</v>
      </c>
      <c r="S334" s="1" t="s">
        <v>27</v>
      </c>
      <c r="T334" s="38">
        <v>1</v>
      </c>
      <c r="Y334" s="1">
        <v>32.200000000000003</v>
      </c>
      <c r="AH334" s="1">
        <v>11.2</v>
      </c>
      <c r="CR334" s="1">
        <v>15.3</v>
      </c>
    </row>
    <row r="335" spans="1:96" x14ac:dyDescent="0.2">
      <c r="A335" s="1" t="s">
        <v>2817</v>
      </c>
      <c r="B335" s="1" t="s">
        <v>55</v>
      </c>
      <c r="C335" s="1" t="s">
        <v>2811</v>
      </c>
      <c r="D335" s="1" t="s">
        <v>2</v>
      </c>
      <c r="E335" s="1">
        <v>23</v>
      </c>
      <c r="F335" s="1" t="s">
        <v>1471</v>
      </c>
      <c r="H335" s="1" t="s">
        <v>2815</v>
      </c>
      <c r="I335" s="1" t="s">
        <v>7</v>
      </c>
      <c r="J335" s="1" t="s">
        <v>1473</v>
      </c>
      <c r="K335" s="1" t="s">
        <v>1474</v>
      </c>
      <c r="L335" s="1" t="s">
        <v>1473</v>
      </c>
      <c r="O335" s="1">
        <v>1</v>
      </c>
      <c r="Q335" s="1">
        <v>1999</v>
      </c>
      <c r="R335" s="1" t="s">
        <v>2813</v>
      </c>
      <c r="S335" s="1" t="s">
        <v>27</v>
      </c>
      <c r="T335" s="38">
        <v>1</v>
      </c>
      <c r="Y335" s="1">
        <v>29.7</v>
      </c>
      <c r="AH335" s="1">
        <v>9.6</v>
      </c>
      <c r="CR335" s="1">
        <v>7.9</v>
      </c>
    </row>
    <row r="336" spans="1:96" x14ac:dyDescent="0.2">
      <c r="A336" s="1" t="s">
        <v>2818</v>
      </c>
      <c r="B336" s="1" t="s">
        <v>55</v>
      </c>
      <c r="C336" s="1" t="s">
        <v>2811</v>
      </c>
      <c r="D336" s="1" t="s">
        <v>2</v>
      </c>
      <c r="E336" s="1">
        <v>23</v>
      </c>
      <c r="F336" s="1" t="s">
        <v>1471</v>
      </c>
      <c r="H336" s="1" t="s">
        <v>2819</v>
      </c>
      <c r="I336" s="1" t="s">
        <v>11</v>
      </c>
      <c r="J336" s="1" t="s">
        <v>1473</v>
      </c>
      <c r="K336" s="1" t="s">
        <v>1474</v>
      </c>
      <c r="L336" s="1" t="s">
        <v>1473</v>
      </c>
      <c r="O336" s="1">
        <v>1</v>
      </c>
      <c r="Q336" s="1">
        <v>1999</v>
      </c>
      <c r="R336" s="1" t="s">
        <v>2813</v>
      </c>
      <c r="S336" s="1" t="s">
        <v>27</v>
      </c>
      <c r="T336" s="38">
        <v>1</v>
      </c>
      <c r="Y336" s="1">
        <v>35</v>
      </c>
      <c r="AH336" s="1">
        <v>11.5</v>
      </c>
      <c r="CR336" s="1">
        <v>8.6999999999999993</v>
      </c>
    </row>
    <row r="337" spans="1:155" x14ac:dyDescent="0.2">
      <c r="A337" s="1" t="s">
        <v>2820</v>
      </c>
      <c r="B337" s="1" t="s">
        <v>55</v>
      </c>
      <c r="C337" s="1" t="s">
        <v>2811</v>
      </c>
      <c r="D337" s="1" t="s">
        <v>2</v>
      </c>
      <c r="E337" s="1">
        <v>23</v>
      </c>
      <c r="F337" s="1" t="s">
        <v>1471</v>
      </c>
      <c r="H337" s="1" t="s">
        <v>2819</v>
      </c>
      <c r="I337" s="1" t="s">
        <v>11</v>
      </c>
      <c r="J337" s="1" t="s">
        <v>1473</v>
      </c>
      <c r="K337" s="1" t="s">
        <v>1474</v>
      </c>
      <c r="L337" s="1" t="s">
        <v>1473</v>
      </c>
      <c r="O337" s="1">
        <v>1</v>
      </c>
      <c r="Q337" s="1">
        <v>1999</v>
      </c>
      <c r="R337" s="1" t="s">
        <v>2813</v>
      </c>
      <c r="S337" s="1" t="s">
        <v>27</v>
      </c>
      <c r="T337" s="38">
        <v>1</v>
      </c>
      <c r="Y337" s="1">
        <v>37.1</v>
      </c>
      <c r="AH337" s="1">
        <v>12.9</v>
      </c>
      <c r="CR337" s="1">
        <v>7.7</v>
      </c>
    </row>
    <row r="338" spans="1:155" x14ac:dyDescent="0.2">
      <c r="A338" s="1" t="s">
        <v>2821</v>
      </c>
      <c r="B338" s="1" t="s">
        <v>55</v>
      </c>
      <c r="C338" s="1" t="s">
        <v>2811</v>
      </c>
      <c r="D338" s="1" t="s">
        <v>2</v>
      </c>
      <c r="E338" s="1">
        <v>23</v>
      </c>
      <c r="F338" s="1" t="s">
        <v>1471</v>
      </c>
      <c r="H338" s="1" t="s">
        <v>2819</v>
      </c>
      <c r="I338" s="1" t="s">
        <v>11</v>
      </c>
      <c r="J338" s="1" t="s">
        <v>1473</v>
      </c>
      <c r="K338" s="1" t="s">
        <v>1474</v>
      </c>
      <c r="L338" s="1" t="s">
        <v>1473</v>
      </c>
      <c r="O338" s="1">
        <v>1</v>
      </c>
      <c r="Q338" s="1">
        <v>1999</v>
      </c>
      <c r="R338" s="1" t="s">
        <v>2813</v>
      </c>
      <c r="S338" s="1" t="s">
        <v>27</v>
      </c>
      <c r="T338" s="38">
        <v>1</v>
      </c>
      <c r="Y338" s="1">
        <v>33</v>
      </c>
      <c r="AH338" s="1">
        <v>9.3000000000000007</v>
      </c>
      <c r="CR338" s="1">
        <v>15.3</v>
      </c>
    </row>
    <row r="339" spans="1:155" x14ac:dyDescent="0.2">
      <c r="A339" s="1" t="s">
        <v>2822</v>
      </c>
      <c r="B339" s="1" t="s">
        <v>55</v>
      </c>
      <c r="C339" s="1" t="s">
        <v>2811</v>
      </c>
      <c r="D339" s="1" t="s">
        <v>2</v>
      </c>
      <c r="E339" s="1">
        <v>23</v>
      </c>
      <c r="F339" s="1" t="s">
        <v>1471</v>
      </c>
      <c r="H339" s="1" t="s">
        <v>2819</v>
      </c>
      <c r="I339" s="1" t="s">
        <v>11</v>
      </c>
      <c r="J339" s="1" t="s">
        <v>1473</v>
      </c>
      <c r="K339" s="1" t="s">
        <v>1474</v>
      </c>
      <c r="L339" s="1" t="s">
        <v>1473</v>
      </c>
      <c r="O339" s="1">
        <v>1</v>
      </c>
      <c r="Q339" s="1">
        <v>1999</v>
      </c>
      <c r="R339" s="1" t="s">
        <v>2813</v>
      </c>
      <c r="S339" s="1" t="s">
        <v>27</v>
      </c>
      <c r="T339" s="38">
        <v>1</v>
      </c>
      <c r="Y339" s="1">
        <v>33.299999999999997</v>
      </c>
      <c r="AH339" s="1">
        <v>8</v>
      </c>
      <c r="CR339" s="1">
        <v>7.4</v>
      </c>
    </row>
    <row r="340" spans="1:155" x14ac:dyDescent="0.2">
      <c r="A340" s="1" t="s">
        <v>2823</v>
      </c>
      <c r="B340" s="1" t="s">
        <v>55</v>
      </c>
      <c r="C340" s="1" t="s">
        <v>2824</v>
      </c>
      <c r="D340" s="1" t="s">
        <v>2</v>
      </c>
      <c r="E340" s="1">
        <v>13</v>
      </c>
      <c r="F340" s="1" t="s">
        <v>1359</v>
      </c>
      <c r="H340" s="1" t="s">
        <v>2825</v>
      </c>
      <c r="I340" s="1" t="s">
        <v>7</v>
      </c>
      <c r="J340" s="1" t="s">
        <v>1361</v>
      </c>
      <c r="K340" s="1" t="s">
        <v>1362</v>
      </c>
      <c r="L340" s="1" t="s">
        <v>1361</v>
      </c>
      <c r="M340" s="1" t="s">
        <v>2826</v>
      </c>
      <c r="O340" s="1">
        <v>3</v>
      </c>
      <c r="P340" s="1" t="s">
        <v>2827</v>
      </c>
      <c r="Q340" s="1">
        <v>1992</v>
      </c>
      <c r="R340" s="1" t="s">
        <v>2828</v>
      </c>
      <c r="S340" s="1" t="s">
        <v>27</v>
      </c>
      <c r="T340" s="38">
        <v>1</v>
      </c>
      <c r="W340" s="1">
        <v>168</v>
      </c>
      <c r="Z340" s="1">
        <v>72.8</v>
      </c>
      <c r="AC340" s="1">
        <v>15.4</v>
      </c>
      <c r="AJ340" s="1">
        <v>11.3</v>
      </c>
      <c r="AQ340" s="1">
        <v>0.5</v>
      </c>
      <c r="AV340" s="1">
        <v>0.9</v>
      </c>
      <c r="CM340" s="1" t="s">
        <v>15</v>
      </c>
      <c r="CZ340" s="1">
        <v>0.38</v>
      </c>
      <c r="DB340" s="1">
        <v>7.0000000000000007E-2</v>
      </c>
      <c r="DC340" s="1">
        <v>2.2400000000000002</v>
      </c>
      <c r="DE340" s="1">
        <v>0.64</v>
      </c>
      <c r="DJ340" s="1">
        <v>0.19</v>
      </c>
      <c r="DK340" s="1">
        <v>10</v>
      </c>
      <c r="DM340" s="1">
        <v>2.5</v>
      </c>
      <c r="DN340" s="1">
        <v>0.6</v>
      </c>
      <c r="EY340" s="1">
        <v>61</v>
      </c>
    </row>
    <row r="341" spans="1:155" x14ac:dyDescent="0.2">
      <c r="A341" s="1" t="s">
        <v>2829</v>
      </c>
      <c r="B341" s="1" t="s">
        <v>55</v>
      </c>
      <c r="C341" s="1" t="s">
        <v>2824</v>
      </c>
      <c r="D341" s="1" t="s">
        <v>2</v>
      </c>
      <c r="E341" s="1">
        <v>13</v>
      </c>
      <c r="F341" s="1" t="s">
        <v>1359</v>
      </c>
      <c r="H341" s="1" t="s">
        <v>2830</v>
      </c>
      <c r="I341" s="1" t="s">
        <v>11</v>
      </c>
      <c r="J341" s="1" t="s">
        <v>1361</v>
      </c>
      <c r="K341" s="1" t="s">
        <v>1362</v>
      </c>
      <c r="L341" s="1" t="s">
        <v>1361</v>
      </c>
      <c r="M341" s="1" t="s">
        <v>2826</v>
      </c>
      <c r="O341" s="1">
        <v>3</v>
      </c>
      <c r="P341" s="1" t="s">
        <v>2827</v>
      </c>
      <c r="Q341" s="1">
        <v>1992</v>
      </c>
      <c r="R341" s="1" t="s">
        <v>2828</v>
      </c>
      <c r="S341" s="1" t="s">
        <v>27</v>
      </c>
      <c r="T341" s="38">
        <v>1</v>
      </c>
      <c r="W341" s="1">
        <v>162</v>
      </c>
      <c r="Z341" s="1">
        <v>72.099999999999994</v>
      </c>
      <c r="AC341" s="1">
        <v>17</v>
      </c>
      <c r="AJ341" s="1">
        <v>10</v>
      </c>
      <c r="AQ341" s="1" t="s">
        <v>15</v>
      </c>
      <c r="AV341" s="1">
        <v>1</v>
      </c>
      <c r="CM341" s="1" t="s">
        <v>15</v>
      </c>
      <c r="CZ341" s="1">
        <v>0.42</v>
      </c>
      <c r="DB341" s="1">
        <v>7.0000000000000007E-2</v>
      </c>
      <c r="DC341" s="1">
        <v>2.5099999999999998</v>
      </c>
      <c r="DE341" s="1">
        <v>0.62</v>
      </c>
      <c r="DJ341" s="1">
        <v>0.16</v>
      </c>
      <c r="DK341" s="1">
        <v>10</v>
      </c>
      <c r="DM341" s="1">
        <v>2.8</v>
      </c>
      <c r="DN341" s="1">
        <v>0.6</v>
      </c>
      <c r="EY341" s="1">
        <v>64</v>
      </c>
    </row>
    <row r="342" spans="1:155" x14ac:dyDescent="0.2">
      <c r="A342" s="1" t="s">
        <v>2831</v>
      </c>
      <c r="B342" s="1" t="s">
        <v>55</v>
      </c>
      <c r="C342" s="1" t="s">
        <v>2832</v>
      </c>
      <c r="D342" s="1" t="s">
        <v>2</v>
      </c>
      <c r="E342" s="1">
        <v>23</v>
      </c>
      <c r="F342" s="1" t="s">
        <v>2833</v>
      </c>
      <c r="H342" s="1" t="s">
        <v>2834</v>
      </c>
      <c r="I342" s="1" t="s">
        <v>7</v>
      </c>
      <c r="J342" s="1" t="s">
        <v>2835</v>
      </c>
      <c r="K342" s="1" t="s">
        <v>2836</v>
      </c>
      <c r="L342" s="1" t="s">
        <v>2835</v>
      </c>
      <c r="M342" s="1" t="s">
        <v>2837</v>
      </c>
      <c r="O342" s="1">
        <v>1</v>
      </c>
      <c r="P342" s="1" t="s">
        <v>2827</v>
      </c>
      <c r="Q342" s="1">
        <v>1992</v>
      </c>
      <c r="R342" s="1" t="s">
        <v>2828</v>
      </c>
      <c r="S342" s="1" t="s">
        <v>27</v>
      </c>
      <c r="T342" s="38">
        <v>1</v>
      </c>
      <c r="W342" s="1">
        <v>159</v>
      </c>
      <c r="Z342" s="1">
        <v>68.599999999999994</v>
      </c>
      <c r="AC342" s="1">
        <v>23</v>
      </c>
      <c r="AJ342" s="1">
        <v>7.8</v>
      </c>
      <c r="AQ342" s="1" t="s">
        <v>15</v>
      </c>
      <c r="AV342" s="1">
        <v>1.4</v>
      </c>
      <c r="CM342" s="1" t="s">
        <v>15</v>
      </c>
      <c r="CZ342" s="1">
        <v>0.1</v>
      </c>
      <c r="DB342" s="1">
        <v>0.09</v>
      </c>
      <c r="DC342" s="1">
        <v>7.84</v>
      </c>
      <c r="DE342" s="1">
        <v>1.32</v>
      </c>
      <c r="DJ342" s="1">
        <v>0.78</v>
      </c>
      <c r="DK342" s="1">
        <v>10</v>
      </c>
      <c r="DM342" s="1">
        <v>2.4</v>
      </c>
      <c r="DN342" s="1">
        <v>1.8</v>
      </c>
      <c r="EY342" s="1">
        <v>50</v>
      </c>
    </row>
    <row r="343" spans="1:155" x14ac:dyDescent="0.2">
      <c r="A343" s="1" t="s">
        <v>2838</v>
      </c>
      <c r="B343" s="1" t="s">
        <v>55</v>
      </c>
      <c r="C343" s="1" t="s">
        <v>2832</v>
      </c>
      <c r="D343" s="1" t="s">
        <v>2</v>
      </c>
      <c r="E343" s="1">
        <v>23</v>
      </c>
      <c r="F343" s="1" t="s">
        <v>2833</v>
      </c>
      <c r="H343" s="1" t="s">
        <v>2834</v>
      </c>
      <c r="I343" s="1" t="s">
        <v>7</v>
      </c>
      <c r="J343" s="1" t="s">
        <v>2835</v>
      </c>
      <c r="K343" s="1" t="s">
        <v>2836</v>
      </c>
      <c r="L343" s="1" t="s">
        <v>2835</v>
      </c>
      <c r="M343" s="1" t="s">
        <v>2701</v>
      </c>
      <c r="O343" s="1">
        <v>1</v>
      </c>
      <c r="P343" s="1" t="s">
        <v>2827</v>
      </c>
      <c r="Q343" s="1">
        <v>1992</v>
      </c>
      <c r="R343" s="1" t="s">
        <v>2828</v>
      </c>
      <c r="S343" s="1" t="s">
        <v>27</v>
      </c>
      <c r="T343" s="38">
        <v>1</v>
      </c>
      <c r="W343" s="1">
        <v>167</v>
      </c>
      <c r="Z343" s="1">
        <v>70.099999999999994</v>
      </c>
      <c r="AC343" s="1">
        <v>20.6</v>
      </c>
      <c r="AJ343" s="1">
        <v>8.8000000000000007</v>
      </c>
      <c r="AQ343" s="1" t="s">
        <v>15</v>
      </c>
      <c r="AV343" s="1">
        <v>1.2</v>
      </c>
      <c r="CM343" s="1" t="s">
        <v>15</v>
      </c>
      <c r="CZ343" s="1">
        <v>0.08</v>
      </c>
      <c r="DB343" s="1">
        <v>0.15</v>
      </c>
      <c r="DC343" s="1">
        <v>5.46</v>
      </c>
      <c r="DE343" s="1">
        <v>1.07</v>
      </c>
      <c r="DJ343" s="1">
        <v>0.57999999999999996</v>
      </c>
      <c r="DK343" s="1">
        <v>10</v>
      </c>
      <c r="DM343" s="1">
        <v>3.3</v>
      </c>
      <c r="DN343" s="1" t="s">
        <v>15</v>
      </c>
      <c r="EY343" s="1">
        <v>52</v>
      </c>
    </row>
    <row r="344" spans="1:155" x14ac:dyDescent="0.2">
      <c r="A344" s="1" t="s">
        <v>2839</v>
      </c>
      <c r="B344" s="1" t="s">
        <v>55</v>
      </c>
      <c r="C344" s="1" t="s">
        <v>2832</v>
      </c>
      <c r="D344" s="1" t="s">
        <v>2</v>
      </c>
      <c r="E344" s="1">
        <v>23</v>
      </c>
      <c r="F344" s="1" t="s">
        <v>2833</v>
      </c>
      <c r="H344" s="1" t="s">
        <v>2840</v>
      </c>
      <c r="I344" s="1" t="s">
        <v>11</v>
      </c>
      <c r="J344" s="1" t="s">
        <v>2835</v>
      </c>
      <c r="K344" s="1" t="s">
        <v>2836</v>
      </c>
      <c r="L344" s="1" t="s">
        <v>2835</v>
      </c>
      <c r="M344" s="1" t="s">
        <v>2837</v>
      </c>
      <c r="O344" s="1">
        <v>1</v>
      </c>
      <c r="P344" s="1" t="s">
        <v>2827</v>
      </c>
      <c r="Q344" s="1">
        <v>1992</v>
      </c>
      <c r="R344" s="1" t="s">
        <v>2828</v>
      </c>
      <c r="S344" s="1" t="s">
        <v>27</v>
      </c>
      <c r="T344" s="38">
        <v>1</v>
      </c>
      <c r="W344" s="1">
        <v>174</v>
      </c>
      <c r="Z344" s="1">
        <v>65.5</v>
      </c>
      <c r="AC344" s="1">
        <v>25.4</v>
      </c>
      <c r="AJ344" s="1">
        <v>8.4</v>
      </c>
      <c r="AQ344" s="1" t="s">
        <v>15</v>
      </c>
      <c r="AV344" s="1">
        <v>1.4</v>
      </c>
      <c r="CM344" s="1" t="s">
        <v>15</v>
      </c>
      <c r="CZ344" s="1">
        <v>0.1</v>
      </c>
      <c r="DB344" s="1">
        <v>0.1</v>
      </c>
      <c r="DC344" s="1">
        <v>8.3000000000000007</v>
      </c>
      <c r="DE344" s="1">
        <v>1.34</v>
      </c>
      <c r="DJ344" s="1">
        <v>0.75</v>
      </c>
      <c r="DK344" s="1">
        <v>20</v>
      </c>
      <c r="DM344" s="1">
        <v>3.2</v>
      </c>
      <c r="DN344" s="1">
        <v>2</v>
      </c>
      <c r="EY344" s="1">
        <v>55</v>
      </c>
    </row>
    <row r="345" spans="1:155" x14ac:dyDescent="0.2">
      <c r="A345" s="1" t="s">
        <v>2841</v>
      </c>
      <c r="B345" s="1" t="s">
        <v>55</v>
      </c>
      <c r="C345" s="1" t="s">
        <v>2832</v>
      </c>
      <c r="D345" s="1" t="s">
        <v>2</v>
      </c>
      <c r="E345" s="1">
        <v>23</v>
      </c>
      <c r="F345" s="1" t="s">
        <v>2833</v>
      </c>
      <c r="H345" s="1" t="s">
        <v>2840</v>
      </c>
      <c r="I345" s="1" t="s">
        <v>11</v>
      </c>
      <c r="J345" s="1" t="s">
        <v>2835</v>
      </c>
      <c r="K345" s="1" t="s">
        <v>2836</v>
      </c>
      <c r="L345" s="1" t="s">
        <v>2835</v>
      </c>
      <c r="M345" s="1" t="s">
        <v>2701</v>
      </c>
      <c r="O345" s="1">
        <v>1</v>
      </c>
      <c r="P345" s="1" t="s">
        <v>2827</v>
      </c>
      <c r="Q345" s="1">
        <v>1992</v>
      </c>
      <c r="R345" s="1" t="s">
        <v>2828</v>
      </c>
      <c r="S345" s="1" t="s">
        <v>27</v>
      </c>
      <c r="T345" s="38">
        <v>1</v>
      </c>
      <c r="W345" s="1">
        <v>192</v>
      </c>
      <c r="Z345" s="1">
        <v>65.8</v>
      </c>
      <c r="AC345" s="1">
        <v>24.4</v>
      </c>
      <c r="AJ345" s="1">
        <v>9.6999999999999993</v>
      </c>
      <c r="AQ345" s="1" t="s">
        <v>15</v>
      </c>
      <c r="AV345" s="1">
        <v>1.4</v>
      </c>
      <c r="CM345" s="1" t="s">
        <v>15</v>
      </c>
      <c r="CZ345" s="1">
        <v>0.1</v>
      </c>
      <c r="DB345" s="1">
        <v>0.14000000000000001</v>
      </c>
      <c r="DC345" s="1">
        <v>6.56</v>
      </c>
      <c r="DE345" s="1">
        <v>1.32</v>
      </c>
      <c r="DJ345" s="1">
        <v>0.4</v>
      </c>
      <c r="DK345" s="1">
        <v>10</v>
      </c>
      <c r="DM345" s="1">
        <v>3.7</v>
      </c>
      <c r="DN345" s="1" t="s">
        <v>15</v>
      </c>
      <c r="EY345" s="1">
        <v>69</v>
      </c>
    </row>
    <row r="346" spans="1:155" x14ac:dyDescent="0.2">
      <c r="A346" s="1" t="s">
        <v>2842</v>
      </c>
      <c r="B346" s="1" t="s">
        <v>55</v>
      </c>
      <c r="C346" s="1" t="s">
        <v>2843</v>
      </c>
      <c r="D346" s="1" t="s">
        <v>2</v>
      </c>
      <c r="E346" s="1">
        <v>23</v>
      </c>
      <c r="F346" s="1" t="s">
        <v>1471</v>
      </c>
      <c r="H346" s="1" t="s">
        <v>2812</v>
      </c>
      <c r="I346" s="1" t="s">
        <v>7</v>
      </c>
      <c r="J346" s="1" t="s">
        <v>2844</v>
      </c>
      <c r="K346" s="1" t="s">
        <v>1474</v>
      </c>
      <c r="L346" s="1" t="s">
        <v>1473</v>
      </c>
      <c r="M346" s="1" t="s">
        <v>2845</v>
      </c>
      <c r="O346" s="1">
        <v>3</v>
      </c>
      <c r="P346" s="1" t="s">
        <v>2827</v>
      </c>
      <c r="Q346" s="1">
        <v>1992</v>
      </c>
      <c r="R346" s="1" t="s">
        <v>2828</v>
      </c>
      <c r="S346" s="1" t="s">
        <v>27</v>
      </c>
      <c r="T346" s="38">
        <v>1</v>
      </c>
      <c r="W346" s="1">
        <v>136</v>
      </c>
      <c r="Z346" s="1">
        <v>72.8</v>
      </c>
      <c r="AC346" s="1">
        <v>20.9</v>
      </c>
      <c r="AJ346" s="1">
        <v>5.4</v>
      </c>
      <c r="AQ346" s="1" t="s">
        <v>15</v>
      </c>
      <c r="AV346" s="1">
        <v>1.4</v>
      </c>
      <c r="CM346" s="1" t="s">
        <v>15</v>
      </c>
      <c r="CZ346" s="1">
        <v>0.2</v>
      </c>
      <c r="DB346" s="1">
        <v>7.0000000000000007E-2</v>
      </c>
      <c r="DC346" s="1">
        <v>8.2200000000000006</v>
      </c>
      <c r="DE346" s="1">
        <v>1.44</v>
      </c>
      <c r="DJ346" s="1">
        <v>0.62</v>
      </c>
      <c r="DK346" s="1">
        <v>10</v>
      </c>
      <c r="DM346" s="1">
        <v>3.8</v>
      </c>
      <c r="DN346" s="1">
        <v>2.9</v>
      </c>
      <c r="EY346" s="1">
        <v>59</v>
      </c>
    </row>
    <row r="347" spans="1:155" x14ac:dyDescent="0.2">
      <c r="A347" s="1" t="s">
        <v>2846</v>
      </c>
      <c r="B347" s="1" t="s">
        <v>55</v>
      </c>
      <c r="C347" s="1" t="s">
        <v>2843</v>
      </c>
      <c r="D347" s="1" t="s">
        <v>2</v>
      </c>
      <c r="E347" s="1">
        <v>23</v>
      </c>
      <c r="F347" s="1" t="s">
        <v>1471</v>
      </c>
      <c r="H347" s="1" t="s">
        <v>2847</v>
      </c>
      <c r="I347" s="1" t="s">
        <v>11</v>
      </c>
      <c r="J347" s="1" t="s">
        <v>2844</v>
      </c>
      <c r="K347" s="1" t="s">
        <v>1474</v>
      </c>
      <c r="L347" s="1" t="s">
        <v>1473</v>
      </c>
      <c r="M347" s="1" t="s">
        <v>2845</v>
      </c>
      <c r="O347" s="1">
        <v>3</v>
      </c>
      <c r="P347" s="1" t="s">
        <v>2827</v>
      </c>
      <c r="Q347" s="1">
        <v>1992</v>
      </c>
      <c r="R347" s="1" t="s">
        <v>2828</v>
      </c>
      <c r="S347" s="1" t="s">
        <v>27</v>
      </c>
      <c r="T347" s="38">
        <v>1</v>
      </c>
      <c r="W347" s="1">
        <v>168</v>
      </c>
      <c r="Z347" s="1">
        <v>67.5</v>
      </c>
      <c r="AC347" s="1">
        <v>24.3</v>
      </c>
      <c r="AJ347" s="1">
        <v>7.2</v>
      </c>
      <c r="AQ347" s="1" t="s">
        <v>15</v>
      </c>
      <c r="AV347" s="1">
        <v>1.6</v>
      </c>
      <c r="CM347" s="1" t="s">
        <v>15</v>
      </c>
      <c r="CZ347" s="1">
        <v>0.23</v>
      </c>
      <c r="DB347" s="1">
        <v>0.08</v>
      </c>
      <c r="DC347" s="1">
        <v>8.7899999999999991</v>
      </c>
      <c r="DE347" s="1">
        <v>1.31</v>
      </c>
      <c r="DJ347" s="1">
        <v>0.4</v>
      </c>
      <c r="DK347" s="1">
        <v>20</v>
      </c>
      <c r="DM347" s="1">
        <v>5</v>
      </c>
      <c r="DN347" s="1">
        <v>3.3</v>
      </c>
      <c r="EY347" s="1">
        <v>68</v>
      </c>
    </row>
    <row r="348" spans="1:155" x14ac:dyDescent="0.2">
      <c r="A348" s="1" t="s">
        <v>2848</v>
      </c>
      <c r="B348" s="1" t="s">
        <v>1911</v>
      </c>
      <c r="C348" s="1" t="s">
        <v>2849</v>
      </c>
      <c r="D348" s="1" t="s">
        <v>2</v>
      </c>
      <c r="E348" s="1">
        <v>41</v>
      </c>
      <c r="F348" s="1" t="s">
        <v>2850</v>
      </c>
      <c r="H348" s="1" t="s">
        <v>2851</v>
      </c>
      <c r="I348" s="1" t="s">
        <v>7</v>
      </c>
      <c r="J348" s="1" t="s">
        <v>2852</v>
      </c>
      <c r="K348" s="1" t="s">
        <v>2853</v>
      </c>
      <c r="L348" s="1" t="s">
        <v>2852</v>
      </c>
      <c r="M348" s="1" t="s">
        <v>2854</v>
      </c>
      <c r="O348" s="1">
        <v>2</v>
      </c>
      <c r="P348" s="1" t="s">
        <v>2855</v>
      </c>
      <c r="Q348" s="1">
        <v>1992</v>
      </c>
      <c r="R348" s="1" t="s">
        <v>2828</v>
      </c>
      <c r="S348" s="1" t="s">
        <v>27</v>
      </c>
      <c r="T348" s="38">
        <v>1</v>
      </c>
      <c r="W348" s="1">
        <v>70</v>
      </c>
      <c r="Z348" s="1">
        <v>84.4</v>
      </c>
      <c r="AC348" s="1">
        <v>14.8</v>
      </c>
      <c r="AJ348" s="1">
        <v>0.8</v>
      </c>
      <c r="AQ348" s="1" t="s">
        <v>15</v>
      </c>
      <c r="AV348" s="1">
        <v>1</v>
      </c>
      <c r="CM348" s="1" t="s">
        <v>15</v>
      </c>
      <c r="CZ348" s="1">
        <v>0.05</v>
      </c>
      <c r="DB348" s="1">
        <v>0.04</v>
      </c>
      <c r="DC348" s="1">
        <v>1.89</v>
      </c>
      <c r="DE348" s="1">
        <v>0.65</v>
      </c>
      <c r="DJ348" s="1">
        <v>7.0000000000000007E-2</v>
      </c>
      <c r="DK348" s="1">
        <v>30</v>
      </c>
      <c r="DM348" s="1">
        <v>2.4</v>
      </c>
      <c r="DN348" s="1" t="s">
        <v>15</v>
      </c>
      <c r="EY348" s="1">
        <v>102</v>
      </c>
    </row>
    <row r="349" spans="1:155" x14ac:dyDescent="0.2">
      <c r="A349" s="1" t="s">
        <v>2856</v>
      </c>
      <c r="B349" s="1" t="s">
        <v>1911</v>
      </c>
      <c r="C349" s="1" t="s">
        <v>2849</v>
      </c>
      <c r="D349" s="1" t="s">
        <v>2</v>
      </c>
      <c r="E349" s="1">
        <v>41</v>
      </c>
      <c r="F349" s="1" t="s">
        <v>2850</v>
      </c>
      <c r="H349" s="1" t="s">
        <v>2857</v>
      </c>
      <c r="I349" s="1" t="s">
        <v>11</v>
      </c>
      <c r="J349" s="1" t="s">
        <v>2852</v>
      </c>
      <c r="K349" s="1" t="s">
        <v>2853</v>
      </c>
      <c r="L349" s="1" t="s">
        <v>2852</v>
      </c>
      <c r="M349" s="1" t="s">
        <v>2854</v>
      </c>
      <c r="O349" s="1">
        <v>2</v>
      </c>
      <c r="P349" s="1" t="s">
        <v>2855</v>
      </c>
      <c r="Q349" s="1">
        <v>1992</v>
      </c>
      <c r="R349" s="1" t="s">
        <v>2828</v>
      </c>
      <c r="S349" s="1" t="s">
        <v>27</v>
      </c>
      <c r="T349" s="38">
        <v>1</v>
      </c>
      <c r="W349" s="1">
        <v>84</v>
      </c>
      <c r="Z349" s="1">
        <v>81.599999999999994</v>
      </c>
      <c r="AC349" s="1">
        <v>17</v>
      </c>
      <c r="AJ349" s="1">
        <v>1.2</v>
      </c>
      <c r="AQ349" s="1" t="s">
        <v>15</v>
      </c>
      <c r="AV349" s="1">
        <v>1</v>
      </c>
      <c r="CM349" s="1">
        <v>40</v>
      </c>
      <c r="CZ349" s="1">
        <v>0.06</v>
      </c>
      <c r="DB349" s="1">
        <v>0.1</v>
      </c>
      <c r="DC349" s="1">
        <v>1.72</v>
      </c>
      <c r="DE349" s="1">
        <v>0.56000000000000005</v>
      </c>
      <c r="DJ349" s="1">
        <v>0.19</v>
      </c>
      <c r="DK349" s="1">
        <v>10</v>
      </c>
      <c r="DM349" s="1">
        <v>3</v>
      </c>
      <c r="DN349" s="1" t="s">
        <v>15</v>
      </c>
      <c r="EY349" s="1">
        <v>131</v>
      </c>
    </row>
    <row r="350" spans="1:155" x14ac:dyDescent="0.2">
      <c r="A350" s="1" t="s">
        <v>2858</v>
      </c>
      <c r="B350" s="1" t="s">
        <v>1911</v>
      </c>
      <c r="C350" s="1" t="s">
        <v>2849</v>
      </c>
      <c r="D350" s="1" t="s">
        <v>2</v>
      </c>
      <c r="E350" s="1">
        <v>41</v>
      </c>
      <c r="F350" s="1" t="s">
        <v>2859</v>
      </c>
      <c r="H350" s="1" t="s">
        <v>2860</v>
      </c>
      <c r="I350" s="1" t="s">
        <v>7</v>
      </c>
      <c r="J350" s="1" t="s">
        <v>2861</v>
      </c>
      <c r="K350" s="1" t="s">
        <v>2862</v>
      </c>
      <c r="L350" s="1" t="s">
        <v>2863</v>
      </c>
      <c r="M350" s="1" t="s">
        <v>2854</v>
      </c>
      <c r="O350" s="1">
        <v>2</v>
      </c>
      <c r="P350" s="1" t="s">
        <v>2855</v>
      </c>
      <c r="Q350" s="1">
        <v>1992</v>
      </c>
      <c r="R350" s="1" t="s">
        <v>2828</v>
      </c>
      <c r="S350" s="1" t="s">
        <v>27</v>
      </c>
      <c r="T350" s="38">
        <v>1</v>
      </c>
      <c r="W350" s="1">
        <v>74</v>
      </c>
      <c r="Z350" s="1">
        <v>83.8</v>
      </c>
      <c r="AC350" s="1">
        <v>14.9</v>
      </c>
      <c r="AJ350" s="1">
        <v>1.1000000000000001</v>
      </c>
      <c r="AQ350" s="1" t="s">
        <v>15</v>
      </c>
      <c r="AV350" s="1">
        <v>1</v>
      </c>
      <c r="CM350" s="1" t="s">
        <v>15</v>
      </c>
      <c r="CZ350" s="1">
        <v>0.04</v>
      </c>
      <c r="DB350" s="1">
        <v>0.03</v>
      </c>
      <c r="DC350" s="1">
        <v>1.84</v>
      </c>
      <c r="DE350" s="1">
        <v>0.49</v>
      </c>
      <c r="DJ350" s="1">
        <v>0.08</v>
      </c>
      <c r="DK350" s="1">
        <v>30</v>
      </c>
      <c r="DM350" s="1">
        <v>1.8</v>
      </c>
      <c r="DN350" s="1" t="s">
        <v>15</v>
      </c>
      <c r="EY350" s="1">
        <v>112</v>
      </c>
    </row>
    <row r="351" spans="1:155" x14ac:dyDescent="0.2">
      <c r="A351" s="1" t="s">
        <v>2864</v>
      </c>
      <c r="B351" s="1" t="s">
        <v>1911</v>
      </c>
      <c r="C351" s="1" t="s">
        <v>2849</v>
      </c>
      <c r="D351" s="1" t="s">
        <v>2</v>
      </c>
      <c r="E351" s="1">
        <v>41</v>
      </c>
      <c r="F351" s="1" t="s">
        <v>2859</v>
      </c>
      <c r="H351" s="1" t="s">
        <v>2865</v>
      </c>
      <c r="I351" s="1" t="s">
        <v>11</v>
      </c>
      <c r="J351" s="1" t="s">
        <v>2861</v>
      </c>
      <c r="K351" s="1" t="s">
        <v>2862</v>
      </c>
      <c r="L351" s="1" t="s">
        <v>2863</v>
      </c>
      <c r="M351" s="1" t="s">
        <v>2854</v>
      </c>
      <c r="O351" s="1">
        <v>2</v>
      </c>
      <c r="P351" s="1" t="s">
        <v>2855</v>
      </c>
      <c r="Q351" s="1">
        <v>1992</v>
      </c>
      <c r="R351" s="1" t="s">
        <v>2828</v>
      </c>
      <c r="S351" s="1" t="s">
        <v>27</v>
      </c>
      <c r="T351" s="38">
        <v>1</v>
      </c>
      <c r="W351" s="1">
        <v>89</v>
      </c>
      <c r="Z351" s="1">
        <v>80</v>
      </c>
      <c r="AC351" s="1">
        <v>18.100000000000001</v>
      </c>
      <c r="AJ351" s="1">
        <v>1.4</v>
      </c>
      <c r="AQ351" s="1" t="s">
        <v>15</v>
      </c>
      <c r="AV351" s="1">
        <v>1.2</v>
      </c>
      <c r="CM351" s="1">
        <v>30</v>
      </c>
      <c r="CZ351" s="1">
        <v>0.04</v>
      </c>
      <c r="DB351" s="1">
        <v>0.06</v>
      </c>
      <c r="DC351" s="1">
        <v>1.62</v>
      </c>
      <c r="DE351" s="1">
        <v>0.46</v>
      </c>
      <c r="DJ351" s="1">
        <v>0.08</v>
      </c>
      <c r="DK351" s="1">
        <v>10</v>
      </c>
      <c r="DM351" s="1">
        <v>3.2</v>
      </c>
      <c r="DN351" s="1" t="s">
        <v>15</v>
      </c>
      <c r="EY351" s="1">
        <v>144</v>
      </c>
    </row>
    <row r="352" spans="1:155" x14ac:dyDescent="0.2">
      <c r="A352" s="1" t="s">
        <v>2866</v>
      </c>
      <c r="B352" s="1" t="s">
        <v>57</v>
      </c>
      <c r="C352" s="1" t="s">
        <v>2867</v>
      </c>
      <c r="D352" s="1" t="s">
        <v>2</v>
      </c>
      <c r="E352" s="1">
        <v>53</v>
      </c>
      <c r="F352" s="1" t="s">
        <v>2868</v>
      </c>
      <c r="H352" s="1" t="s">
        <v>2869</v>
      </c>
      <c r="I352" s="1" t="s">
        <v>7</v>
      </c>
      <c r="J352" s="1" t="s">
        <v>2870</v>
      </c>
      <c r="K352" s="1" t="s">
        <v>2871</v>
      </c>
      <c r="L352" s="1" t="s">
        <v>2870</v>
      </c>
      <c r="M352" s="1" t="s">
        <v>2872</v>
      </c>
      <c r="O352" s="1">
        <v>2</v>
      </c>
      <c r="P352" s="1" t="s">
        <v>2873</v>
      </c>
      <c r="Q352" s="1">
        <v>1992</v>
      </c>
      <c r="R352" s="1" t="s">
        <v>2828</v>
      </c>
      <c r="S352" s="1" t="s">
        <v>27</v>
      </c>
      <c r="T352" s="38">
        <v>1</v>
      </c>
      <c r="W352" s="1">
        <v>48</v>
      </c>
      <c r="Z352" s="1" t="s">
        <v>2874</v>
      </c>
      <c r="AC352" s="1" t="s">
        <v>2875</v>
      </c>
      <c r="AJ352" s="1" t="s">
        <v>2876</v>
      </c>
      <c r="AQ352" s="1">
        <v>4</v>
      </c>
      <c r="AV352" s="1" t="s">
        <v>2877</v>
      </c>
      <c r="CM352" s="1">
        <v>20</v>
      </c>
      <c r="CZ352" s="1">
        <v>0.12</v>
      </c>
      <c r="DB352" s="1">
        <v>0.02</v>
      </c>
      <c r="DC352" s="1">
        <v>1.26</v>
      </c>
      <c r="DE352" s="1">
        <v>0.08</v>
      </c>
      <c r="DJ352" s="1">
        <v>0.05</v>
      </c>
      <c r="DK352" s="1">
        <v>10</v>
      </c>
      <c r="DM352" s="1">
        <v>14.4</v>
      </c>
      <c r="DN352" s="1">
        <v>3.8</v>
      </c>
      <c r="EY352" s="1">
        <v>26</v>
      </c>
    </row>
    <row r="353" spans="1:155" x14ac:dyDescent="0.2">
      <c r="A353" s="1" t="s">
        <v>2878</v>
      </c>
      <c r="B353" s="1" t="s">
        <v>55</v>
      </c>
      <c r="C353" s="1" t="s">
        <v>2811</v>
      </c>
      <c r="D353" s="1" t="s">
        <v>2</v>
      </c>
      <c r="E353" s="1">
        <v>23</v>
      </c>
      <c r="F353" s="1" t="s">
        <v>1471</v>
      </c>
      <c r="H353" s="1" t="s">
        <v>2812</v>
      </c>
      <c r="I353" s="1" t="s">
        <v>7</v>
      </c>
      <c r="J353" s="1" t="s">
        <v>1473</v>
      </c>
      <c r="K353" s="1" t="s">
        <v>1474</v>
      </c>
      <c r="L353" s="1" t="s">
        <v>1473</v>
      </c>
      <c r="M353" s="1" t="s">
        <v>2879</v>
      </c>
      <c r="O353" s="1">
        <v>1</v>
      </c>
      <c r="Q353" s="1">
        <v>1995</v>
      </c>
      <c r="R353" s="1" t="s">
        <v>2880</v>
      </c>
      <c r="S353" s="1" t="s">
        <v>27</v>
      </c>
      <c r="T353" s="38">
        <v>1</v>
      </c>
      <c r="Z353" s="1">
        <v>66.400000000000006</v>
      </c>
      <c r="AJ353" s="1">
        <v>13.4</v>
      </c>
      <c r="CR353" s="1">
        <v>7.3</v>
      </c>
    </row>
    <row r="354" spans="1:155" x14ac:dyDescent="0.2">
      <c r="A354" s="1" t="s">
        <v>2881</v>
      </c>
      <c r="B354" s="1" t="s">
        <v>55</v>
      </c>
      <c r="C354" s="1" t="s">
        <v>2811</v>
      </c>
      <c r="D354" s="1" t="s">
        <v>2</v>
      </c>
      <c r="E354" s="1">
        <v>23</v>
      </c>
      <c r="F354" s="1" t="s">
        <v>1471</v>
      </c>
      <c r="H354" s="1" t="s">
        <v>2812</v>
      </c>
      <c r="I354" s="1" t="s">
        <v>7</v>
      </c>
      <c r="J354" s="1" t="s">
        <v>1473</v>
      </c>
      <c r="K354" s="1" t="s">
        <v>1474</v>
      </c>
      <c r="L354" s="1" t="s">
        <v>1473</v>
      </c>
      <c r="M354" s="1" t="s">
        <v>2882</v>
      </c>
      <c r="O354" s="1">
        <v>1</v>
      </c>
      <c r="Q354" s="1">
        <v>1995</v>
      </c>
      <c r="R354" s="1" t="s">
        <v>2880</v>
      </c>
      <c r="S354" s="1" t="s">
        <v>27</v>
      </c>
      <c r="T354" s="38">
        <v>1</v>
      </c>
      <c r="Z354" s="1">
        <v>69.5</v>
      </c>
      <c r="AJ354" s="1">
        <v>10</v>
      </c>
      <c r="CR354" s="1">
        <v>7.83</v>
      </c>
    </row>
    <row r="355" spans="1:155" x14ac:dyDescent="0.2">
      <c r="A355" s="1" t="s">
        <v>2883</v>
      </c>
      <c r="B355" s="1" t="s">
        <v>55</v>
      </c>
      <c r="C355" s="1" t="s">
        <v>2884</v>
      </c>
      <c r="D355" s="1" t="s">
        <v>2</v>
      </c>
      <c r="E355" s="1">
        <v>33</v>
      </c>
      <c r="F355" s="1" t="s">
        <v>2885</v>
      </c>
      <c r="H355" s="1" t="s">
        <v>2886</v>
      </c>
      <c r="I355" s="1" t="s">
        <v>7</v>
      </c>
      <c r="J355" s="1" t="s">
        <v>2887</v>
      </c>
      <c r="K355" s="1" t="s">
        <v>2888</v>
      </c>
      <c r="L355" s="1" t="s">
        <v>2887</v>
      </c>
      <c r="M355" s="1" t="s">
        <v>2889</v>
      </c>
      <c r="N355" s="1" t="s">
        <v>2890</v>
      </c>
      <c r="P355" s="1" t="s">
        <v>2891</v>
      </c>
      <c r="Q355" s="1">
        <v>2010</v>
      </c>
      <c r="R355" s="1" t="s">
        <v>2892</v>
      </c>
      <c r="S355" s="1" t="s">
        <v>27</v>
      </c>
      <c r="T355" s="38">
        <v>1</v>
      </c>
      <c r="AH355" s="1">
        <v>6.49</v>
      </c>
      <c r="AK355" s="1">
        <v>1.67628</v>
      </c>
      <c r="AL355" s="1">
        <v>2.4527999999999999</v>
      </c>
      <c r="AM355" s="1">
        <v>1.0670999999999999</v>
      </c>
      <c r="EY355" s="1">
        <v>149.30000000000001</v>
      </c>
    </row>
    <row r="356" spans="1:155" x14ac:dyDescent="0.2">
      <c r="A356" s="1" t="s">
        <v>2893</v>
      </c>
      <c r="B356" s="1" t="s">
        <v>55</v>
      </c>
      <c r="C356" s="1" t="s">
        <v>2894</v>
      </c>
      <c r="E356" s="1">
        <v>11</v>
      </c>
      <c r="F356" s="1" t="s">
        <v>2895</v>
      </c>
      <c r="H356" s="1" t="s">
        <v>2896</v>
      </c>
      <c r="I356" s="1" t="s">
        <v>7</v>
      </c>
      <c r="J356" s="1" t="s">
        <v>2897</v>
      </c>
      <c r="K356" s="1" t="s">
        <v>2898</v>
      </c>
      <c r="L356" s="1" t="s">
        <v>2897</v>
      </c>
      <c r="P356" s="1" t="s">
        <v>1269</v>
      </c>
      <c r="Q356" s="1">
        <v>2008</v>
      </c>
      <c r="R356" s="1" t="s">
        <v>2899</v>
      </c>
      <c r="S356" s="1" t="s">
        <v>27</v>
      </c>
      <c r="T356" s="38">
        <v>1</v>
      </c>
      <c r="Z356" s="1">
        <v>77.599999999999994</v>
      </c>
      <c r="AA356" s="1">
        <v>6.25</v>
      </c>
      <c r="AC356" s="1">
        <v>19.100000000000001</v>
      </c>
      <c r="AH356" s="1">
        <v>1.85</v>
      </c>
      <c r="AK356" s="1">
        <v>0.50657600000000003</v>
      </c>
      <c r="AL356" s="1">
        <v>0.44325399999999998</v>
      </c>
      <c r="AM356" s="1">
        <v>0.52715564999999998</v>
      </c>
      <c r="AV356" s="1">
        <v>1.1499999999999999</v>
      </c>
      <c r="DR356" s="1">
        <v>8213</v>
      </c>
      <c r="DU356" s="1">
        <v>1113.53</v>
      </c>
      <c r="DV356" s="1">
        <v>1180.3800000000001</v>
      </c>
      <c r="DX356" s="1">
        <v>2024.6</v>
      </c>
      <c r="DY356" s="1">
        <v>99.32</v>
      </c>
      <c r="EA356" s="1">
        <v>3304.3</v>
      </c>
      <c r="EB356" s="1">
        <v>928.26</v>
      </c>
      <c r="EC356" s="1">
        <v>603.55999999999995</v>
      </c>
      <c r="EF356" s="1">
        <v>804.11</v>
      </c>
      <c r="EG356" s="1">
        <v>1663.61</v>
      </c>
      <c r="EH356" s="1">
        <v>1873.71</v>
      </c>
      <c r="EI356" s="1">
        <v>565.36</v>
      </c>
      <c r="EK356" s="1">
        <v>798.38</v>
      </c>
      <c r="EL356" s="1">
        <v>687.6</v>
      </c>
      <c r="EM356" s="1">
        <v>806.02</v>
      </c>
      <c r="EO356" s="1">
        <v>876.69</v>
      </c>
      <c r="EQ356" s="1">
        <v>670.41</v>
      </c>
      <c r="ER356" s="1">
        <v>870.96</v>
      </c>
    </row>
    <row r="357" spans="1:155" x14ac:dyDescent="0.2">
      <c r="A357" s="1" t="s">
        <v>2900</v>
      </c>
      <c r="B357" s="1" t="s">
        <v>55</v>
      </c>
      <c r="C357" s="1" t="s">
        <v>2894</v>
      </c>
      <c r="E357" s="1">
        <v>11</v>
      </c>
      <c r="F357" s="1" t="s">
        <v>2895</v>
      </c>
      <c r="H357" s="1" t="s">
        <v>2901</v>
      </c>
      <c r="I357" s="1" t="s">
        <v>9</v>
      </c>
      <c r="J357" s="1" t="s">
        <v>2897</v>
      </c>
      <c r="K357" s="1" t="s">
        <v>2898</v>
      </c>
      <c r="L357" s="1" t="s">
        <v>2897</v>
      </c>
      <c r="P357" s="1" t="s">
        <v>1269</v>
      </c>
      <c r="Q357" s="1">
        <v>2008</v>
      </c>
      <c r="R357" s="1" t="s">
        <v>2899</v>
      </c>
      <c r="S357" s="1" t="s">
        <v>27</v>
      </c>
      <c r="T357" s="38">
        <v>1</v>
      </c>
      <c r="Z357" s="1">
        <v>20.2</v>
      </c>
      <c r="AA357" s="1">
        <v>6.25</v>
      </c>
      <c r="AC357" s="1">
        <v>69.5</v>
      </c>
      <c r="AH357" s="1">
        <v>5.13</v>
      </c>
      <c r="AK357" s="1">
        <v>1.42084674</v>
      </c>
      <c r="AL357" s="1">
        <v>0.99830735000000004</v>
      </c>
      <c r="AM357" s="1">
        <v>1.90839219</v>
      </c>
      <c r="AV357" s="1">
        <v>4.26</v>
      </c>
      <c r="DR357" s="1">
        <v>30163</v>
      </c>
      <c r="DU357" s="1">
        <v>4100.5</v>
      </c>
      <c r="DV357" s="1">
        <v>4350.7</v>
      </c>
      <c r="DX357" s="1">
        <v>7228</v>
      </c>
      <c r="DY357" s="1">
        <v>417</v>
      </c>
      <c r="EA357" s="1">
        <v>11815</v>
      </c>
      <c r="EB357" s="1">
        <v>3648.75</v>
      </c>
      <c r="EC357" s="1">
        <v>1897.35</v>
      </c>
      <c r="EF357" s="1">
        <v>3030.2</v>
      </c>
      <c r="EG357" s="1">
        <v>6081.25</v>
      </c>
      <c r="EH357" s="1">
        <v>6734.55</v>
      </c>
      <c r="EI357" s="1">
        <v>2064.15</v>
      </c>
      <c r="EK357" s="1">
        <v>2856.45</v>
      </c>
      <c r="EL357" s="1">
        <v>2529.8000000000002</v>
      </c>
      <c r="EM357" s="1">
        <v>2967.65</v>
      </c>
      <c r="EO357" s="1">
        <v>3224.8</v>
      </c>
      <c r="EQ357" s="1">
        <v>2453.35</v>
      </c>
      <c r="ER357" s="1">
        <v>3280.4</v>
      </c>
    </row>
    <row r="358" spans="1:155" x14ac:dyDescent="0.2">
      <c r="A358" s="1" t="s">
        <v>2902</v>
      </c>
      <c r="B358" s="1" t="s">
        <v>55</v>
      </c>
      <c r="C358" s="1" t="s">
        <v>2894</v>
      </c>
      <c r="E358" s="1">
        <v>11</v>
      </c>
      <c r="F358" s="1" t="s">
        <v>2895</v>
      </c>
      <c r="H358" s="1" t="s">
        <v>2903</v>
      </c>
      <c r="I358" s="1" t="s">
        <v>9</v>
      </c>
      <c r="J358" s="1" t="s">
        <v>2897</v>
      </c>
      <c r="K358" s="1" t="s">
        <v>2898</v>
      </c>
      <c r="L358" s="1" t="s">
        <v>2897</v>
      </c>
      <c r="P358" s="1" t="s">
        <v>1269</v>
      </c>
      <c r="Q358" s="1">
        <v>2008</v>
      </c>
      <c r="R358" s="1" t="s">
        <v>2899</v>
      </c>
      <c r="S358" s="1" t="s">
        <v>27</v>
      </c>
      <c r="T358" s="38">
        <v>1</v>
      </c>
      <c r="Z358" s="1">
        <v>20.399999999999999</v>
      </c>
      <c r="AA358" s="1">
        <v>6.25</v>
      </c>
      <c r="AC358" s="1">
        <v>69.2</v>
      </c>
      <c r="AH358" s="1">
        <v>5.56</v>
      </c>
      <c r="AK358" s="1">
        <v>1.49821056</v>
      </c>
      <c r="AL358" s="1">
        <v>1.14005248</v>
      </c>
      <c r="AM358" s="1">
        <v>2.0884147199999998</v>
      </c>
      <c r="AV358" s="1">
        <v>4.28</v>
      </c>
      <c r="DR358" s="1">
        <v>30309.599999999999</v>
      </c>
      <c r="DU358" s="1">
        <v>4124.32</v>
      </c>
      <c r="DV358" s="1">
        <v>4248.88</v>
      </c>
      <c r="DX358" s="1">
        <v>7335.2</v>
      </c>
      <c r="DY358" s="1">
        <v>408.28</v>
      </c>
      <c r="EA358" s="1">
        <v>11625.6</v>
      </c>
      <c r="EB358" s="1">
        <v>3397.72</v>
      </c>
      <c r="EC358" s="1">
        <v>1999.88</v>
      </c>
      <c r="EF358" s="1">
        <v>3030.96</v>
      </c>
      <c r="EG358" s="1">
        <v>6124.2</v>
      </c>
      <c r="EH358" s="1">
        <v>6857.72</v>
      </c>
      <c r="EI358" s="1">
        <v>2027.56</v>
      </c>
      <c r="EK358" s="1">
        <v>2954.84</v>
      </c>
      <c r="EL358" s="1">
        <v>2415.08</v>
      </c>
      <c r="EM358" s="1">
        <v>2892.56</v>
      </c>
      <c r="EO358" s="1">
        <v>3176.28</v>
      </c>
      <c r="EQ358" s="1">
        <v>2442.7600000000002</v>
      </c>
      <c r="ER358" s="1">
        <v>3300.84</v>
      </c>
    </row>
    <row r="359" spans="1:155" x14ac:dyDescent="0.2">
      <c r="A359" s="1" t="s">
        <v>2904</v>
      </c>
      <c r="B359" s="1" t="s">
        <v>55</v>
      </c>
      <c r="C359" s="1" t="s">
        <v>1029</v>
      </c>
      <c r="D359" s="1" t="s">
        <v>2</v>
      </c>
      <c r="E359" s="1">
        <v>13</v>
      </c>
      <c r="F359" s="1" t="s">
        <v>2905</v>
      </c>
      <c r="H359" s="1" t="s">
        <v>2906</v>
      </c>
      <c r="I359" s="1" t="s">
        <v>7</v>
      </c>
      <c r="J359" s="1" t="s">
        <v>2907</v>
      </c>
      <c r="K359" s="1" t="s">
        <v>2908</v>
      </c>
      <c r="L359" s="1" t="s">
        <v>2907</v>
      </c>
      <c r="N359" s="1" t="s">
        <v>2909</v>
      </c>
      <c r="P359" s="1" t="s">
        <v>2910</v>
      </c>
      <c r="Q359" s="1">
        <v>2006</v>
      </c>
      <c r="R359" s="1" t="s">
        <v>2911</v>
      </c>
      <c r="S359" s="1" t="s">
        <v>27</v>
      </c>
      <c r="T359" s="38">
        <v>1</v>
      </c>
      <c r="Z359" s="1">
        <v>80.599999999999994</v>
      </c>
      <c r="AA359" s="1">
        <v>6.25</v>
      </c>
      <c r="AB359" s="1">
        <v>2.8323999999999998</v>
      </c>
      <c r="AC359" s="1">
        <v>17.8674</v>
      </c>
      <c r="AI359" s="1">
        <v>0.53932000000000002</v>
      </c>
      <c r="AK359" s="1">
        <v>0.13248126139999999</v>
      </c>
      <c r="AY359" s="1">
        <v>5.4320000000000004</v>
      </c>
      <c r="BA359" s="1" t="s">
        <v>15</v>
      </c>
      <c r="BB359" s="1">
        <v>7.5659999999999998</v>
      </c>
      <c r="BD359" s="1">
        <v>8.7299999999999999E-3</v>
      </c>
      <c r="BF359" s="1">
        <v>9.5060000000000006E-2</v>
      </c>
      <c r="BH359" s="1">
        <v>72.168000000000006</v>
      </c>
      <c r="BJ359" s="1">
        <v>5.6260000000000003</v>
      </c>
      <c r="BK359" s="1">
        <v>5.6259999999999999E-3</v>
      </c>
      <c r="BL359" s="1">
        <v>0.19400000000000001</v>
      </c>
      <c r="BM359" s="1">
        <v>6.2080000000000002</v>
      </c>
      <c r="BO359" s="1" t="s">
        <v>15</v>
      </c>
      <c r="BP359" s="1">
        <v>40.351999999999997</v>
      </c>
      <c r="BS359" s="1">
        <v>23.28</v>
      </c>
      <c r="BW359" s="1">
        <v>0.11465400000000001</v>
      </c>
      <c r="BX359" s="1">
        <v>69.257999999999996</v>
      </c>
      <c r="BY359" s="1">
        <v>27.547999999999998</v>
      </c>
      <c r="BZ359" s="1">
        <v>5.0439999999999996</v>
      </c>
      <c r="CA359" s="1">
        <v>4.6559999999999997</v>
      </c>
      <c r="CC359" s="1">
        <v>80.510000000000005</v>
      </c>
      <c r="CD359" s="1">
        <v>19.399999999999999</v>
      </c>
      <c r="DU359" s="1">
        <v>789.58</v>
      </c>
      <c r="DV359" s="1">
        <v>1004.92</v>
      </c>
      <c r="DX359" s="1">
        <v>1431.72</v>
      </c>
      <c r="DY359" s="1">
        <v>50.44</v>
      </c>
      <c r="EA359" s="1">
        <v>2172.8000000000002</v>
      </c>
      <c r="EB359" s="1">
        <v>613.04</v>
      </c>
      <c r="EC359" s="1">
        <v>358.9</v>
      </c>
      <c r="EF359" s="1">
        <v>787.64</v>
      </c>
      <c r="EG359" s="1">
        <v>1204.74</v>
      </c>
      <c r="EH359" s="1">
        <v>1480.22</v>
      </c>
      <c r="EI359" s="1">
        <v>485</v>
      </c>
      <c r="EK359" s="1">
        <v>679</v>
      </c>
      <c r="EL359" s="1">
        <v>461.72</v>
      </c>
      <c r="EM359" s="1">
        <v>355.02</v>
      </c>
      <c r="EO359" s="1">
        <v>514.1</v>
      </c>
      <c r="EQ359" s="1">
        <v>492.76</v>
      </c>
      <c r="ER359" s="1">
        <v>777.94</v>
      </c>
    </row>
    <row r="360" spans="1:155" x14ac:dyDescent="0.2">
      <c r="A360" s="1" t="s">
        <v>2912</v>
      </c>
      <c r="B360" s="1" t="s">
        <v>55</v>
      </c>
      <c r="C360" s="1" t="s">
        <v>2913</v>
      </c>
      <c r="D360" s="1" t="s">
        <v>2</v>
      </c>
      <c r="E360" s="1">
        <v>13</v>
      </c>
      <c r="F360" s="1" t="s">
        <v>2914</v>
      </c>
      <c r="H360" s="1" t="s">
        <v>2915</v>
      </c>
      <c r="I360" s="1" t="s">
        <v>7</v>
      </c>
      <c r="J360" s="1" t="s">
        <v>2916</v>
      </c>
      <c r="L360" s="1" t="s">
        <v>2917</v>
      </c>
      <c r="N360" s="1" t="s">
        <v>2918</v>
      </c>
      <c r="P360" s="1" t="s">
        <v>1269</v>
      </c>
      <c r="Q360" s="1">
        <v>1995</v>
      </c>
      <c r="R360" s="1" t="s">
        <v>2919</v>
      </c>
      <c r="S360" s="1" t="s">
        <v>27</v>
      </c>
      <c r="T360" s="38">
        <v>1</v>
      </c>
      <c r="Z360" s="1">
        <v>72.69</v>
      </c>
      <c r="AA360" s="1">
        <v>6.25</v>
      </c>
      <c r="AC360" s="1">
        <v>24.8</v>
      </c>
      <c r="AH360" s="1">
        <v>2.84</v>
      </c>
      <c r="AK360" s="1">
        <v>0.76053884800000005</v>
      </c>
      <c r="AL360" s="1">
        <v>1.010709504</v>
      </c>
      <c r="AM360" s="1">
        <v>0.73597299199999999</v>
      </c>
      <c r="AV360" s="1">
        <v>1.59</v>
      </c>
    </row>
    <row r="361" spans="1:155" x14ac:dyDescent="0.2">
      <c r="A361" s="1" t="s">
        <v>2920</v>
      </c>
      <c r="B361" s="1" t="s">
        <v>55</v>
      </c>
      <c r="C361" s="1" t="s">
        <v>2913</v>
      </c>
      <c r="D361" s="1" t="s">
        <v>2</v>
      </c>
      <c r="E361" s="1">
        <v>13</v>
      </c>
      <c r="F361" s="1" t="s">
        <v>2914</v>
      </c>
      <c r="H361" s="1" t="s">
        <v>2921</v>
      </c>
      <c r="I361" s="1" t="s">
        <v>7</v>
      </c>
      <c r="J361" s="1" t="s">
        <v>2917</v>
      </c>
      <c r="K361" s="1" t="s">
        <v>2922</v>
      </c>
      <c r="L361" s="1" t="s">
        <v>2917</v>
      </c>
      <c r="N361" s="1" t="s">
        <v>2923</v>
      </c>
      <c r="P361" s="1" t="s">
        <v>1269</v>
      </c>
      <c r="Q361" s="1">
        <v>1995</v>
      </c>
      <c r="R361" s="1" t="s">
        <v>2919</v>
      </c>
      <c r="S361" s="1" t="s">
        <v>27</v>
      </c>
      <c r="T361" s="38">
        <v>1</v>
      </c>
      <c r="Z361" s="1">
        <v>78.22</v>
      </c>
      <c r="AA361" s="1">
        <v>6.25</v>
      </c>
      <c r="AC361" s="1">
        <v>18.899999999999999</v>
      </c>
      <c r="AH361" s="1">
        <v>2.63</v>
      </c>
      <c r="AK361" s="1">
        <v>0.80068873500000004</v>
      </c>
      <c r="AL361" s="1">
        <v>0.84852208799999995</v>
      </c>
      <c r="AM361" s="1">
        <v>0.66804938899999999</v>
      </c>
      <c r="AV361" s="1">
        <v>1.17</v>
      </c>
    </row>
    <row r="362" spans="1:155" x14ac:dyDescent="0.2">
      <c r="A362" s="1" t="s">
        <v>2924</v>
      </c>
      <c r="B362" s="1" t="s">
        <v>55</v>
      </c>
      <c r="C362" s="1" t="s">
        <v>2925</v>
      </c>
      <c r="D362" s="1" t="s">
        <v>2</v>
      </c>
      <c r="E362" s="1">
        <v>13</v>
      </c>
      <c r="F362" s="1" t="s">
        <v>2914</v>
      </c>
      <c r="H362" s="1" t="s">
        <v>2926</v>
      </c>
      <c r="I362" s="1" t="s">
        <v>7</v>
      </c>
      <c r="J362" s="1" t="s">
        <v>2917</v>
      </c>
      <c r="K362" s="1" t="s">
        <v>2922</v>
      </c>
      <c r="L362" s="1" t="s">
        <v>2917</v>
      </c>
      <c r="M362" s="1" t="s">
        <v>2927</v>
      </c>
      <c r="N362" s="1" t="s">
        <v>2928</v>
      </c>
      <c r="O362" s="1">
        <v>3</v>
      </c>
      <c r="P362" s="1" t="s">
        <v>2929</v>
      </c>
      <c r="Q362" s="1">
        <v>2002</v>
      </c>
      <c r="R362" s="1" t="s">
        <v>2930</v>
      </c>
      <c r="S362" s="1" t="s">
        <v>27</v>
      </c>
      <c r="T362" s="38">
        <v>1</v>
      </c>
      <c r="U362" s="1">
        <v>0.34599999999999997</v>
      </c>
      <c r="Z362" s="1">
        <v>71.8</v>
      </c>
      <c r="AE362" s="1">
        <v>19.2</v>
      </c>
      <c r="AH362" s="1">
        <v>7.8</v>
      </c>
      <c r="AV362" s="1">
        <v>1.2</v>
      </c>
    </row>
    <row r="363" spans="1:155" x14ac:dyDescent="0.2">
      <c r="A363" s="1" t="s">
        <v>2931</v>
      </c>
      <c r="B363" s="1" t="s">
        <v>55</v>
      </c>
      <c r="C363" s="1" t="s">
        <v>2925</v>
      </c>
      <c r="D363" s="1" t="s">
        <v>2</v>
      </c>
      <c r="E363" s="1">
        <v>13</v>
      </c>
      <c r="F363" s="1" t="s">
        <v>2914</v>
      </c>
      <c r="H363" s="1" t="s">
        <v>2932</v>
      </c>
      <c r="I363" s="1" t="s">
        <v>7</v>
      </c>
      <c r="J363" s="1" t="s">
        <v>2917</v>
      </c>
      <c r="K363" s="1" t="s">
        <v>2922</v>
      </c>
      <c r="L363" s="1" t="s">
        <v>2917</v>
      </c>
      <c r="M363" s="1" t="s">
        <v>2927</v>
      </c>
      <c r="N363" s="1" t="s">
        <v>2933</v>
      </c>
      <c r="O363" s="1">
        <v>3</v>
      </c>
      <c r="P363" s="1" t="s">
        <v>2929</v>
      </c>
      <c r="Q363" s="1">
        <v>2002</v>
      </c>
      <c r="R363" s="1" t="s">
        <v>2930</v>
      </c>
      <c r="S363" s="1" t="s">
        <v>27</v>
      </c>
      <c r="T363" s="38">
        <v>1</v>
      </c>
      <c r="Z363" s="1">
        <v>73.7</v>
      </c>
      <c r="AE363" s="1">
        <v>19.3</v>
      </c>
      <c r="AH363" s="1">
        <v>5.9</v>
      </c>
      <c r="AK363" s="1">
        <v>1.3511484</v>
      </c>
      <c r="AL363" s="1">
        <v>2.1500417000000001</v>
      </c>
      <c r="AM363" s="1">
        <v>1.8551481999999999</v>
      </c>
      <c r="AV363" s="1">
        <v>1.1000000000000001</v>
      </c>
      <c r="EW363" s="1">
        <v>29</v>
      </c>
    </row>
    <row r="364" spans="1:155" x14ac:dyDescent="0.2">
      <c r="A364" s="1" t="s">
        <v>2934</v>
      </c>
      <c r="B364" s="1" t="s">
        <v>55</v>
      </c>
      <c r="C364" s="1" t="s">
        <v>2925</v>
      </c>
      <c r="D364" s="1" t="s">
        <v>2</v>
      </c>
      <c r="E364" s="1">
        <v>13</v>
      </c>
      <c r="F364" s="1" t="s">
        <v>2914</v>
      </c>
      <c r="H364" s="1" t="s">
        <v>2935</v>
      </c>
      <c r="I364" s="1" t="s">
        <v>7</v>
      </c>
      <c r="J364" s="1" t="s">
        <v>2917</v>
      </c>
      <c r="K364" s="1" t="s">
        <v>2922</v>
      </c>
      <c r="L364" s="1" t="s">
        <v>2917</v>
      </c>
      <c r="M364" s="1" t="s">
        <v>2927</v>
      </c>
      <c r="N364" s="1" t="s">
        <v>2928</v>
      </c>
      <c r="O364" s="1">
        <v>3</v>
      </c>
      <c r="P364" s="1" t="s">
        <v>2929</v>
      </c>
      <c r="Q364" s="1">
        <v>2002</v>
      </c>
      <c r="R364" s="1" t="s">
        <v>2930</v>
      </c>
      <c r="S364" s="1" t="s">
        <v>27</v>
      </c>
      <c r="T364" s="38">
        <v>1</v>
      </c>
      <c r="U364" s="1">
        <v>0.38800000000000001</v>
      </c>
      <c r="Z364" s="1">
        <v>69.8</v>
      </c>
      <c r="AE364" s="1">
        <v>19</v>
      </c>
      <c r="AH364" s="1">
        <v>10</v>
      </c>
      <c r="AV364" s="1">
        <v>1.1000000000000001</v>
      </c>
    </row>
    <row r="365" spans="1:155" x14ac:dyDescent="0.2">
      <c r="A365" s="1" t="s">
        <v>2936</v>
      </c>
      <c r="B365" s="1" t="s">
        <v>55</v>
      </c>
      <c r="C365" s="1" t="s">
        <v>2925</v>
      </c>
      <c r="D365" s="1" t="s">
        <v>2</v>
      </c>
      <c r="E365" s="1">
        <v>13</v>
      </c>
      <c r="F365" s="1" t="s">
        <v>2914</v>
      </c>
      <c r="H365" s="1" t="s">
        <v>2937</v>
      </c>
      <c r="I365" s="1" t="s">
        <v>7</v>
      </c>
      <c r="J365" s="1" t="s">
        <v>2917</v>
      </c>
      <c r="K365" s="1" t="s">
        <v>2922</v>
      </c>
      <c r="L365" s="1" t="s">
        <v>2917</v>
      </c>
      <c r="M365" s="1" t="s">
        <v>2927</v>
      </c>
      <c r="N365" s="1" t="s">
        <v>2933</v>
      </c>
      <c r="O365" s="1">
        <v>3</v>
      </c>
      <c r="P365" s="1" t="s">
        <v>2929</v>
      </c>
      <c r="Q365" s="1">
        <v>2002</v>
      </c>
      <c r="R365" s="1" t="s">
        <v>2930</v>
      </c>
      <c r="S365" s="1" t="s">
        <v>27</v>
      </c>
      <c r="T365" s="38">
        <v>1</v>
      </c>
      <c r="Z365" s="1">
        <v>71.2</v>
      </c>
      <c r="AE365" s="1">
        <v>20.2</v>
      </c>
      <c r="AH365" s="1">
        <v>7.4</v>
      </c>
      <c r="AK365" s="1">
        <v>1.6159268</v>
      </c>
      <c r="AL365" s="1">
        <v>2.8599876000000002</v>
      </c>
      <c r="AM365" s="1">
        <v>2.2852855999999999</v>
      </c>
      <c r="AV365" s="1">
        <v>1.1000000000000001</v>
      </c>
      <c r="EW365" s="1">
        <v>23</v>
      </c>
    </row>
    <row r="366" spans="1:155" x14ac:dyDescent="0.2">
      <c r="A366" s="1" t="s">
        <v>2938</v>
      </c>
      <c r="B366" s="1" t="s">
        <v>55</v>
      </c>
      <c r="C366" s="1" t="s">
        <v>2925</v>
      </c>
      <c r="D366" s="1" t="s">
        <v>2</v>
      </c>
      <c r="E366" s="1">
        <v>13</v>
      </c>
      <c r="F366" s="1" t="s">
        <v>2914</v>
      </c>
      <c r="H366" s="1" t="s">
        <v>2939</v>
      </c>
      <c r="I366" s="1" t="s">
        <v>7</v>
      </c>
      <c r="J366" s="1" t="s">
        <v>2917</v>
      </c>
      <c r="K366" s="1" t="s">
        <v>2922</v>
      </c>
      <c r="L366" s="1" t="s">
        <v>2917</v>
      </c>
      <c r="M366" s="1" t="s">
        <v>2927</v>
      </c>
      <c r="N366" s="1" t="s">
        <v>2928</v>
      </c>
      <c r="O366" s="1">
        <v>3</v>
      </c>
      <c r="P366" s="1" t="s">
        <v>2929</v>
      </c>
      <c r="Q366" s="1">
        <v>2002</v>
      </c>
      <c r="R366" s="1" t="s">
        <v>2930</v>
      </c>
      <c r="S366" s="1" t="s">
        <v>27</v>
      </c>
      <c r="T366" s="38">
        <v>1</v>
      </c>
      <c r="U366" s="1">
        <v>0.33400000000000002</v>
      </c>
      <c r="Z366" s="1">
        <v>69.5</v>
      </c>
      <c r="AE366" s="1">
        <v>18.899999999999999</v>
      </c>
      <c r="AH366" s="1">
        <v>10.6</v>
      </c>
      <c r="AV366" s="1">
        <v>1</v>
      </c>
    </row>
    <row r="367" spans="1:155" x14ac:dyDescent="0.2">
      <c r="A367" s="1" t="s">
        <v>2940</v>
      </c>
      <c r="B367" s="1" t="s">
        <v>55</v>
      </c>
      <c r="C367" s="1" t="s">
        <v>2925</v>
      </c>
      <c r="D367" s="1" t="s">
        <v>2</v>
      </c>
      <c r="E367" s="1">
        <v>13</v>
      </c>
      <c r="F367" s="1" t="s">
        <v>2914</v>
      </c>
      <c r="H367" s="1" t="s">
        <v>2941</v>
      </c>
      <c r="I367" s="1" t="s">
        <v>7</v>
      </c>
      <c r="J367" s="1" t="s">
        <v>2917</v>
      </c>
      <c r="K367" s="1" t="s">
        <v>2922</v>
      </c>
      <c r="L367" s="1" t="s">
        <v>2917</v>
      </c>
      <c r="M367" s="1" t="s">
        <v>2927</v>
      </c>
      <c r="N367" s="1" t="s">
        <v>2933</v>
      </c>
      <c r="O367" s="1">
        <v>3</v>
      </c>
      <c r="P367" s="1" t="s">
        <v>2929</v>
      </c>
      <c r="Q367" s="1">
        <v>2002</v>
      </c>
      <c r="R367" s="1" t="s">
        <v>2930</v>
      </c>
      <c r="S367" s="1" t="s">
        <v>27</v>
      </c>
      <c r="T367" s="38">
        <v>1</v>
      </c>
      <c r="Z367" s="1">
        <v>71.599999999999994</v>
      </c>
      <c r="AE367" s="1">
        <v>19.7</v>
      </c>
      <c r="AH367" s="1">
        <v>7.6</v>
      </c>
      <c r="AK367" s="1">
        <v>1.6188374000000001</v>
      </c>
      <c r="AL367" s="1">
        <v>2.9528150000000002</v>
      </c>
      <c r="AM367" s="1">
        <v>2.3691998000000001</v>
      </c>
      <c r="AV367" s="1">
        <v>1.1000000000000001</v>
      </c>
      <c r="EW367" s="1">
        <v>23</v>
      </c>
    </row>
    <row r="368" spans="1:155" x14ac:dyDescent="0.2">
      <c r="A368" s="1" t="s">
        <v>2942</v>
      </c>
      <c r="B368" s="1" t="s">
        <v>55</v>
      </c>
      <c r="C368" s="1" t="s">
        <v>2055</v>
      </c>
      <c r="D368" s="1" t="s">
        <v>2</v>
      </c>
      <c r="E368" s="1">
        <v>33</v>
      </c>
      <c r="F368" s="1" t="s">
        <v>1288</v>
      </c>
      <c r="H368" s="1" t="s">
        <v>1289</v>
      </c>
      <c r="I368" s="1" t="s">
        <v>7</v>
      </c>
      <c r="J368" s="1" t="s">
        <v>1290</v>
      </c>
      <c r="K368" s="1" t="s">
        <v>1291</v>
      </c>
      <c r="L368" s="1" t="s">
        <v>1290</v>
      </c>
      <c r="N368" s="1" t="s">
        <v>2943</v>
      </c>
      <c r="P368" s="1" t="s">
        <v>1269</v>
      </c>
      <c r="Q368" s="1">
        <v>2007</v>
      </c>
      <c r="R368" s="1" t="s">
        <v>2944</v>
      </c>
      <c r="S368" s="1" t="s">
        <v>27</v>
      </c>
      <c r="T368" s="38">
        <v>1</v>
      </c>
      <c r="AH368" s="1">
        <v>5.54</v>
      </c>
      <c r="AK368" s="1">
        <v>1.3152570939999999</v>
      </c>
      <c r="AL368" s="1">
        <v>1.694706504</v>
      </c>
      <c r="AM368" s="1">
        <v>1.6424379760000001</v>
      </c>
    </row>
    <row r="369" spans="1:153" x14ac:dyDescent="0.2">
      <c r="A369" s="1" t="s">
        <v>2945</v>
      </c>
      <c r="B369" s="1" t="s">
        <v>55</v>
      </c>
      <c r="C369" s="1" t="s">
        <v>2055</v>
      </c>
      <c r="D369" s="1" t="s">
        <v>2</v>
      </c>
      <c r="E369" s="1">
        <v>33</v>
      </c>
      <c r="F369" s="1" t="s">
        <v>1288</v>
      </c>
      <c r="H369" s="1" t="s">
        <v>2946</v>
      </c>
      <c r="I369" s="1" t="s">
        <v>11</v>
      </c>
      <c r="J369" s="1" t="s">
        <v>1290</v>
      </c>
      <c r="K369" s="1" t="s">
        <v>1291</v>
      </c>
      <c r="L369" s="1" t="s">
        <v>1290</v>
      </c>
      <c r="N369" s="1" t="s">
        <v>2943</v>
      </c>
      <c r="P369" s="1" t="s">
        <v>1269</v>
      </c>
      <c r="Q369" s="1">
        <v>2007</v>
      </c>
      <c r="R369" s="1" t="s">
        <v>2944</v>
      </c>
      <c r="S369" s="1" t="s">
        <v>27</v>
      </c>
      <c r="T369" s="38">
        <v>1</v>
      </c>
      <c r="AH369" s="1">
        <v>12.98</v>
      </c>
      <c r="AK369" s="1">
        <v>1.9052005279999999</v>
      </c>
      <c r="AL369" s="1">
        <v>4.0294033779999996</v>
      </c>
      <c r="AM369" s="1">
        <v>5.7909958259999996</v>
      </c>
    </row>
    <row r="370" spans="1:153" x14ac:dyDescent="0.2">
      <c r="A370" s="1" t="s">
        <v>2947</v>
      </c>
      <c r="B370" s="1" t="s">
        <v>55</v>
      </c>
      <c r="C370" s="1" t="s">
        <v>2055</v>
      </c>
      <c r="D370" s="1" t="s">
        <v>2</v>
      </c>
      <c r="E370" s="1">
        <v>33</v>
      </c>
      <c r="F370" s="1" t="s">
        <v>1288</v>
      </c>
      <c r="H370" s="1" t="s">
        <v>2948</v>
      </c>
      <c r="I370" s="1" t="s">
        <v>11</v>
      </c>
      <c r="J370" s="1" t="s">
        <v>1290</v>
      </c>
      <c r="K370" s="1" t="s">
        <v>1291</v>
      </c>
      <c r="L370" s="1" t="s">
        <v>1290</v>
      </c>
      <c r="N370" s="1" t="s">
        <v>2943</v>
      </c>
      <c r="P370" s="1" t="s">
        <v>1269</v>
      </c>
      <c r="Q370" s="1">
        <v>2007</v>
      </c>
      <c r="R370" s="1" t="s">
        <v>2944</v>
      </c>
      <c r="S370" s="1" t="s">
        <v>27</v>
      </c>
      <c r="T370" s="38">
        <v>1</v>
      </c>
      <c r="AH370" s="1">
        <v>7.41</v>
      </c>
      <c r="AK370" s="1">
        <v>1.81450204</v>
      </c>
      <c r="AL370" s="1">
        <v>2.3595297049999999</v>
      </c>
      <c r="AM370" s="1">
        <v>2.1746942360000001</v>
      </c>
    </row>
    <row r="371" spans="1:153" x14ac:dyDescent="0.2">
      <c r="A371" s="1" t="s">
        <v>2949</v>
      </c>
      <c r="B371" s="1" t="s">
        <v>55</v>
      </c>
      <c r="C371" s="1" t="s">
        <v>2055</v>
      </c>
      <c r="D371" s="1" t="s">
        <v>2</v>
      </c>
      <c r="E371" s="1">
        <v>33</v>
      </c>
      <c r="F371" s="1" t="s">
        <v>1288</v>
      </c>
      <c r="H371" s="1" t="s">
        <v>2950</v>
      </c>
      <c r="I371" s="1" t="s">
        <v>11</v>
      </c>
      <c r="J371" s="1" t="s">
        <v>1290</v>
      </c>
      <c r="K371" s="1" t="s">
        <v>1291</v>
      </c>
      <c r="L371" s="1" t="s">
        <v>1290</v>
      </c>
      <c r="N371" s="1" t="s">
        <v>2943</v>
      </c>
      <c r="P371" s="1" t="s">
        <v>1269</v>
      </c>
      <c r="Q371" s="1">
        <v>2007</v>
      </c>
      <c r="R371" s="1" t="s">
        <v>2944</v>
      </c>
      <c r="S371" s="1" t="s">
        <v>27</v>
      </c>
      <c r="T371" s="38">
        <v>1</v>
      </c>
      <c r="AH371" s="1">
        <v>5.23</v>
      </c>
      <c r="AK371" s="1">
        <v>1.2196719250000001</v>
      </c>
      <c r="AL371" s="1">
        <v>1.628439642</v>
      </c>
      <c r="AM371" s="1">
        <v>1.5412863859999999</v>
      </c>
    </row>
    <row r="372" spans="1:153" x14ac:dyDescent="0.2">
      <c r="A372" s="1" t="s">
        <v>2951</v>
      </c>
      <c r="B372" s="1" t="s">
        <v>55</v>
      </c>
      <c r="C372" s="1" t="s">
        <v>2055</v>
      </c>
      <c r="D372" s="1" t="s">
        <v>2</v>
      </c>
      <c r="E372" s="1">
        <v>33</v>
      </c>
      <c r="F372" s="1" t="s">
        <v>1288</v>
      </c>
      <c r="H372" s="1" t="s">
        <v>2952</v>
      </c>
      <c r="I372" s="1" t="s">
        <v>11</v>
      </c>
      <c r="J372" s="1" t="s">
        <v>1290</v>
      </c>
      <c r="K372" s="1" t="s">
        <v>1291</v>
      </c>
      <c r="L372" s="1" t="s">
        <v>1290</v>
      </c>
      <c r="N372" s="1" t="s">
        <v>2943</v>
      </c>
      <c r="P372" s="1" t="s">
        <v>1269</v>
      </c>
      <c r="Q372" s="1">
        <v>2007</v>
      </c>
      <c r="R372" s="1" t="s">
        <v>2944</v>
      </c>
      <c r="S372" s="1" t="s">
        <v>27</v>
      </c>
      <c r="T372" s="38">
        <v>1</v>
      </c>
      <c r="AH372" s="1">
        <v>5.6</v>
      </c>
      <c r="AK372" s="1">
        <v>1.30500624</v>
      </c>
      <c r="AL372" s="1">
        <v>1.77761364</v>
      </c>
      <c r="AM372" s="1">
        <v>1.63837232</v>
      </c>
    </row>
    <row r="373" spans="1:153" x14ac:dyDescent="0.2">
      <c r="A373" s="1" t="s">
        <v>2953</v>
      </c>
      <c r="B373" s="1" t="s">
        <v>55</v>
      </c>
      <c r="C373" s="1" t="s">
        <v>2954</v>
      </c>
      <c r="D373" s="1" t="s">
        <v>2</v>
      </c>
      <c r="E373" s="1">
        <v>21</v>
      </c>
      <c r="F373" s="1" t="s">
        <v>2955</v>
      </c>
      <c r="H373" s="1" t="s">
        <v>2956</v>
      </c>
      <c r="I373" s="1" t="s">
        <v>7</v>
      </c>
      <c r="J373" s="1" t="s">
        <v>2957</v>
      </c>
      <c r="K373" s="1" t="s">
        <v>2958</v>
      </c>
      <c r="L373" s="1" t="s">
        <v>2959</v>
      </c>
      <c r="M373" s="1" t="s">
        <v>2960</v>
      </c>
      <c r="N373" s="1" t="s">
        <v>2961</v>
      </c>
      <c r="O373" s="1">
        <v>30</v>
      </c>
      <c r="Q373" s="1">
        <v>1996</v>
      </c>
      <c r="R373" s="1" t="s">
        <v>2962</v>
      </c>
      <c r="S373" s="1" t="s">
        <v>27</v>
      </c>
      <c r="T373" s="38">
        <v>1</v>
      </c>
      <c r="V373" s="1">
        <v>609</v>
      </c>
      <c r="W373" s="1">
        <v>146</v>
      </c>
      <c r="Z373" s="1">
        <v>72.489999999999995</v>
      </c>
      <c r="AA373" s="1">
        <v>6.25</v>
      </c>
      <c r="AC373" s="1">
        <v>19.23</v>
      </c>
      <c r="AH373" s="1">
        <v>7.63</v>
      </c>
      <c r="AK373" s="1">
        <v>1.762</v>
      </c>
      <c r="AL373" s="1">
        <v>3.1150000000000002</v>
      </c>
      <c r="AM373" s="1">
        <v>1.458</v>
      </c>
      <c r="AN373" s="1">
        <v>0.10100000000000001</v>
      </c>
      <c r="AV373" s="1">
        <v>1.0900000000000001</v>
      </c>
      <c r="AY373" s="1">
        <v>18.100000000000001</v>
      </c>
      <c r="BF373" s="1">
        <v>0.53</v>
      </c>
      <c r="BH373" s="1">
        <v>330</v>
      </c>
      <c r="BJ373" s="1">
        <v>46.8</v>
      </c>
      <c r="BM373" s="1">
        <v>44.4</v>
      </c>
      <c r="BP373" s="1">
        <v>239</v>
      </c>
      <c r="BW373" s="1">
        <v>0.84</v>
      </c>
      <c r="DD373" s="1">
        <v>5.62</v>
      </c>
      <c r="DE373" s="1">
        <v>0.76</v>
      </c>
      <c r="DI373" s="1">
        <v>0.44</v>
      </c>
      <c r="DM373" s="1">
        <v>1.27</v>
      </c>
      <c r="DU373" s="1">
        <v>1100</v>
      </c>
      <c r="DV373" s="1">
        <v>1160</v>
      </c>
      <c r="DX373" s="1">
        <v>1920</v>
      </c>
      <c r="DY373" s="1">
        <v>190</v>
      </c>
      <c r="EA373" s="1">
        <v>2780</v>
      </c>
      <c r="EB373" s="1">
        <v>1030</v>
      </c>
      <c r="EC373" s="1">
        <v>820</v>
      </c>
      <c r="EE373" s="1">
        <v>81.400000000000006</v>
      </c>
      <c r="EF373" s="1">
        <v>920</v>
      </c>
      <c r="EG373" s="1">
        <v>1460</v>
      </c>
      <c r="EH373" s="1">
        <v>1750</v>
      </c>
      <c r="EI373" s="1">
        <v>560</v>
      </c>
      <c r="EK373" s="1">
        <v>790</v>
      </c>
      <c r="EL373" s="1">
        <v>770</v>
      </c>
      <c r="EM373" s="1">
        <v>750</v>
      </c>
      <c r="EO373" s="1">
        <v>830</v>
      </c>
      <c r="EP373" s="1">
        <v>140</v>
      </c>
      <c r="EQ373" s="1">
        <v>650</v>
      </c>
      <c r="ER373" s="1">
        <v>960</v>
      </c>
      <c r="EW373" s="1">
        <v>66</v>
      </c>
    </row>
    <row r="374" spans="1:153" x14ac:dyDescent="0.2">
      <c r="A374" s="1" t="s">
        <v>2963</v>
      </c>
      <c r="B374" s="1" t="s">
        <v>55</v>
      </c>
      <c r="C374" s="1" t="s">
        <v>2964</v>
      </c>
      <c r="D374" s="1" t="s">
        <v>2</v>
      </c>
      <c r="E374" s="1">
        <v>33</v>
      </c>
      <c r="F374" s="1" t="s">
        <v>1297</v>
      </c>
      <c r="H374" s="1" t="s">
        <v>2965</v>
      </c>
      <c r="I374" s="1" t="s">
        <v>7</v>
      </c>
      <c r="J374" s="1" t="s">
        <v>1299</v>
      </c>
      <c r="K374" s="1" t="s">
        <v>1300</v>
      </c>
      <c r="L374" s="1" t="s">
        <v>1299</v>
      </c>
      <c r="M374" s="1" t="s">
        <v>2966</v>
      </c>
      <c r="N374" s="1" t="s">
        <v>2967</v>
      </c>
      <c r="P374" s="1" t="s">
        <v>2968</v>
      </c>
      <c r="Q374" s="1">
        <v>2002</v>
      </c>
      <c r="R374" s="1" t="s">
        <v>2969</v>
      </c>
      <c r="S374" s="1" t="s">
        <v>27</v>
      </c>
      <c r="T374" s="38">
        <v>1</v>
      </c>
      <c r="Z374" s="1">
        <v>71.2</v>
      </c>
      <c r="AA374" s="1">
        <v>6.25</v>
      </c>
      <c r="AC374" s="1">
        <v>18.079999999999998</v>
      </c>
      <c r="AJ374" s="1">
        <v>9.8000000000000007</v>
      </c>
      <c r="AV374" s="1">
        <v>1.36</v>
      </c>
    </row>
    <row r="375" spans="1:153" x14ac:dyDescent="0.2">
      <c r="A375" s="1" t="s">
        <v>2970</v>
      </c>
      <c r="B375" s="1" t="s">
        <v>55</v>
      </c>
      <c r="C375" s="1" t="s">
        <v>2964</v>
      </c>
      <c r="D375" s="1" t="s">
        <v>2</v>
      </c>
      <c r="E375" s="1">
        <v>33</v>
      </c>
      <c r="F375" s="1" t="s">
        <v>1297</v>
      </c>
      <c r="H375" s="1" t="s">
        <v>2965</v>
      </c>
      <c r="I375" s="1" t="s">
        <v>7</v>
      </c>
      <c r="J375" s="1" t="s">
        <v>1299</v>
      </c>
      <c r="K375" s="1" t="s">
        <v>1300</v>
      </c>
      <c r="L375" s="1" t="s">
        <v>1299</v>
      </c>
      <c r="M375" s="1" t="s">
        <v>748</v>
      </c>
      <c r="N375" s="1" t="s">
        <v>2971</v>
      </c>
      <c r="P375" s="1" t="s">
        <v>2968</v>
      </c>
      <c r="Q375" s="1">
        <v>2002</v>
      </c>
      <c r="R375" s="1" t="s">
        <v>2969</v>
      </c>
      <c r="S375" s="1" t="s">
        <v>27</v>
      </c>
      <c r="T375" s="38">
        <v>1</v>
      </c>
      <c r="Z375" s="1">
        <v>74.739999999999995</v>
      </c>
      <c r="AA375" s="1">
        <v>6.25</v>
      </c>
      <c r="AC375" s="1">
        <v>17.989999999999998</v>
      </c>
      <c r="AJ375" s="1">
        <v>6.53</v>
      </c>
      <c r="AV375" s="1">
        <v>1.53</v>
      </c>
    </row>
    <row r="376" spans="1:153" x14ac:dyDescent="0.2">
      <c r="A376" s="1" t="s">
        <v>2972</v>
      </c>
      <c r="B376" s="1" t="s">
        <v>55</v>
      </c>
      <c r="C376" s="1" t="s">
        <v>2964</v>
      </c>
      <c r="D376" s="1" t="s">
        <v>2</v>
      </c>
      <c r="E376" s="1">
        <v>33</v>
      </c>
      <c r="F376" s="1" t="s">
        <v>1297</v>
      </c>
      <c r="H376" s="1" t="s">
        <v>2965</v>
      </c>
      <c r="I376" s="1" t="s">
        <v>7</v>
      </c>
      <c r="J376" s="1" t="s">
        <v>1299</v>
      </c>
      <c r="K376" s="1" t="s">
        <v>1300</v>
      </c>
      <c r="L376" s="1" t="s">
        <v>1299</v>
      </c>
      <c r="M376" s="1" t="s">
        <v>2973</v>
      </c>
      <c r="N376" s="1" t="s">
        <v>2974</v>
      </c>
      <c r="P376" s="1" t="s">
        <v>2968</v>
      </c>
      <c r="Q376" s="1">
        <v>2002</v>
      </c>
      <c r="R376" s="1" t="s">
        <v>2969</v>
      </c>
      <c r="S376" s="1" t="s">
        <v>27</v>
      </c>
      <c r="T376" s="38">
        <v>1</v>
      </c>
      <c r="Z376" s="1">
        <v>69.91</v>
      </c>
      <c r="AA376" s="1">
        <v>6.25</v>
      </c>
      <c r="AC376" s="1">
        <v>18.25</v>
      </c>
      <c r="AJ376" s="1">
        <v>10.37</v>
      </c>
      <c r="AV376" s="1">
        <v>1.22</v>
      </c>
    </row>
    <row r="377" spans="1:153" x14ac:dyDescent="0.2">
      <c r="A377" s="1" t="s">
        <v>2975</v>
      </c>
      <c r="B377" s="1" t="s">
        <v>55</v>
      </c>
      <c r="C377" s="1" t="s">
        <v>2583</v>
      </c>
      <c r="D377" s="1" t="s">
        <v>2</v>
      </c>
      <c r="E377" s="1">
        <v>23</v>
      </c>
      <c r="F377" s="1" t="s">
        <v>1734</v>
      </c>
      <c r="H377" s="1" t="s">
        <v>2976</v>
      </c>
      <c r="I377" s="1" t="s">
        <v>7</v>
      </c>
      <c r="J377" s="1" t="s">
        <v>1737</v>
      </c>
      <c r="K377" s="1" t="s">
        <v>1738</v>
      </c>
      <c r="L377" s="1" t="s">
        <v>1737</v>
      </c>
      <c r="P377" s="1" t="s">
        <v>2977</v>
      </c>
      <c r="Q377" s="1">
        <v>2007</v>
      </c>
      <c r="R377" s="1" t="s">
        <v>2978</v>
      </c>
      <c r="S377" s="1" t="s">
        <v>27</v>
      </c>
      <c r="T377" s="38">
        <v>1</v>
      </c>
      <c r="Z377" s="1">
        <v>64.099999999999994</v>
      </c>
    </row>
    <row r="378" spans="1:153" x14ac:dyDescent="0.2">
      <c r="A378" s="1" t="s">
        <v>2979</v>
      </c>
      <c r="B378" s="1" t="s">
        <v>55</v>
      </c>
      <c r="C378" s="1" t="s">
        <v>2583</v>
      </c>
      <c r="D378" s="1" t="s">
        <v>2</v>
      </c>
      <c r="E378" s="1">
        <v>23</v>
      </c>
      <c r="F378" s="1" t="s">
        <v>1734</v>
      </c>
      <c r="H378" s="1" t="s">
        <v>2980</v>
      </c>
      <c r="I378" s="1" t="s">
        <v>11</v>
      </c>
      <c r="J378" s="1" t="s">
        <v>1737</v>
      </c>
      <c r="K378" s="1" t="s">
        <v>1738</v>
      </c>
      <c r="L378" s="1" t="s">
        <v>1737</v>
      </c>
      <c r="N378" s="1" t="s">
        <v>2981</v>
      </c>
      <c r="P378" s="1" t="s">
        <v>2977</v>
      </c>
      <c r="Q378" s="1">
        <v>2007</v>
      </c>
      <c r="R378" s="1" t="s">
        <v>2978</v>
      </c>
      <c r="S378" s="1" t="s">
        <v>27</v>
      </c>
      <c r="T378" s="38">
        <v>1</v>
      </c>
      <c r="Z378" s="1">
        <v>64.599999999999994</v>
      </c>
    </row>
    <row r="379" spans="1:153" x14ac:dyDescent="0.2">
      <c r="A379" s="1" t="s">
        <v>2982</v>
      </c>
      <c r="B379" s="1" t="s">
        <v>55</v>
      </c>
      <c r="C379" s="1" t="s">
        <v>2583</v>
      </c>
      <c r="D379" s="1" t="s">
        <v>2</v>
      </c>
      <c r="E379" s="1">
        <v>23</v>
      </c>
      <c r="F379" s="1" t="s">
        <v>1734</v>
      </c>
      <c r="H379" s="1" t="s">
        <v>2983</v>
      </c>
      <c r="I379" s="1" t="s">
        <v>11</v>
      </c>
      <c r="J379" s="1" t="s">
        <v>1737</v>
      </c>
      <c r="K379" s="1" t="s">
        <v>1738</v>
      </c>
      <c r="L379" s="1" t="s">
        <v>1737</v>
      </c>
      <c r="N379" s="1" t="s">
        <v>2984</v>
      </c>
      <c r="P379" s="1" t="s">
        <v>2977</v>
      </c>
      <c r="Q379" s="1">
        <v>2007</v>
      </c>
      <c r="R379" s="1" t="s">
        <v>2978</v>
      </c>
      <c r="S379" s="1" t="s">
        <v>27</v>
      </c>
      <c r="T379" s="38">
        <v>1</v>
      </c>
      <c r="Z379" s="1">
        <v>61.3</v>
      </c>
    </row>
    <row r="380" spans="1:153" x14ac:dyDescent="0.2">
      <c r="A380" s="1" t="s">
        <v>2985</v>
      </c>
      <c r="B380" s="1" t="s">
        <v>55</v>
      </c>
      <c r="C380" s="1" t="s">
        <v>2986</v>
      </c>
      <c r="D380" s="1" t="s">
        <v>2</v>
      </c>
      <c r="E380" s="1">
        <v>23</v>
      </c>
      <c r="F380" s="1" t="s">
        <v>1734</v>
      </c>
      <c r="H380" s="1" t="s">
        <v>2976</v>
      </c>
      <c r="I380" s="1" t="s">
        <v>7</v>
      </c>
      <c r="J380" s="1" t="s">
        <v>1737</v>
      </c>
      <c r="K380" s="1" t="s">
        <v>1738</v>
      </c>
      <c r="L380" s="1" t="s">
        <v>1737</v>
      </c>
      <c r="P380" s="1" t="s">
        <v>2977</v>
      </c>
      <c r="Q380" s="1">
        <v>2007</v>
      </c>
      <c r="R380" s="1" t="s">
        <v>2978</v>
      </c>
      <c r="S380" s="1" t="s">
        <v>27</v>
      </c>
      <c r="T380" s="38">
        <v>1</v>
      </c>
      <c r="Z380" s="1">
        <v>73.599999999999994</v>
      </c>
    </row>
    <row r="381" spans="1:153" x14ac:dyDescent="0.2">
      <c r="A381" s="1" t="s">
        <v>2987</v>
      </c>
      <c r="B381" s="1" t="s">
        <v>55</v>
      </c>
      <c r="C381" s="1" t="s">
        <v>2986</v>
      </c>
      <c r="D381" s="1" t="s">
        <v>2</v>
      </c>
      <c r="E381" s="1">
        <v>23</v>
      </c>
      <c r="F381" s="1" t="s">
        <v>1734</v>
      </c>
      <c r="H381" s="1" t="s">
        <v>2980</v>
      </c>
      <c r="I381" s="1" t="s">
        <v>11</v>
      </c>
      <c r="J381" s="1" t="s">
        <v>1737</v>
      </c>
      <c r="K381" s="1" t="s">
        <v>1738</v>
      </c>
      <c r="L381" s="1" t="s">
        <v>1737</v>
      </c>
      <c r="N381" s="1" t="s">
        <v>2988</v>
      </c>
      <c r="P381" s="1" t="s">
        <v>2977</v>
      </c>
      <c r="Q381" s="1">
        <v>2007</v>
      </c>
      <c r="R381" s="1" t="s">
        <v>2978</v>
      </c>
      <c r="S381" s="1" t="s">
        <v>27</v>
      </c>
      <c r="T381" s="38">
        <v>1</v>
      </c>
      <c r="Z381" s="1">
        <v>68.3</v>
      </c>
    </row>
    <row r="382" spans="1:153" x14ac:dyDescent="0.2">
      <c r="A382" s="1" t="s">
        <v>2989</v>
      </c>
      <c r="B382" s="1" t="s">
        <v>55</v>
      </c>
      <c r="C382" s="1" t="s">
        <v>2986</v>
      </c>
      <c r="D382" s="1" t="s">
        <v>2</v>
      </c>
      <c r="E382" s="1">
        <v>23</v>
      </c>
      <c r="F382" s="1" t="s">
        <v>1734</v>
      </c>
      <c r="H382" s="1" t="s">
        <v>2983</v>
      </c>
      <c r="I382" s="1" t="s">
        <v>11</v>
      </c>
      <c r="J382" s="1" t="s">
        <v>1737</v>
      </c>
      <c r="K382" s="1" t="s">
        <v>1738</v>
      </c>
      <c r="L382" s="1" t="s">
        <v>1737</v>
      </c>
      <c r="N382" s="1" t="s">
        <v>2984</v>
      </c>
      <c r="P382" s="1" t="s">
        <v>2977</v>
      </c>
      <c r="Q382" s="1">
        <v>2007</v>
      </c>
      <c r="R382" s="1" t="s">
        <v>2978</v>
      </c>
      <c r="S382" s="1" t="s">
        <v>27</v>
      </c>
      <c r="T382" s="38">
        <v>1</v>
      </c>
      <c r="Z382" s="1">
        <v>65.900000000000006</v>
      </c>
    </row>
    <row r="383" spans="1:153" x14ac:dyDescent="0.2">
      <c r="A383" s="1" t="s">
        <v>2990</v>
      </c>
      <c r="B383" s="1" t="s">
        <v>55</v>
      </c>
      <c r="C383" s="1" t="s">
        <v>2991</v>
      </c>
      <c r="D383" s="1" t="s">
        <v>2</v>
      </c>
      <c r="E383" s="1">
        <v>37</v>
      </c>
      <c r="F383" s="1" t="s">
        <v>2245</v>
      </c>
      <c r="H383" s="1" t="s">
        <v>2992</v>
      </c>
      <c r="I383" s="1" t="s">
        <v>7</v>
      </c>
      <c r="J383" s="1" t="s">
        <v>2247</v>
      </c>
      <c r="K383" s="1" t="s">
        <v>2248</v>
      </c>
      <c r="L383" s="1" t="s">
        <v>2247</v>
      </c>
      <c r="M383" s="1" t="s">
        <v>2993</v>
      </c>
      <c r="O383" s="1">
        <v>3</v>
      </c>
      <c r="Q383" s="1">
        <v>2009</v>
      </c>
      <c r="R383" s="1" t="s">
        <v>2994</v>
      </c>
      <c r="S383" s="1" t="s">
        <v>27</v>
      </c>
      <c r="T383" s="38">
        <v>1</v>
      </c>
      <c r="Z383" s="1">
        <v>70.099999999999994</v>
      </c>
      <c r="AA383" s="1">
        <v>6.25</v>
      </c>
      <c r="AC383" s="1">
        <v>23.5</v>
      </c>
      <c r="AH383" s="1">
        <v>6</v>
      </c>
      <c r="AV383" s="1">
        <v>1.5</v>
      </c>
    </row>
    <row r="384" spans="1:153" x14ac:dyDescent="0.2">
      <c r="A384" s="1" t="s">
        <v>2995</v>
      </c>
      <c r="B384" s="1" t="s">
        <v>55</v>
      </c>
      <c r="C384" s="1" t="s">
        <v>2991</v>
      </c>
      <c r="D384" s="1" t="s">
        <v>2</v>
      </c>
      <c r="E384" s="1">
        <v>37</v>
      </c>
      <c r="F384" s="1" t="s">
        <v>2245</v>
      </c>
      <c r="H384" s="1" t="s">
        <v>2992</v>
      </c>
      <c r="I384" s="1" t="s">
        <v>7</v>
      </c>
      <c r="J384" s="1" t="s">
        <v>2247</v>
      </c>
      <c r="K384" s="1" t="s">
        <v>2248</v>
      </c>
      <c r="L384" s="1" t="s">
        <v>2247</v>
      </c>
      <c r="M384" s="1" t="s">
        <v>2996</v>
      </c>
      <c r="O384" s="1">
        <v>3</v>
      </c>
      <c r="Q384" s="1">
        <v>2009</v>
      </c>
      <c r="R384" s="1" t="s">
        <v>2994</v>
      </c>
      <c r="S384" s="1" t="s">
        <v>27</v>
      </c>
      <c r="T384" s="38">
        <v>1</v>
      </c>
      <c r="Z384" s="1">
        <v>72</v>
      </c>
      <c r="AA384" s="1">
        <v>6.25</v>
      </c>
      <c r="AC384" s="1">
        <v>22.3</v>
      </c>
      <c r="AH384" s="1">
        <v>4.9000000000000004</v>
      </c>
      <c r="AV384" s="1">
        <v>1.5</v>
      </c>
    </row>
    <row r="385" spans="1:155" x14ac:dyDescent="0.2">
      <c r="A385" s="1" t="s">
        <v>2997</v>
      </c>
      <c r="B385" s="1" t="s">
        <v>55</v>
      </c>
      <c r="C385" s="1" t="s">
        <v>2991</v>
      </c>
      <c r="D385" s="1" t="s">
        <v>2</v>
      </c>
      <c r="E385" s="1">
        <v>37</v>
      </c>
      <c r="F385" s="1" t="s">
        <v>2245</v>
      </c>
      <c r="H385" s="1" t="s">
        <v>2992</v>
      </c>
      <c r="I385" s="1" t="s">
        <v>7</v>
      </c>
      <c r="J385" s="1" t="s">
        <v>2247</v>
      </c>
      <c r="K385" s="1" t="s">
        <v>2248</v>
      </c>
      <c r="L385" s="1" t="s">
        <v>2247</v>
      </c>
      <c r="M385" s="1" t="s">
        <v>2998</v>
      </c>
      <c r="O385" s="1">
        <v>3</v>
      </c>
      <c r="Q385" s="1">
        <v>2009</v>
      </c>
      <c r="R385" s="1" t="s">
        <v>2994</v>
      </c>
      <c r="S385" s="1" t="s">
        <v>27</v>
      </c>
      <c r="T385" s="38">
        <v>1</v>
      </c>
      <c r="Z385" s="1">
        <v>68.5</v>
      </c>
      <c r="AA385" s="1">
        <v>6.25</v>
      </c>
      <c r="AC385" s="1">
        <v>23.3</v>
      </c>
      <c r="AH385" s="1">
        <v>7.7</v>
      </c>
      <c r="AV385" s="1">
        <v>1.5</v>
      </c>
    </row>
    <row r="386" spans="1:155" x14ac:dyDescent="0.2">
      <c r="A386" s="1" t="s">
        <v>2999</v>
      </c>
      <c r="B386" s="1" t="s">
        <v>55</v>
      </c>
      <c r="C386" s="1" t="s">
        <v>2991</v>
      </c>
      <c r="D386" s="1" t="s">
        <v>2</v>
      </c>
      <c r="E386" s="1">
        <v>37</v>
      </c>
      <c r="F386" s="1" t="s">
        <v>2245</v>
      </c>
      <c r="H386" s="1" t="s">
        <v>2992</v>
      </c>
      <c r="I386" s="1" t="s">
        <v>7</v>
      </c>
      <c r="J386" s="1" t="s">
        <v>2247</v>
      </c>
      <c r="K386" s="1" t="s">
        <v>2248</v>
      </c>
      <c r="L386" s="1" t="s">
        <v>2247</v>
      </c>
      <c r="M386" s="1" t="s">
        <v>3000</v>
      </c>
      <c r="O386" s="1">
        <v>3</v>
      </c>
      <c r="Q386" s="1">
        <v>2009</v>
      </c>
      <c r="R386" s="1" t="s">
        <v>2994</v>
      </c>
      <c r="S386" s="1" t="s">
        <v>27</v>
      </c>
      <c r="T386" s="38">
        <v>1</v>
      </c>
      <c r="Z386" s="1">
        <v>70.099999999999994</v>
      </c>
      <c r="AA386" s="1">
        <v>6.25</v>
      </c>
      <c r="AC386" s="1">
        <v>23.5</v>
      </c>
      <c r="AH386" s="1">
        <v>6.3</v>
      </c>
      <c r="AV386" s="1">
        <v>1.4</v>
      </c>
    </row>
    <row r="387" spans="1:155" x14ac:dyDescent="0.2">
      <c r="A387" s="1" t="s">
        <v>3001</v>
      </c>
      <c r="B387" s="1" t="s">
        <v>55</v>
      </c>
      <c r="C387" s="1" t="s">
        <v>2991</v>
      </c>
      <c r="D387" s="1" t="s">
        <v>2</v>
      </c>
      <c r="E387" s="1">
        <v>37</v>
      </c>
      <c r="F387" s="1" t="s">
        <v>2245</v>
      </c>
      <c r="H387" s="1" t="s">
        <v>2992</v>
      </c>
      <c r="I387" s="1" t="s">
        <v>7</v>
      </c>
      <c r="J387" s="1" t="s">
        <v>2247</v>
      </c>
      <c r="K387" s="1" t="s">
        <v>2248</v>
      </c>
      <c r="L387" s="1" t="s">
        <v>2247</v>
      </c>
      <c r="M387" s="1" t="s">
        <v>3002</v>
      </c>
      <c r="O387" s="1">
        <v>3</v>
      </c>
      <c r="Q387" s="1">
        <v>2009</v>
      </c>
      <c r="R387" s="1" t="s">
        <v>2994</v>
      </c>
      <c r="S387" s="1" t="s">
        <v>27</v>
      </c>
      <c r="T387" s="38">
        <v>1</v>
      </c>
      <c r="Z387" s="1">
        <v>71.900000000000006</v>
      </c>
      <c r="AA387" s="1">
        <v>6.25</v>
      </c>
      <c r="AC387" s="1">
        <v>23</v>
      </c>
      <c r="AH387" s="1">
        <v>4.5999999999999996</v>
      </c>
      <c r="AV387" s="1">
        <v>1.5</v>
      </c>
    </row>
    <row r="388" spans="1:155" x14ac:dyDescent="0.2">
      <c r="A388" s="1" t="s">
        <v>3003</v>
      </c>
      <c r="B388" s="1" t="s">
        <v>55</v>
      </c>
      <c r="C388" s="1" t="s">
        <v>2991</v>
      </c>
      <c r="D388" s="1" t="s">
        <v>2</v>
      </c>
      <c r="E388" s="1">
        <v>37</v>
      </c>
      <c r="F388" s="1" t="s">
        <v>2245</v>
      </c>
      <c r="H388" s="1" t="s">
        <v>2992</v>
      </c>
      <c r="I388" s="1" t="s">
        <v>7</v>
      </c>
      <c r="J388" s="1" t="s">
        <v>2247</v>
      </c>
      <c r="K388" s="1" t="s">
        <v>2248</v>
      </c>
      <c r="L388" s="1" t="s">
        <v>2247</v>
      </c>
      <c r="M388" s="1" t="s">
        <v>3004</v>
      </c>
      <c r="O388" s="1">
        <v>3</v>
      </c>
      <c r="Q388" s="1">
        <v>2009</v>
      </c>
      <c r="R388" s="1" t="s">
        <v>2994</v>
      </c>
      <c r="S388" s="1" t="s">
        <v>27</v>
      </c>
      <c r="T388" s="38">
        <v>1</v>
      </c>
      <c r="Z388" s="1">
        <v>72.7</v>
      </c>
      <c r="AA388" s="1">
        <v>6.25</v>
      </c>
      <c r="AC388" s="1">
        <v>23.2</v>
      </c>
      <c r="AH388" s="1">
        <v>3.8</v>
      </c>
      <c r="AV388" s="1">
        <v>1.5</v>
      </c>
    </row>
    <row r="389" spans="1:155" x14ac:dyDescent="0.2">
      <c r="A389" s="1" t="s">
        <v>3005</v>
      </c>
      <c r="B389" s="1" t="s">
        <v>55</v>
      </c>
      <c r="C389" s="1" t="s">
        <v>2991</v>
      </c>
      <c r="D389" s="1" t="s">
        <v>2</v>
      </c>
      <c r="E389" s="1">
        <v>37</v>
      </c>
      <c r="F389" s="1" t="s">
        <v>2245</v>
      </c>
      <c r="H389" s="1" t="s">
        <v>2992</v>
      </c>
      <c r="I389" s="1" t="s">
        <v>7</v>
      </c>
      <c r="J389" s="1" t="s">
        <v>2247</v>
      </c>
      <c r="K389" s="1" t="s">
        <v>2248</v>
      </c>
      <c r="L389" s="1" t="s">
        <v>2247</v>
      </c>
      <c r="M389" s="1" t="s">
        <v>3006</v>
      </c>
      <c r="O389" s="1">
        <v>3</v>
      </c>
      <c r="Q389" s="1">
        <v>2009</v>
      </c>
      <c r="R389" s="1" t="s">
        <v>2994</v>
      </c>
      <c r="S389" s="1" t="s">
        <v>27</v>
      </c>
      <c r="T389" s="38">
        <v>1</v>
      </c>
      <c r="Z389" s="1">
        <v>72.8</v>
      </c>
      <c r="AA389" s="1">
        <v>6.25</v>
      </c>
      <c r="AC389" s="1">
        <v>23.4</v>
      </c>
      <c r="AH389" s="1">
        <v>3.5</v>
      </c>
      <c r="AV389" s="1">
        <v>1.5</v>
      </c>
    </row>
    <row r="390" spans="1:155" x14ac:dyDescent="0.2">
      <c r="A390" s="1" t="s">
        <v>3007</v>
      </c>
      <c r="B390" s="1" t="s">
        <v>55</v>
      </c>
      <c r="C390" s="1" t="s">
        <v>2991</v>
      </c>
      <c r="D390" s="1" t="s">
        <v>2</v>
      </c>
      <c r="E390" s="1">
        <v>37</v>
      </c>
      <c r="F390" s="1" t="s">
        <v>2245</v>
      </c>
      <c r="H390" s="1" t="s">
        <v>2992</v>
      </c>
      <c r="I390" s="1" t="s">
        <v>7</v>
      </c>
      <c r="J390" s="1" t="s">
        <v>2247</v>
      </c>
      <c r="K390" s="1" t="s">
        <v>2248</v>
      </c>
      <c r="L390" s="1" t="s">
        <v>2247</v>
      </c>
      <c r="M390" s="1" t="s">
        <v>3008</v>
      </c>
      <c r="O390" s="1">
        <v>3</v>
      </c>
      <c r="Q390" s="1">
        <v>2009</v>
      </c>
      <c r="R390" s="1" t="s">
        <v>2994</v>
      </c>
      <c r="S390" s="1" t="s">
        <v>27</v>
      </c>
      <c r="T390" s="38">
        <v>1</v>
      </c>
      <c r="Z390" s="1">
        <v>73.8</v>
      </c>
      <c r="AA390" s="1">
        <v>6.25</v>
      </c>
      <c r="AC390" s="1">
        <v>23.2</v>
      </c>
      <c r="AH390" s="1">
        <v>2.9</v>
      </c>
      <c r="AV390" s="1">
        <v>1.5</v>
      </c>
    </row>
    <row r="391" spans="1:155" x14ac:dyDescent="0.2">
      <c r="A391" s="1" t="s">
        <v>3009</v>
      </c>
      <c r="B391" s="1" t="s">
        <v>55</v>
      </c>
      <c r="C391" s="1" t="s">
        <v>2991</v>
      </c>
      <c r="D391" s="1" t="s">
        <v>2</v>
      </c>
      <c r="E391" s="1">
        <v>37</v>
      </c>
      <c r="F391" s="1" t="s">
        <v>2245</v>
      </c>
      <c r="H391" s="1" t="s">
        <v>2992</v>
      </c>
      <c r="I391" s="1" t="s">
        <v>7</v>
      </c>
      <c r="J391" s="1" t="s">
        <v>2247</v>
      </c>
      <c r="K391" s="1" t="s">
        <v>2248</v>
      </c>
      <c r="L391" s="1" t="s">
        <v>2247</v>
      </c>
      <c r="M391" s="1" t="s">
        <v>3010</v>
      </c>
      <c r="O391" s="1">
        <v>3</v>
      </c>
      <c r="Q391" s="1">
        <v>2009</v>
      </c>
      <c r="R391" s="1" t="s">
        <v>2994</v>
      </c>
      <c r="S391" s="1" t="s">
        <v>27</v>
      </c>
      <c r="T391" s="38">
        <v>1</v>
      </c>
      <c r="Z391" s="1">
        <v>72.2</v>
      </c>
      <c r="AA391" s="1">
        <v>6.25</v>
      </c>
      <c r="AC391" s="1">
        <v>23.9</v>
      </c>
      <c r="AH391" s="1">
        <v>3.2</v>
      </c>
      <c r="AV391" s="1">
        <v>1.5</v>
      </c>
    </row>
    <row r="392" spans="1:155" x14ac:dyDescent="0.2">
      <c r="A392" s="1" t="s">
        <v>3011</v>
      </c>
      <c r="B392" s="1" t="s">
        <v>55</v>
      </c>
      <c r="C392" s="1" t="s">
        <v>2991</v>
      </c>
      <c r="D392" s="1" t="s">
        <v>2</v>
      </c>
      <c r="E392" s="1">
        <v>37</v>
      </c>
      <c r="F392" s="1" t="s">
        <v>2245</v>
      </c>
      <c r="H392" s="1" t="s">
        <v>2992</v>
      </c>
      <c r="I392" s="1" t="s">
        <v>7</v>
      </c>
      <c r="J392" s="1" t="s">
        <v>2247</v>
      </c>
      <c r="K392" s="1" t="s">
        <v>2248</v>
      </c>
      <c r="L392" s="1" t="s">
        <v>2247</v>
      </c>
      <c r="M392" s="1" t="s">
        <v>3012</v>
      </c>
      <c r="O392" s="1">
        <v>3</v>
      </c>
      <c r="Q392" s="1">
        <v>2009</v>
      </c>
      <c r="R392" s="1" t="s">
        <v>2994</v>
      </c>
      <c r="S392" s="1" t="s">
        <v>27</v>
      </c>
      <c r="T392" s="38">
        <v>1</v>
      </c>
      <c r="Z392" s="1">
        <v>71</v>
      </c>
      <c r="AA392" s="1">
        <v>6.25</v>
      </c>
      <c r="AC392" s="1">
        <v>22.8</v>
      </c>
      <c r="AH392" s="1">
        <v>4.9000000000000004</v>
      </c>
      <c r="AV392" s="1">
        <v>1.5</v>
      </c>
    </row>
    <row r="393" spans="1:155" x14ac:dyDescent="0.2">
      <c r="A393" s="1" t="s">
        <v>3013</v>
      </c>
      <c r="B393" s="1" t="s">
        <v>55</v>
      </c>
      <c r="C393" s="1" t="s">
        <v>3014</v>
      </c>
      <c r="E393" s="1">
        <v>36</v>
      </c>
      <c r="F393" s="1" t="s">
        <v>3015</v>
      </c>
      <c r="H393" s="1" t="s">
        <v>3016</v>
      </c>
      <c r="I393" s="1" t="s">
        <v>7</v>
      </c>
      <c r="J393" s="1" t="s">
        <v>3017</v>
      </c>
      <c r="K393" s="1" t="s">
        <v>3018</v>
      </c>
      <c r="L393" s="1" t="s">
        <v>3017</v>
      </c>
      <c r="N393" s="1" t="s">
        <v>3019</v>
      </c>
      <c r="O393" s="1">
        <v>1</v>
      </c>
      <c r="P393" s="1" t="s">
        <v>3020</v>
      </c>
      <c r="Q393" s="1">
        <v>2010</v>
      </c>
      <c r="R393" s="1" t="s">
        <v>3021</v>
      </c>
      <c r="S393" s="1" t="s">
        <v>27</v>
      </c>
      <c r="T393" s="38">
        <v>1</v>
      </c>
      <c r="Z393" s="1">
        <v>71.8</v>
      </c>
      <c r="AH393" s="1">
        <v>2.6789999999999998</v>
      </c>
      <c r="AK393" s="1">
        <v>0.36472241253341797</v>
      </c>
      <c r="AL393" s="1">
        <v>0.43315621462735698</v>
      </c>
      <c r="AM393" s="1">
        <v>1.3630768406009699</v>
      </c>
      <c r="AN393" s="1">
        <v>0.195551532238258</v>
      </c>
      <c r="EY393" s="1">
        <v>82.22</v>
      </c>
    </row>
    <row r="394" spans="1:155" x14ac:dyDescent="0.2">
      <c r="A394" s="1" t="s">
        <v>3022</v>
      </c>
      <c r="B394" s="1" t="s">
        <v>55</v>
      </c>
      <c r="C394" s="1" t="s">
        <v>3014</v>
      </c>
      <c r="E394" s="1">
        <v>36</v>
      </c>
      <c r="F394" s="1" t="s">
        <v>3015</v>
      </c>
      <c r="H394" s="1" t="s">
        <v>3023</v>
      </c>
      <c r="I394" s="1" t="s">
        <v>11</v>
      </c>
      <c r="J394" s="1" t="s">
        <v>3017</v>
      </c>
      <c r="K394" s="1" t="s">
        <v>3018</v>
      </c>
      <c r="L394" s="1" t="s">
        <v>3017</v>
      </c>
      <c r="N394" s="1" t="s">
        <v>3024</v>
      </c>
      <c r="O394" s="1">
        <v>1</v>
      </c>
      <c r="P394" s="1" t="s">
        <v>3020</v>
      </c>
      <c r="Q394" s="1">
        <v>2010</v>
      </c>
      <c r="R394" s="1" t="s">
        <v>3021</v>
      </c>
      <c r="S394" s="1" t="s">
        <v>27</v>
      </c>
      <c r="T394" s="38">
        <v>1</v>
      </c>
      <c r="Z394" s="1">
        <v>68.8</v>
      </c>
      <c r="AH394" s="1">
        <v>4.056</v>
      </c>
      <c r="AK394" s="1">
        <v>0.63132114865467703</v>
      </c>
      <c r="AL394" s="1">
        <v>0.686196445104307</v>
      </c>
      <c r="AM394" s="1">
        <v>2.0047909103520301</v>
      </c>
      <c r="AN394" s="1">
        <v>0.31893949588899001</v>
      </c>
      <c r="EY394" s="1">
        <v>83.12</v>
      </c>
    </row>
    <row r="395" spans="1:155" x14ac:dyDescent="0.2">
      <c r="A395" s="1" t="s">
        <v>3025</v>
      </c>
      <c r="B395" s="1" t="s">
        <v>55</v>
      </c>
      <c r="C395" s="1" t="s">
        <v>3014</v>
      </c>
      <c r="E395" s="1">
        <v>36</v>
      </c>
      <c r="F395" s="1" t="s">
        <v>3015</v>
      </c>
      <c r="H395" s="1" t="s">
        <v>3023</v>
      </c>
      <c r="I395" s="1" t="s">
        <v>11</v>
      </c>
      <c r="J395" s="1" t="s">
        <v>3017</v>
      </c>
      <c r="K395" s="1" t="s">
        <v>3018</v>
      </c>
      <c r="L395" s="1" t="s">
        <v>3017</v>
      </c>
      <c r="N395" s="1" t="s">
        <v>3026</v>
      </c>
      <c r="O395" s="1">
        <v>1</v>
      </c>
      <c r="P395" s="1" t="s">
        <v>3020</v>
      </c>
      <c r="Q395" s="1">
        <v>2010</v>
      </c>
      <c r="R395" s="1" t="s">
        <v>3021</v>
      </c>
      <c r="S395" s="1" t="s">
        <v>27</v>
      </c>
      <c r="T395" s="38">
        <v>1</v>
      </c>
      <c r="Z395" s="1">
        <v>65.599999999999994</v>
      </c>
      <c r="AH395" s="1">
        <v>4.9880000000000004</v>
      </c>
      <c r="AK395" s="1">
        <v>0.762609014658572</v>
      </c>
      <c r="AL395" s="1">
        <v>0.82230506144958004</v>
      </c>
      <c r="AM395" s="1">
        <v>2.5296253403261</v>
      </c>
      <c r="AN395" s="1">
        <v>0.39626458356574601</v>
      </c>
      <c r="EY395" s="1">
        <v>81.150000000000006</v>
      </c>
    </row>
    <row r="396" spans="1:155" x14ac:dyDescent="0.2">
      <c r="A396" s="1" t="s">
        <v>3027</v>
      </c>
      <c r="B396" s="1" t="s">
        <v>55</v>
      </c>
      <c r="C396" s="1" t="s">
        <v>3014</v>
      </c>
      <c r="E396" s="1">
        <v>36</v>
      </c>
      <c r="F396" s="1" t="s">
        <v>3015</v>
      </c>
      <c r="H396" s="1" t="s">
        <v>3023</v>
      </c>
      <c r="I396" s="1" t="s">
        <v>11</v>
      </c>
      <c r="J396" s="1" t="s">
        <v>3017</v>
      </c>
      <c r="K396" s="1" t="s">
        <v>3018</v>
      </c>
      <c r="L396" s="1" t="s">
        <v>3017</v>
      </c>
      <c r="N396" s="1" t="s">
        <v>3028</v>
      </c>
      <c r="O396" s="1">
        <v>1</v>
      </c>
      <c r="P396" s="1" t="s">
        <v>3020</v>
      </c>
      <c r="Q396" s="1">
        <v>2010</v>
      </c>
      <c r="R396" s="1" t="s">
        <v>3021</v>
      </c>
      <c r="S396" s="1" t="s">
        <v>27</v>
      </c>
      <c r="T396" s="38">
        <v>1</v>
      </c>
      <c r="Z396" s="1">
        <v>60.7</v>
      </c>
      <c r="AH396" s="1">
        <v>6.4451999999999998</v>
      </c>
      <c r="AK396" s="1">
        <v>0.64583325043251105</v>
      </c>
      <c r="AL396" s="1">
        <v>1.45052626462905</v>
      </c>
      <c r="AM396" s="1">
        <v>3.2275964841478699</v>
      </c>
      <c r="AN396" s="1">
        <v>0.54641560079056395</v>
      </c>
      <c r="EY396" s="1">
        <v>84.08</v>
      </c>
    </row>
    <row r="397" spans="1:155" x14ac:dyDescent="0.2">
      <c r="A397" s="1" t="s">
        <v>3029</v>
      </c>
      <c r="B397" s="1" t="s">
        <v>55</v>
      </c>
      <c r="C397" s="1" t="s">
        <v>3014</v>
      </c>
      <c r="E397" s="1">
        <v>36</v>
      </c>
      <c r="F397" s="1" t="s">
        <v>3015</v>
      </c>
      <c r="H397" s="1" t="s">
        <v>3030</v>
      </c>
      <c r="I397" s="1" t="s">
        <v>11</v>
      </c>
      <c r="J397" s="1" t="s">
        <v>3017</v>
      </c>
      <c r="K397" s="1" t="s">
        <v>3018</v>
      </c>
      <c r="L397" s="1" t="s">
        <v>3017</v>
      </c>
      <c r="N397" s="1" t="s">
        <v>3031</v>
      </c>
      <c r="O397" s="1">
        <v>1</v>
      </c>
      <c r="P397" s="1" t="s">
        <v>3020</v>
      </c>
      <c r="Q397" s="1">
        <v>2010</v>
      </c>
      <c r="R397" s="1" t="s">
        <v>3021</v>
      </c>
      <c r="S397" s="1" t="s">
        <v>27</v>
      </c>
      <c r="T397" s="38">
        <v>1</v>
      </c>
      <c r="Z397" s="1">
        <v>57.7</v>
      </c>
      <c r="AH397" s="1">
        <v>13.536</v>
      </c>
      <c r="AK397" s="1">
        <v>1.44890429616807</v>
      </c>
      <c r="AL397" s="1">
        <v>1.9948258863564601</v>
      </c>
      <c r="AM397" s="1">
        <v>8.7065112793205106</v>
      </c>
      <c r="AN397" s="1">
        <v>0.33584653815495502</v>
      </c>
      <c r="EY397" s="1">
        <v>90.5</v>
      </c>
    </row>
    <row r="398" spans="1:155" x14ac:dyDescent="0.2">
      <c r="A398" s="1" t="s">
        <v>3032</v>
      </c>
      <c r="B398" s="1" t="s">
        <v>55</v>
      </c>
      <c r="C398" s="1" t="s">
        <v>3014</v>
      </c>
      <c r="E398" s="1">
        <v>36</v>
      </c>
      <c r="F398" s="1" t="s">
        <v>3015</v>
      </c>
      <c r="H398" s="1" t="s">
        <v>3030</v>
      </c>
      <c r="I398" s="1" t="s">
        <v>11</v>
      </c>
      <c r="J398" s="1" t="s">
        <v>3017</v>
      </c>
      <c r="K398" s="1" t="s">
        <v>3018</v>
      </c>
      <c r="L398" s="1" t="s">
        <v>3017</v>
      </c>
      <c r="N398" s="1" t="s">
        <v>3033</v>
      </c>
      <c r="O398" s="1">
        <v>1</v>
      </c>
      <c r="P398" s="1" t="s">
        <v>3020</v>
      </c>
      <c r="Q398" s="1">
        <v>2010</v>
      </c>
      <c r="R398" s="1" t="s">
        <v>3021</v>
      </c>
      <c r="S398" s="1" t="s">
        <v>27</v>
      </c>
      <c r="T398" s="38">
        <v>1</v>
      </c>
      <c r="Z398" s="1">
        <v>54.6</v>
      </c>
      <c r="AH398" s="1">
        <v>16.571000000000002</v>
      </c>
      <c r="AK398" s="1">
        <v>1.66775577405112</v>
      </c>
      <c r="AL398" s="1">
        <v>1.86813649252069</v>
      </c>
      <c r="AM398" s="1">
        <v>11.319458105108</v>
      </c>
      <c r="AN398" s="1">
        <v>0.46239262832019301</v>
      </c>
      <c r="EY398" s="1">
        <v>24.4</v>
      </c>
    </row>
    <row r="399" spans="1:155" x14ac:dyDescent="0.2">
      <c r="A399" s="1" t="s">
        <v>3034</v>
      </c>
      <c r="B399" s="1" t="s">
        <v>55</v>
      </c>
      <c r="C399" s="1" t="s">
        <v>3014</v>
      </c>
      <c r="E399" s="1">
        <v>36</v>
      </c>
      <c r="F399" s="1" t="s">
        <v>3015</v>
      </c>
      <c r="H399" s="1" t="s">
        <v>3030</v>
      </c>
      <c r="I399" s="1" t="s">
        <v>11</v>
      </c>
      <c r="J399" s="1" t="s">
        <v>3017</v>
      </c>
      <c r="K399" s="1" t="s">
        <v>3018</v>
      </c>
      <c r="L399" s="1" t="s">
        <v>3017</v>
      </c>
      <c r="N399" s="1" t="s">
        <v>3035</v>
      </c>
      <c r="O399" s="1">
        <v>1</v>
      </c>
      <c r="P399" s="1" t="s">
        <v>3020</v>
      </c>
      <c r="Q399" s="1">
        <v>2010</v>
      </c>
      <c r="R399" s="1" t="s">
        <v>3021</v>
      </c>
      <c r="S399" s="1" t="s">
        <v>27</v>
      </c>
      <c r="T399" s="38">
        <v>1</v>
      </c>
      <c r="Z399" s="1">
        <v>45</v>
      </c>
      <c r="AH399" s="1">
        <v>23.594999999999999</v>
      </c>
      <c r="AK399" s="1">
        <v>1.0203921482581</v>
      </c>
      <c r="AL399" s="1">
        <v>2.2914528207551501</v>
      </c>
      <c r="AM399" s="1">
        <v>17.825492207556199</v>
      </c>
      <c r="AN399" s="1">
        <v>0.73379782343051103</v>
      </c>
      <c r="EY399" s="1">
        <v>21.35</v>
      </c>
    </row>
    <row r="400" spans="1:155" x14ac:dyDescent="0.2">
      <c r="A400" s="1" t="s">
        <v>3036</v>
      </c>
      <c r="B400" s="1" t="s">
        <v>55</v>
      </c>
      <c r="C400" s="1" t="s">
        <v>3014</v>
      </c>
      <c r="E400" s="1">
        <v>36</v>
      </c>
      <c r="F400" s="1" t="s">
        <v>3015</v>
      </c>
      <c r="H400" s="1" t="s">
        <v>3037</v>
      </c>
      <c r="I400" s="1" t="s">
        <v>11</v>
      </c>
      <c r="J400" s="1" t="s">
        <v>3017</v>
      </c>
      <c r="K400" s="1" t="s">
        <v>3018</v>
      </c>
      <c r="L400" s="1" t="s">
        <v>3017</v>
      </c>
      <c r="N400" s="1" t="s">
        <v>3038</v>
      </c>
      <c r="O400" s="1">
        <v>1</v>
      </c>
      <c r="P400" s="1" t="s">
        <v>3020</v>
      </c>
      <c r="Q400" s="1">
        <v>2010</v>
      </c>
      <c r="R400" s="1" t="s">
        <v>3021</v>
      </c>
      <c r="S400" s="1" t="s">
        <v>27</v>
      </c>
      <c r="T400" s="38">
        <v>1</v>
      </c>
      <c r="Z400" s="1">
        <v>64</v>
      </c>
      <c r="AH400" s="1">
        <v>4.8959999999999999</v>
      </c>
      <c r="AK400" s="1">
        <v>0.63342352853335004</v>
      </c>
      <c r="AL400" s="1">
        <v>0.52454593427408402</v>
      </c>
      <c r="AM400" s="1">
        <v>3.0703943195227201</v>
      </c>
      <c r="AN400" s="1">
        <v>0.19660421766984201</v>
      </c>
      <c r="EY400" s="1">
        <v>84.69</v>
      </c>
    </row>
    <row r="401" spans="1:155" x14ac:dyDescent="0.2">
      <c r="A401" s="1" t="s">
        <v>3039</v>
      </c>
      <c r="B401" s="1" t="s">
        <v>55</v>
      </c>
      <c r="C401" s="1" t="s">
        <v>3014</v>
      </c>
      <c r="E401" s="1">
        <v>36</v>
      </c>
      <c r="F401" s="1" t="s">
        <v>3015</v>
      </c>
      <c r="H401" s="1" t="s">
        <v>3037</v>
      </c>
      <c r="I401" s="1" t="s">
        <v>11</v>
      </c>
      <c r="J401" s="1" t="s">
        <v>3017</v>
      </c>
      <c r="K401" s="1" t="s">
        <v>3018</v>
      </c>
      <c r="L401" s="1" t="s">
        <v>3017</v>
      </c>
      <c r="N401" s="1" t="s">
        <v>3040</v>
      </c>
      <c r="O401" s="1">
        <v>1</v>
      </c>
      <c r="P401" s="1" t="s">
        <v>3020</v>
      </c>
      <c r="Q401" s="1">
        <v>2010</v>
      </c>
      <c r="R401" s="1" t="s">
        <v>3021</v>
      </c>
      <c r="S401" s="1" t="s">
        <v>27</v>
      </c>
      <c r="T401" s="38">
        <v>1</v>
      </c>
      <c r="Z401" s="1">
        <v>60.8</v>
      </c>
      <c r="AH401" s="1">
        <v>9.6432000000000002</v>
      </c>
      <c r="AK401" s="1">
        <v>0.87285596554490696</v>
      </c>
      <c r="AL401" s="1">
        <v>1.16677374935036</v>
      </c>
      <c r="AM401" s="1">
        <v>5.7677622670169502</v>
      </c>
      <c r="AN401" s="1">
        <v>1.0467136180877901</v>
      </c>
      <c r="EY401" s="1">
        <v>86.24</v>
      </c>
    </row>
    <row r="402" spans="1:155" x14ac:dyDescent="0.2">
      <c r="A402" s="1" t="s">
        <v>3041</v>
      </c>
      <c r="B402" s="1" t="s">
        <v>55</v>
      </c>
      <c r="C402" s="1" t="s">
        <v>3014</v>
      </c>
      <c r="E402" s="1">
        <v>36</v>
      </c>
      <c r="F402" s="1" t="s">
        <v>3015</v>
      </c>
      <c r="H402" s="1" t="s">
        <v>3037</v>
      </c>
      <c r="I402" s="1" t="s">
        <v>11</v>
      </c>
      <c r="J402" s="1" t="s">
        <v>3017</v>
      </c>
      <c r="K402" s="1" t="s">
        <v>3018</v>
      </c>
      <c r="L402" s="1" t="s">
        <v>3017</v>
      </c>
      <c r="N402" s="1" t="s">
        <v>3042</v>
      </c>
      <c r="O402" s="1">
        <v>1</v>
      </c>
      <c r="P402" s="1" t="s">
        <v>3020</v>
      </c>
      <c r="Q402" s="1">
        <v>2010</v>
      </c>
      <c r="R402" s="1" t="s">
        <v>3021</v>
      </c>
      <c r="S402" s="1" t="s">
        <v>27</v>
      </c>
      <c r="T402" s="38">
        <v>1</v>
      </c>
      <c r="Z402" s="1">
        <v>58.8</v>
      </c>
      <c r="AH402" s="1">
        <v>11.000400000000001</v>
      </c>
      <c r="AK402" s="1">
        <v>0.95438041081015201</v>
      </c>
      <c r="AL402" s="1">
        <v>1.45900264401184</v>
      </c>
      <c r="AM402" s="1">
        <v>6.6080734968351003</v>
      </c>
      <c r="AN402" s="1">
        <v>1.09891664834291</v>
      </c>
      <c r="EY402" s="1">
        <v>88.6</v>
      </c>
    </row>
    <row r="403" spans="1:155" x14ac:dyDescent="0.2">
      <c r="A403" s="1" t="s">
        <v>3043</v>
      </c>
      <c r="B403" s="1" t="s">
        <v>55</v>
      </c>
      <c r="C403" s="1" t="s">
        <v>3014</v>
      </c>
      <c r="E403" s="1">
        <v>36</v>
      </c>
      <c r="F403" s="1" t="s">
        <v>3015</v>
      </c>
      <c r="H403" s="1" t="s">
        <v>3044</v>
      </c>
      <c r="I403" s="1" t="s">
        <v>11</v>
      </c>
      <c r="J403" s="1" t="s">
        <v>3017</v>
      </c>
      <c r="K403" s="1" t="s">
        <v>3018</v>
      </c>
      <c r="L403" s="1" t="s">
        <v>3017</v>
      </c>
      <c r="N403" s="1" t="s">
        <v>3045</v>
      </c>
      <c r="O403" s="1">
        <v>1</v>
      </c>
      <c r="P403" s="1" t="s">
        <v>3020</v>
      </c>
      <c r="Q403" s="1">
        <v>2010</v>
      </c>
      <c r="R403" s="1" t="s">
        <v>3021</v>
      </c>
      <c r="S403" s="1" t="s">
        <v>27</v>
      </c>
      <c r="T403" s="38">
        <v>1</v>
      </c>
      <c r="Z403" s="1">
        <v>60.1</v>
      </c>
      <c r="AH403" s="1">
        <v>7.4214000000000002</v>
      </c>
      <c r="AK403" s="1">
        <v>1.04659850696734</v>
      </c>
      <c r="AL403" s="1">
        <v>1.0780745423495901</v>
      </c>
      <c r="AM403" s="1">
        <v>3.8554631260178001</v>
      </c>
      <c r="AN403" s="1">
        <v>0.80103002466526396</v>
      </c>
      <c r="EY403" s="1">
        <v>73.22</v>
      </c>
    </row>
    <row r="404" spans="1:155" x14ac:dyDescent="0.2">
      <c r="A404" s="1" t="s">
        <v>3046</v>
      </c>
      <c r="B404" s="1" t="s">
        <v>55</v>
      </c>
      <c r="C404" s="1" t="s">
        <v>3014</v>
      </c>
      <c r="E404" s="1">
        <v>36</v>
      </c>
      <c r="F404" s="1" t="s">
        <v>3015</v>
      </c>
      <c r="H404" s="1" t="s">
        <v>3044</v>
      </c>
      <c r="I404" s="1" t="s">
        <v>11</v>
      </c>
      <c r="J404" s="1" t="s">
        <v>3017</v>
      </c>
      <c r="K404" s="1" t="s">
        <v>3018</v>
      </c>
      <c r="L404" s="1" t="s">
        <v>3017</v>
      </c>
      <c r="N404" s="1" t="s">
        <v>3047</v>
      </c>
      <c r="O404" s="1">
        <v>1</v>
      </c>
      <c r="P404" s="1" t="s">
        <v>3020</v>
      </c>
      <c r="Q404" s="1">
        <v>2010</v>
      </c>
      <c r="R404" s="1" t="s">
        <v>3021</v>
      </c>
      <c r="S404" s="1" t="s">
        <v>27</v>
      </c>
      <c r="T404" s="38">
        <v>1</v>
      </c>
      <c r="Z404" s="1">
        <v>60</v>
      </c>
      <c r="AH404" s="1">
        <v>7.8</v>
      </c>
      <c r="AK404" s="1">
        <v>0.97100081655901704</v>
      </c>
      <c r="AL404" s="1">
        <v>1.78400690821948</v>
      </c>
      <c r="AM404" s="1">
        <v>3.5562639833106702</v>
      </c>
      <c r="AN404" s="1">
        <v>0.82312829191083603</v>
      </c>
      <c r="EY404" s="1">
        <v>74.319999999999993</v>
      </c>
    </row>
    <row r="405" spans="1:155" x14ac:dyDescent="0.2">
      <c r="A405" s="1" t="s">
        <v>3048</v>
      </c>
      <c r="B405" s="1" t="s">
        <v>55</v>
      </c>
      <c r="C405" s="1" t="s">
        <v>3014</v>
      </c>
      <c r="E405" s="1">
        <v>36</v>
      </c>
      <c r="F405" s="1" t="s">
        <v>3015</v>
      </c>
      <c r="H405" s="1" t="s">
        <v>3044</v>
      </c>
      <c r="I405" s="1" t="s">
        <v>11</v>
      </c>
      <c r="J405" s="1" t="s">
        <v>3017</v>
      </c>
      <c r="K405" s="1" t="s">
        <v>3018</v>
      </c>
      <c r="L405" s="1" t="s">
        <v>3017</v>
      </c>
      <c r="N405" s="1" t="s">
        <v>3049</v>
      </c>
      <c r="O405" s="1">
        <v>1</v>
      </c>
      <c r="P405" s="1" t="s">
        <v>3020</v>
      </c>
      <c r="Q405" s="1">
        <v>2010</v>
      </c>
      <c r="R405" s="1" t="s">
        <v>3021</v>
      </c>
      <c r="S405" s="1" t="s">
        <v>27</v>
      </c>
      <c r="T405" s="38">
        <v>1</v>
      </c>
      <c r="Z405" s="1">
        <v>60.2</v>
      </c>
      <c r="AH405" s="1">
        <v>7.4425999999999997</v>
      </c>
      <c r="AK405" s="1">
        <v>0.86012868453666202</v>
      </c>
      <c r="AL405" s="1">
        <v>1.7536336994452999</v>
      </c>
      <c r="AM405" s="1">
        <v>3.2276564254834601</v>
      </c>
      <c r="AN405" s="1">
        <v>0.95952699053458101</v>
      </c>
      <c r="EY405" s="1">
        <v>71.61</v>
      </c>
    </row>
    <row r="406" spans="1:155" x14ac:dyDescent="0.2">
      <c r="A406" s="1" t="s">
        <v>3050</v>
      </c>
      <c r="B406" s="1" t="s">
        <v>55</v>
      </c>
      <c r="C406" s="1" t="s">
        <v>236</v>
      </c>
      <c r="E406" s="1">
        <v>23</v>
      </c>
      <c r="F406" s="1" t="s">
        <v>2833</v>
      </c>
      <c r="G406" s="1" t="s">
        <v>3051</v>
      </c>
      <c r="H406" s="1" t="s">
        <v>3052</v>
      </c>
      <c r="I406" s="1" t="s">
        <v>7</v>
      </c>
      <c r="J406" s="1" t="s">
        <v>2835</v>
      </c>
      <c r="K406" s="1" t="s">
        <v>2836</v>
      </c>
      <c r="L406" s="1" t="s">
        <v>2835</v>
      </c>
      <c r="P406" s="1" t="s">
        <v>3053</v>
      </c>
      <c r="Q406" s="1">
        <v>2008</v>
      </c>
      <c r="R406" s="1" t="s">
        <v>3054</v>
      </c>
      <c r="S406" s="1" t="s">
        <v>27</v>
      </c>
      <c r="T406" s="38">
        <v>1</v>
      </c>
      <c r="Z406" s="1" t="s">
        <v>3055</v>
      </c>
      <c r="AC406" s="1" t="s">
        <v>3056</v>
      </c>
      <c r="AI406" s="1" t="s">
        <v>3057</v>
      </c>
      <c r="AV406" s="1" t="s">
        <v>3058</v>
      </c>
      <c r="AY406" s="1">
        <v>41206</v>
      </c>
      <c r="BF406" s="1">
        <v>40945</v>
      </c>
      <c r="BP406" s="1" t="s">
        <v>3059</v>
      </c>
    </row>
    <row r="407" spans="1:155" x14ac:dyDescent="0.2">
      <c r="A407" s="1" t="s">
        <v>3060</v>
      </c>
      <c r="B407" s="1" t="s">
        <v>55</v>
      </c>
      <c r="C407" s="1" t="s">
        <v>3061</v>
      </c>
      <c r="D407" s="1" t="s">
        <v>2</v>
      </c>
      <c r="E407" s="1">
        <v>23</v>
      </c>
      <c r="F407" s="1" t="s">
        <v>1471</v>
      </c>
      <c r="G407" s="1" t="s">
        <v>3062</v>
      </c>
      <c r="H407" s="1" t="s">
        <v>3063</v>
      </c>
      <c r="I407" s="1" t="s">
        <v>7</v>
      </c>
      <c r="J407" s="1" t="s">
        <v>3064</v>
      </c>
      <c r="K407" s="1" t="s">
        <v>1474</v>
      </c>
      <c r="L407" s="1" t="s">
        <v>1473</v>
      </c>
      <c r="P407" s="1" t="s">
        <v>3053</v>
      </c>
      <c r="Q407" s="1">
        <v>2008</v>
      </c>
      <c r="R407" s="1" t="s">
        <v>3054</v>
      </c>
      <c r="S407" s="1" t="s">
        <v>27</v>
      </c>
      <c r="T407" s="38">
        <v>1</v>
      </c>
      <c r="Z407" s="1" t="s">
        <v>3065</v>
      </c>
      <c r="AC407" s="1" t="s">
        <v>3066</v>
      </c>
      <c r="AI407" s="1" t="s">
        <v>3067</v>
      </c>
      <c r="AV407" s="1" t="s">
        <v>3068</v>
      </c>
      <c r="AY407" s="1" t="s">
        <v>3069</v>
      </c>
      <c r="BF407" s="1">
        <v>40974</v>
      </c>
      <c r="BP407" s="1" t="s">
        <v>3070</v>
      </c>
    </row>
    <row r="408" spans="1:155" x14ac:dyDescent="0.2">
      <c r="A408" s="1" t="s">
        <v>3071</v>
      </c>
      <c r="B408" s="1" t="s">
        <v>55</v>
      </c>
      <c r="C408" s="1" t="s">
        <v>3061</v>
      </c>
      <c r="D408" s="1" t="s">
        <v>2</v>
      </c>
      <c r="E408" s="1">
        <v>12</v>
      </c>
      <c r="F408" s="1" t="s">
        <v>2515</v>
      </c>
      <c r="G408" s="1" t="s">
        <v>3072</v>
      </c>
      <c r="H408" s="1" t="s">
        <v>3073</v>
      </c>
      <c r="I408" s="1" t="s">
        <v>7</v>
      </c>
      <c r="J408" s="1" t="s">
        <v>3074</v>
      </c>
      <c r="K408" s="1" t="s">
        <v>2519</v>
      </c>
      <c r="L408" s="1" t="s">
        <v>2520</v>
      </c>
      <c r="P408" s="1" t="s">
        <v>3053</v>
      </c>
      <c r="Q408" s="1">
        <v>2008</v>
      </c>
      <c r="R408" s="1" t="s">
        <v>3054</v>
      </c>
      <c r="S408" s="1" t="s">
        <v>27</v>
      </c>
      <c r="T408" s="38">
        <v>1</v>
      </c>
      <c r="Z408" s="1" t="s">
        <v>3075</v>
      </c>
      <c r="AC408" s="1" t="s">
        <v>3076</v>
      </c>
      <c r="AI408" s="1" t="s">
        <v>3077</v>
      </c>
      <c r="AV408" s="1" t="s">
        <v>3078</v>
      </c>
      <c r="AY408" s="1" t="s">
        <v>3079</v>
      </c>
      <c r="BF408" s="1">
        <v>40911</v>
      </c>
      <c r="BP408" s="1" t="s">
        <v>3080</v>
      </c>
    </row>
    <row r="409" spans="1:155" x14ac:dyDescent="0.2">
      <c r="A409" s="1" t="s">
        <v>3081</v>
      </c>
      <c r="B409" s="1" t="s">
        <v>55</v>
      </c>
      <c r="C409" s="1" t="s">
        <v>3061</v>
      </c>
      <c r="D409" s="1" t="s">
        <v>2</v>
      </c>
      <c r="E409" s="1">
        <v>13</v>
      </c>
      <c r="F409" s="1" t="s">
        <v>3082</v>
      </c>
      <c r="G409" s="1" t="s">
        <v>3083</v>
      </c>
      <c r="H409" s="1" t="s">
        <v>3084</v>
      </c>
      <c r="I409" s="1" t="s">
        <v>7</v>
      </c>
      <c r="J409" s="1" t="s">
        <v>3085</v>
      </c>
      <c r="K409" s="1" t="s">
        <v>3086</v>
      </c>
      <c r="L409" s="1" t="s">
        <v>3085</v>
      </c>
      <c r="P409" s="1" t="s">
        <v>3053</v>
      </c>
      <c r="Q409" s="1">
        <v>2008</v>
      </c>
      <c r="R409" s="1" t="s">
        <v>3054</v>
      </c>
      <c r="S409" s="1" t="s">
        <v>27</v>
      </c>
      <c r="T409" s="38">
        <v>1</v>
      </c>
      <c r="Z409" s="1" t="s">
        <v>3087</v>
      </c>
      <c r="AC409" s="1" t="s">
        <v>3088</v>
      </c>
      <c r="AI409" s="1" t="s">
        <v>3089</v>
      </c>
      <c r="AV409" s="1" t="s">
        <v>3068</v>
      </c>
      <c r="AY409" s="1">
        <v>41266</v>
      </c>
      <c r="BF409" s="1">
        <v>40910</v>
      </c>
      <c r="BP409" s="1" t="s">
        <v>3090</v>
      </c>
    </row>
    <row r="410" spans="1:155" x14ac:dyDescent="0.2">
      <c r="A410" s="1" t="s">
        <v>3091</v>
      </c>
      <c r="B410" s="1" t="s">
        <v>55</v>
      </c>
      <c r="C410" s="1" t="s">
        <v>3092</v>
      </c>
      <c r="E410" s="1">
        <v>36</v>
      </c>
      <c r="F410" s="1" t="s">
        <v>3093</v>
      </c>
      <c r="G410" s="1" t="s">
        <v>3094</v>
      </c>
      <c r="H410" s="1" t="s">
        <v>3095</v>
      </c>
      <c r="I410" s="1" t="s">
        <v>7</v>
      </c>
      <c r="J410" s="1" t="s">
        <v>3096</v>
      </c>
      <c r="K410" s="1" t="s">
        <v>3097</v>
      </c>
      <c r="L410" s="1" t="s">
        <v>3096</v>
      </c>
      <c r="O410" s="1">
        <v>4</v>
      </c>
      <c r="Q410" s="1">
        <v>2004</v>
      </c>
      <c r="R410" s="1" t="s">
        <v>3098</v>
      </c>
      <c r="S410" s="1" t="s">
        <v>27</v>
      </c>
      <c r="T410" s="38">
        <v>1</v>
      </c>
      <c r="Z410" s="1">
        <v>76.31</v>
      </c>
      <c r="AC410" s="1">
        <v>18.68</v>
      </c>
      <c r="AH410" s="1">
        <v>4.9400000000000004</v>
      </c>
      <c r="AK410" s="1">
        <v>0.42542000000000002</v>
      </c>
      <c r="AL410" s="1">
        <v>0.38156000000000001</v>
      </c>
      <c r="AM410" s="1">
        <v>1.0504100000000001</v>
      </c>
    </row>
    <row r="411" spans="1:155" x14ac:dyDescent="0.2">
      <c r="A411" s="1" t="s">
        <v>3099</v>
      </c>
      <c r="B411" s="1" t="s">
        <v>55</v>
      </c>
      <c r="C411" s="1" t="s">
        <v>3092</v>
      </c>
      <c r="E411" s="1">
        <v>38</v>
      </c>
      <c r="F411" s="1" t="s">
        <v>3100</v>
      </c>
      <c r="G411" s="1" t="s">
        <v>3101</v>
      </c>
      <c r="H411" s="1" t="s">
        <v>3102</v>
      </c>
      <c r="I411" s="1" t="s">
        <v>7</v>
      </c>
      <c r="J411" s="1" t="s">
        <v>3103</v>
      </c>
      <c r="K411" s="1" t="s">
        <v>3104</v>
      </c>
      <c r="L411" s="1" t="s">
        <v>3103</v>
      </c>
      <c r="O411" s="1">
        <v>4</v>
      </c>
      <c r="Q411" s="1">
        <v>2004</v>
      </c>
      <c r="R411" s="1" t="s">
        <v>3098</v>
      </c>
      <c r="S411" s="1" t="s">
        <v>27</v>
      </c>
      <c r="T411" s="38">
        <v>1</v>
      </c>
      <c r="Z411" s="1">
        <v>72.739999999999995</v>
      </c>
      <c r="AC411" s="1">
        <v>22.82</v>
      </c>
      <c r="AH411" s="1">
        <v>1.64</v>
      </c>
      <c r="AK411" s="1">
        <v>9.9299999999999999E-2</v>
      </c>
      <c r="AL411" s="1">
        <v>6.1550000000000001E-2</v>
      </c>
      <c r="AM411" s="1">
        <v>0.16239999999999999</v>
      </c>
    </row>
    <row r="412" spans="1:155" x14ac:dyDescent="0.2">
      <c r="A412" s="1" t="s">
        <v>3105</v>
      </c>
      <c r="B412" s="1" t="s">
        <v>55</v>
      </c>
      <c r="C412" s="1" t="s">
        <v>3092</v>
      </c>
      <c r="E412" s="1">
        <v>36</v>
      </c>
      <c r="F412" s="1" t="s">
        <v>1814</v>
      </c>
      <c r="G412" s="1" t="s">
        <v>3106</v>
      </c>
      <c r="H412" s="1" t="s">
        <v>3107</v>
      </c>
      <c r="I412" s="1" t="s">
        <v>7</v>
      </c>
      <c r="J412" s="1" t="s">
        <v>1816</v>
      </c>
      <c r="K412" s="1" t="s">
        <v>1817</v>
      </c>
      <c r="L412" s="1" t="s">
        <v>1816</v>
      </c>
      <c r="O412" s="1">
        <v>4</v>
      </c>
      <c r="Q412" s="1">
        <v>2004</v>
      </c>
      <c r="R412" s="1" t="s">
        <v>3098</v>
      </c>
      <c r="S412" s="1" t="s">
        <v>27</v>
      </c>
      <c r="T412" s="38">
        <v>1</v>
      </c>
      <c r="Z412" s="1">
        <v>73.2</v>
      </c>
      <c r="AC412" s="1">
        <v>22.9</v>
      </c>
      <c r="AH412" s="1">
        <v>1.2</v>
      </c>
      <c r="AK412" s="1">
        <v>0.11217000000000001</v>
      </c>
      <c r="AL412" s="1">
        <v>7.5300000000000006E-2</v>
      </c>
      <c r="AM412" s="1">
        <v>0.22659000000000001</v>
      </c>
    </row>
    <row r="413" spans="1:155" x14ac:dyDescent="0.2">
      <c r="A413" s="1" t="s">
        <v>3108</v>
      </c>
      <c r="B413" s="1" t="s">
        <v>55</v>
      </c>
      <c r="C413" s="1" t="s">
        <v>3092</v>
      </c>
      <c r="E413" s="1">
        <v>33</v>
      </c>
      <c r="F413" s="1" t="s">
        <v>3109</v>
      </c>
      <c r="G413" s="1" t="s">
        <v>3110</v>
      </c>
      <c r="H413" s="1" t="s">
        <v>3111</v>
      </c>
      <c r="I413" s="1" t="s">
        <v>7</v>
      </c>
      <c r="J413" s="1" t="s">
        <v>3112</v>
      </c>
      <c r="K413" s="1" t="s">
        <v>3113</v>
      </c>
      <c r="L413" s="1" t="s">
        <v>3112</v>
      </c>
      <c r="O413" s="1">
        <v>4</v>
      </c>
      <c r="Q413" s="1">
        <v>2004</v>
      </c>
      <c r="R413" s="1" t="s">
        <v>3098</v>
      </c>
      <c r="S413" s="1" t="s">
        <v>27</v>
      </c>
      <c r="T413" s="38">
        <v>1</v>
      </c>
      <c r="Z413" s="1">
        <v>79.8</v>
      </c>
      <c r="AC413" s="1">
        <v>17</v>
      </c>
      <c r="AH413" s="1">
        <v>2.65</v>
      </c>
      <c r="AK413" s="1">
        <v>0.40455000000000002</v>
      </c>
      <c r="AL413" s="1">
        <v>0.33204</v>
      </c>
      <c r="AM413" s="1">
        <v>0.53703999999999996</v>
      </c>
    </row>
    <row r="414" spans="1:155" x14ac:dyDescent="0.2">
      <c r="A414" s="1" t="s">
        <v>3114</v>
      </c>
      <c r="B414" s="1" t="s">
        <v>55</v>
      </c>
      <c r="C414" s="1" t="s">
        <v>3092</v>
      </c>
      <c r="E414" s="1">
        <v>33</v>
      </c>
      <c r="F414" s="1" t="s">
        <v>3115</v>
      </c>
      <c r="G414" s="1" t="s">
        <v>3116</v>
      </c>
      <c r="H414" s="1" t="s">
        <v>3117</v>
      </c>
      <c r="I414" s="1" t="s">
        <v>7</v>
      </c>
      <c r="J414" s="1" t="s">
        <v>3118</v>
      </c>
      <c r="K414" s="1" t="s">
        <v>3119</v>
      </c>
      <c r="L414" s="1" t="s">
        <v>3118</v>
      </c>
      <c r="O414" s="1">
        <v>4</v>
      </c>
      <c r="Q414" s="1">
        <v>2004</v>
      </c>
      <c r="R414" s="1" t="s">
        <v>3098</v>
      </c>
      <c r="S414" s="1" t="s">
        <v>27</v>
      </c>
      <c r="T414" s="38">
        <v>1</v>
      </c>
      <c r="Z414" s="1">
        <v>76.23</v>
      </c>
      <c r="AC414" s="1">
        <v>18.239999999999998</v>
      </c>
      <c r="AH414" s="1">
        <v>3.13</v>
      </c>
      <c r="AK414" s="1">
        <v>0.13900000000000001</v>
      </c>
      <c r="AL414" s="1">
        <v>6.198E-2</v>
      </c>
      <c r="AM414" s="1">
        <v>0.25092999999999999</v>
      </c>
    </row>
    <row r="415" spans="1:155" x14ac:dyDescent="0.2">
      <c r="A415" s="1" t="s">
        <v>3120</v>
      </c>
      <c r="B415" s="1" t="s">
        <v>55</v>
      </c>
      <c r="C415" s="1" t="s">
        <v>3092</v>
      </c>
      <c r="E415" s="1">
        <v>38</v>
      </c>
      <c r="F415" s="1" t="s">
        <v>3121</v>
      </c>
      <c r="G415" s="1" t="s">
        <v>3122</v>
      </c>
      <c r="H415" s="1" t="s">
        <v>3123</v>
      </c>
      <c r="I415" s="1" t="s">
        <v>7</v>
      </c>
      <c r="J415" s="1" t="s">
        <v>3124</v>
      </c>
      <c r="K415" s="1" t="s">
        <v>3125</v>
      </c>
      <c r="L415" s="1" t="s">
        <v>3124</v>
      </c>
      <c r="O415" s="1">
        <v>4</v>
      </c>
      <c r="Q415" s="1">
        <v>2004</v>
      </c>
      <c r="R415" s="1" t="s">
        <v>3098</v>
      </c>
      <c r="S415" s="1" t="s">
        <v>27</v>
      </c>
      <c r="T415" s="38">
        <v>1</v>
      </c>
      <c r="Z415" s="1">
        <v>72.89</v>
      </c>
      <c r="AC415" s="1">
        <v>21.15</v>
      </c>
      <c r="AH415" s="1">
        <v>2.37</v>
      </c>
      <c r="AK415" s="1">
        <v>0.10009</v>
      </c>
      <c r="AL415" s="1">
        <v>5.3870000000000001E-2</v>
      </c>
      <c r="AM415" s="1">
        <v>9.4270000000000007E-2</v>
      </c>
    </row>
    <row r="416" spans="1:155" x14ac:dyDescent="0.2">
      <c r="A416" s="1" t="s">
        <v>3126</v>
      </c>
      <c r="B416" s="1" t="s">
        <v>55</v>
      </c>
      <c r="C416" s="1" t="s">
        <v>3092</v>
      </c>
      <c r="E416" s="1">
        <v>33</v>
      </c>
      <c r="F416" s="1" t="s">
        <v>3127</v>
      </c>
      <c r="G416" s="1" t="s">
        <v>3128</v>
      </c>
      <c r="H416" s="1" t="s">
        <v>3129</v>
      </c>
      <c r="I416" s="1" t="s">
        <v>7</v>
      </c>
      <c r="J416" s="1" t="s">
        <v>3130</v>
      </c>
      <c r="K416" s="1" t="s">
        <v>3131</v>
      </c>
      <c r="L416" s="1" t="s">
        <v>3130</v>
      </c>
      <c r="O416" s="1">
        <v>4</v>
      </c>
      <c r="Q416" s="1">
        <v>2004</v>
      </c>
      <c r="R416" s="1" t="s">
        <v>3098</v>
      </c>
      <c r="S416" s="1" t="s">
        <v>27</v>
      </c>
      <c r="T416" s="38">
        <v>1</v>
      </c>
      <c r="Z416" s="1">
        <v>79.64</v>
      </c>
      <c r="AC416" s="1">
        <v>16.559999999999999</v>
      </c>
      <c r="AH416" s="1">
        <v>2.82</v>
      </c>
      <c r="AK416" s="1">
        <v>0.19625999999999999</v>
      </c>
      <c r="AL416" s="1">
        <v>0.11074000000000001</v>
      </c>
      <c r="AM416" s="1">
        <v>0.31558000000000003</v>
      </c>
    </row>
    <row r="417" spans="1:96" x14ac:dyDescent="0.2">
      <c r="A417" s="1" t="s">
        <v>3132</v>
      </c>
      <c r="B417" s="1" t="s">
        <v>55</v>
      </c>
      <c r="C417" s="1" t="s">
        <v>3092</v>
      </c>
      <c r="E417" s="1">
        <v>37</v>
      </c>
      <c r="F417" s="1" t="s">
        <v>3133</v>
      </c>
      <c r="G417" s="1" t="s">
        <v>3134</v>
      </c>
      <c r="H417" s="1" t="s">
        <v>3135</v>
      </c>
      <c r="I417" s="1" t="s">
        <v>7</v>
      </c>
      <c r="J417" s="1" t="s">
        <v>3136</v>
      </c>
      <c r="K417" s="1" t="s">
        <v>3137</v>
      </c>
      <c r="L417" s="1" t="s">
        <v>3138</v>
      </c>
      <c r="O417" s="1">
        <v>4</v>
      </c>
      <c r="Q417" s="1">
        <v>2004</v>
      </c>
      <c r="R417" s="1" t="s">
        <v>3098</v>
      </c>
      <c r="S417" s="1" t="s">
        <v>27</v>
      </c>
      <c r="T417" s="38">
        <v>1</v>
      </c>
      <c r="Z417" s="1">
        <v>79.94</v>
      </c>
      <c r="AC417" s="1">
        <v>14.27</v>
      </c>
      <c r="AH417" s="1">
        <v>3.58</v>
      </c>
      <c r="AK417" s="1">
        <v>1.66242</v>
      </c>
      <c r="AL417" s="1">
        <v>1.3128599999999999</v>
      </c>
      <c r="AM417" s="1">
        <v>0.26733000000000001</v>
      </c>
    </row>
    <row r="418" spans="1:96" x14ac:dyDescent="0.2">
      <c r="A418" s="1" t="s">
        <v>3139</v>
      </c>
      <c r="B418" s="1" t="s">
        <v>55</v>
      </c>
      <c r="C418" s="1" t="s">
        <v>3092</v>
      </c>
      <c r="E418" s="1">
        <v>33</v>
      </c>
      <c r="F418" s="1" t="s">
        <v>3140</v>
      </c>
      <c r="G418" s="1" t="s">
        <v>3141</v>
      </c>
      <c r="H418" s="1" t="s">
        <v>3142</v>
      </c>
      <c r="I418" s="1" t="s">
        <v>7</v>
      </c>
      <c r="J418" s="1" t="s">
        <v>3143</v>
      </c>
      <c r="K418" s="1" t="s">
        <v>3144</v>
      </c>
      <c r="L418" s="1" t="s">
        <v>3143</v>
      </c>
      <c r="O418" s="1">
        <v>4</v>
      </c>
      <c r="Q418" s="1">
        <v>2004</v>
      </c>
      <c r="R418" s="1" t="s">
        <v>3098</v>
      </c>
      <c r="S418" s="1" t="s">
        <v>27</v>
      </c>
      <c r="T418" s="38">
        <v>1</v>
      </c>
      <c r="Z418" s="1">
        <v>73.599999999999994</v>
      </c>
      <c r="AC418" s="1">
        <v>20</v>
      </c>
      <c r="AH418" s="1">
        <v>2.82</v>
      </c>
      <c r="AK418" s="1">
        <v>7.5359999999999996E-2</v>
      </c>
      <c r="AL418" s="1">
        <v>6.4369999999999997E-2</v>
      </c>
      <c r="AM418" s="1">
        <v>4.811E-2</v>
      </c>
    </row>
    <row r="419" spans="1:96" x14ac:dyDescent="0.2">
      <c r="A419" s="1" t="s">
        <v>3145</v>
      </c>
      <c r="B419" s="1" t="s">
        <v>55</v>
      </c>
      <c r="C419" s="1" t="s">
        <v>3092</v>
      </c>
      <c r="E419" s="1">
        <v>33</v>
      </c>
      <c r="F419" s="1" t="s">
        <v>3146</v>
      </c>
      <c r="G419" s="1" t="s">
        <v>3147</v>
      </c>
      <c r="H419" s="1" t="s">
        <v>3148</v>
      </c>
      <c r="I419" s="1" t="s">
        <v>7</v>
      </c>
      <c r="J419" s="1" t="s">
        <v>3149</v>
      </c>
      <c r="K419" s="1" t="s">
        <v>3150</v>
      </c>
      <c r="L419" s="1" t="s">
        <v>3149</v>
      </c>
      <c r="O419" s="1">
        <v>4</v>
      </c>
      <c r="Q419" s="1">
        <v>2004</v>
      </c>
      <c r="R419" s="1" t="s">
        <v>3098</v>
      </c>
      <c r="S419" s="1" t="s">
        <v>27</v>
      </c>
      <c r="T419" s="38">
        <v>1</v>
      </c>
      <c r="Z419" s="1">
        <v>81.459999999999994</v>
      </c>
      <c r="AC419" s="1">
        <v>15.4</v>
      </c>
      <c r="AH419" s="1">
        <v>2.78</v>
      </c>
      <c r="AK419" s="1">
        <v>6.4420000000000005E-2</v>
      </c>
      <c r="AL419" s="1">
        <v>3.7089999999999998E-2</v>
      </c>
      <c r="AM419" s="1">
        <v>9.7280000000000005E-2</v>
      </c>
    </row>
    <row r="420" spans="1:96" x14ac:dyDescent="0.2">
      <c r="A420" s="1" t="s">
        <v>3151</v>
      </c>
      <c r="B420" s="1" t="s">
        <v>55</v>
      </c>
      <c r="C420" s="1" t="s">
        <v>3092</v>
      </c>
      <c r="E420" s="1">
        <v>37</v>
      </c>
      <c r="F420" s="1" t="s">
        <v>3152</v>
      </c>
      <c r="G420" s="1" t="s">
        <v>3153</v>
      </c>
      <c r="H420" s="1" t="s">
        <v>3154</v>
      </c>
      <c r="I420" s="1" t="s">
        <v>7</v>
      </c>
      <c r="J420" s="1" t="s">
        <v>3155</v>
      </c>
      <c r="K420" s="1" t="s">
        <v>3156</v>
      </c>
      <c r="L420" s="1" t="s">
        <v>3155</v>
      </c>
      <c r="O420" s="1">
        <v>4</v>
      </c>
      <c r="Q420" s="1">
        <v>2004</v>
      </c>
      <c r="R420" s="1" t="s">
        <v>3098</v>
      </c>
      <c r="S420" s="1" t="s">
        <v>27</v>
      </c>
      <c r="T420" s="38">
        <v>1</v>
      </c>
      <c r="Z420" s="1">
        <v>74.099999999999994</v>
      </c>
      <c r="AC420" s="1">
        <v>21.3</v>
      </c>
      <c r="AH420" s="1">
        <v>2.52</v>
      </c>
      <c r="AK420" s="1">
        <v>9.9339999999999998E-2</v>
      </c>
      <c r="AL420" s="1">
        <v>6.9610000000000005E-2</v>
      </c>
      <c r="AM420" s="1">
        <v>0.12758</v>
      </c>
    </row>
    <row r="421" spans="1:96" x14ac:dyDescent="0.2">
      <c r="A421" s="1" t="s">
        <v>3157</v>
      </c>
      <c r="B421" s="1" t="s">
        <v>55</v>
      </c>
      <c r="C421" s="1" t="s">
        <v>3092</v>
      </c>
      <c r="E421" s="1">
        <v>33</v>
      </c>
      <c r="F421" s="1" t="s">
        <v>3158</v>
      </c>
      <c r="G421" s="1" t="s">
        <v>2498</v>
      </c>
      <c r="H421" s="1" t="s">
        <v>3159</v>
      </c>
      <c r="I421" s="1" t="s">
        <v>7</v>
      </c>
      <c r="J421" s="1" t="s">
        <v>3160</v>
      </c>
      <c r="K421" s="1" t="s">
        <v>3161</v>
      </c>
      <c r="L421" s="1" t="s">
        <v>3160</v>
      </c>
      <c r="O421" s="1">
        <v>4</v>
      </c>
      <c r="Q421" s="1">
        <v>2004</v>
      </c>
      <c r="R421" s="1" t="s">
        <v>3098</v>
      </c>
      <c r="S421" s="1" t="s">
        <v>27</v>
      </c>
      <c r="T421" s="38">
        <v>1</v>
      </c>
      <c r="Z421" s="1">
        <v>79.5</v>
      </c>
      <c r="AC421" s="1">
        <v>15.1</v>
      </c>
      <c r="AH421" s="1">
        <v>2.98</v>
      </c>
      <c r="AK421" s="1">
        <v>0.11554</v>
      </c>
      <c r="AL421" s="1">
        <v>7.3810000000000001E-2</v>
      </c>
      <c r="AM421" s="1">
        <v>9.3869999999999995E-2</v>
      </c>
    </row>
    <row r="422" spans="1:96" x14ac:dyDescent="0.2">
      <c r="A422" s="1" t="s">
        <v>3162</v>
      </c>
      <c r="B422" s="1" t="s">
        <v>55</v>
      </c>
      <c r="C422" s="1" t="s">
        <v>3092</v>
      </c>
      <c r="E422" s="1">
        <v>33</v>
      </c>
      <c r="F422" s="1" t="s">
        <v>3163</v>
      </c>
      <c r="G422" s="1" t="s">
        <v>3164</v>
      </c>
      <c r="H422" s="1" t="s">
        <v>3165</v>
      </c>
      <c r="I422" s="1" t="s">
        <v>7</v>
      </c>
      <c r="J422" s="1" t="s">
        <v>3166</v>
      </c>
      <c r="L422" s="1" t="s">
        <v>3167</v>
      </c>
      <c r="O422" s="1">
        <v>4</v>
      </c>
      <c r="Q422" s="1">
        <v>2005</v>
      </c>
      <c r="R422" s="1" t="s">
        <v>3098</v>
      </c>
      <c r="S422" s="1" t="s">
        <v>27</v>
      </c>
      <c r="T422" s="38">
        <v>1</v>
      </c>
      <c r="Z422" s="1">
        <v>79.599999999999994</v>
      </c>
      <c r="AC422" s="1">
        <v>15.8</v>
      </c>
      <c r="AH422" s="1">
        <v>4.0599999999999996</v>
      </c>
      <c r="AK422" s="1">
        <v>1.08954</v>
      </c>
      <c r="AL422" s="1">
        <v>0.61124999999999996</v>
      </c>
      <c r="AM422" s="1">
        <v>0.39721000000000001</v>
      </c>
    </row>
    <row r="423" spans="1:96" x14ac:dyDescent="0.2">
      <c r="A423" s="1" t="s">
        <v>3168</v>
      </c>
      <c r="B423" s="1" t="s">
        <v>55</v>
      </c>
      <c r="C423" s="1" t="s">
        <v>3092</v>
      </c>
      <c r="E423" s="1">
        <v>36</v>
      </c>
      <c r="F423" s="1" t="s">
        <v>3169</v>
      </c>
      <c r="G423" s="1" t="s">
        <v>3170</v>
      </c>
      <c r="H423" s="1" t="s">
        <v>3171</v>
      </c>
      <c r="I423" s="1" t="s">
        <v>7</v>
      </c>
      <c r="J423" s="1" t="s">
        <v>3172</v>
      </c>
      <c r="K423" s="1" t="s">
        <v>3173</v>
      </c>
      <c r="L423" s="1" t="s">
        <v>3172</v>
      </c>
      <c r="O423" s="1">
        <v>4</v>
      </c>
      <c r="Q423" s="1">
        <v>2004</v>
      </c>
      <c r="R423" s="1" t="s">
        <v>3098</v>
      </c>
      <c r="S423" s="1" t="s">
        <v>27</v>
      </c>
      <c r="T423" s="38">
        <v>1</v>
      </c>
      <c r="Z423" s="1">
        <v>74.8</v>
      </c>
      <c r="AC423" s="1">
        <v>17.8</v>
      </c>
      <c r="AH423" s="1">
        <v>4.21</v>
      </c>
      <c r="AK423" s="1">
        <v>0.72662000000000004</v>
      </c>
      <c r="AL423" s="1">
        <v>0.24354000000000001</v>
      </c>
      <c r="AM423" s="1">
        <v>0.76112000000000002</v>
      </c>
    </row>
    <row r="424" spans="1:96" x14ac:dyDescent="0.2">
      <c r="A424" s="1" t="s">
        <v>3174</v>
      </c>
      <c r="B424" s="1" t="s">
        <v>55</v>
      </c>
      <c r="C424" s="1" t="s">
        <v>3092</v>
      </c>
      <c r="E424" s="1">
        <v>33</v>
      </c>
      <c r="F424" s="1" t="s">
        <v>2509</v>
      </c>
      <c r="G424" s="1" t="s">
        <v>2510</v>
      </c>
      <c r="H424" s="1" t="s">
        <v>3175</v>
      </c>
      <c r="I424" s="1" t="s">
        <v>7</v>
      </c>
      <c r="J424" s="1" t="s">
        <v>2512</v>
      </c>
      <c r="K424" s="1" t="s">
        <v>2513</v>
      </c>
      <c r="L424" s="1" t="s">
        <v>2512</v>
      </c>
      <c r="O424" s="1">
        <v>4</v>
      </c>
      <c r="Q424" s="1">
        <v>2004</v>
      </c>
      <c r="R424" s="1" t="s">
        <v>3098</v>
      </c>
      <c r="S424" s="1" t="s">
        <v>27</v>
      </c>
      <c r="T424" s="38">
        <v>1</v>
      </c>
      <c r="Z424" s="1">
        <v>78.5</v>
      </c>
      <c r="AC424" s="1">
        <v>20</v>
      </c>
      <c r="AH424" s="1">
        <v>3.28</v>
      </c>
      <c r="AK424" s="1">
        <v>0.34151999999999999</v>
      </c>
      <c r="AL424" s="1">
        <v>0.45295000000000002</v>
      </c>
      <c r="AM424" s="1">
        <v>0.38255</v>
      </c>
    </row>
    <row r="425" spans="1:96" x14ac:dyDescent="0.2">
      <c r="A425" s="1" t="s">
        <v>3176</v>
      </c>
      <c r="B425" s="1" t="s">
        <v>55</v>
      </c>
      <c r="C425" s="1" t="s">
        <v>3092</v>
      </c>
      <c r="E425" s="1">
        <v>33</v>
      </c>
      <c r="F425" s="1" t="s">
        <v>3177</v>
      </c>
      <c r="G425" s="1" t="s">
        <v>2522</v>
      </c>
      <c r="H425" s="1" t="s">
        <v>3178</v>
      </c>
      <c r="I425" s="1" t="s">
        <v>7</v>
      </c>
      <c r="J425" s="1" t="s">
        <v>3179</v>
      </c>
      <c r="K425" s="1" t="s">
        <v>3180</v>
      </c>
      <c r="L425" s="1" t="s">
        <v>3179</v>
      </c>
      <c r="O425" s="1">
        <v>4</v>
      </c>
      <c r="Q425" s="1">
        <v>2004</v>
      </c>
      <c r="R425" s="1" t="s">
        <v>3098</v>
      </c>
      <c r="S425" s="1" t="s">
        <v>27</v>
      </c>
      <c r="T425" s="38">
        <v>1</v>
      </c>
      <c r="Z425" s="1">
        <v>73.8</v>
      </c>
      <c r="AC425" s="1">
        <v>17.899999999999999</v>
      </c>
      <c r="AH425" s="1">
        <v>5.01</v>
      </c>
      <c r="AK425" s="1">
        <v>0.85446999999999995</v>
      </c>
      <c r="AL425" s="1">
        <v>0.47677999999999998</v>
      </c>
      <c r="AM425" s="1">
        <v>0.59897999999999996</v>
      </c>
    </row>
    <row r="426" spans="1:96" x14ac:dyDescent="0.2">
      <c r="A426" s="1" t="s">
        <v>3181</v>
      </c>
      <c r="B426" s="1" t="s">
        <v>55</v>
      </c>
      <c r="C426" s="1" t="s">
        <v>3092</v>
      </c>
      <c r="E426" s="1">
        <v>33</v>
      </c>
      <c r="F426" s="1" t="s">
        <v>3182</v>
      </c>
      <c r="G426" s="1" t="s">
        <v>3183</v>
      </c>
      <c r="H426" s="1" t="s">
        <v>3184</v>
      </c>
      <c r="I426" s="1" t="s">
        <v>7</v>
      </c>
      <c r="J426" s="1" t="s">
        <v>3185</v>
      </c>
      <c r="K426" s="1" t="s">
        <v>3186</v>
      </c>
      <c r="L426" s="1" t="s">
        <v>3185</v>
      </c>
      <c r="O426" s="1">
        <v>4</v>
      </c>
      <c r="Q426" s="1">
        <v>2004</v>
      </c>
      <c r="R426" s="1" t="s">
        <v>3098</v>
      </c>
      <c r="S426" s="1" t="s">
        <v>27</v>
      </c>
      <c r="T426" s="38">
        <v>1</v>
      </c>
      <c r="Z426" s="1">
        <v>76.3</v>
      </c>
      <c r="AC426" s="1">
        <v>18.5</v>
      </c>
      <c r="AH426" s="1">
        <v>2.65</v>
      </c>
      <c r="AK426" s="1">
        <v>0.23326</v>
      </c>
      <c r="AL426" s="1">
        <v>0.20433000000000001</v>
      </c>
      <c r="AM426" s="1">
        <v>0.29397000000000001</v>
      </c>
    </row>
    <row r="427" spans="1:96" x14ac:dyDescent="0.2">
      <c r="A427" s="1" t="s">
        <v>3187</v>
      </c>
      <c r="B427" s="1" t="s">
        <v>55</v>
      </c>
      <c r="C427" s="1" t="s">
        <v>3092</v>
      </c>
      <c r="E427" s="1">
        <v>37</v>
      </c>
      <c r="F427" s="1" t="s">
        <v>3188</v>
      </c>
      <c r="G427" s="1" t="s">
        <v>3189</v>
      </c>
      <c r="H427" s="1" t="s">
        <v>3190</v>
      </c>
      <c r="I427" s="1" t="s">
        <v>7</v>
      </c>
      <c r="J427" s="1" t="s">
        <v>3191</v>
      </c>
      <c r="K427" s="1" t="s">
        <v>3192</v>
      </c>
      <c r="L427" s="1" t="s">
        <v>3191</v>
      </c>
      <c r="O427" s="1">
        <v>4</v>
      </c>
      <c r="Q427" s="1">
        <v>2004</v>
      </c>
      <c r="R427" s="1" t="s">
        <v>3098</v>
      </c>
      <c r="S427" s="1" t="s">
        <v>27</v>
      </c>
      <c r="T427" s="38">
        <v>1</v>
      </c>
      <c r="Z427" s="1">
        <v>72.400000000000006</v>
      </c>
      <c r="AC427" s="1">
        <v>19.899999999999999</v>
      </c>
      <c r="AH427" s="1">
        <v>7.29</v>
      </c>
      <c r="AK427" s="1">
        <v>0.91661999999999999</v>
      </c>
      <c r="AL427" s="1">
        <v>0.80239000000000005</v>
      </c>
      <c r="AM427" s="1">
        <v>0.96636</v>
      </c>
    </row>
    <row r="428" spans="1:96" x14ac:dyDescent="0.2">
      <c r="A428" s="1" t="s">
        <v>3193</v>
      </c>
      <c r="B428" s="1" t="s">
        <v>55</v>
      </c>
      <c r="C428" s="1" t="s">
        <v>2564</v>
      </c>
      <c r="D428" s="1" t="s">
        <v>2</v>
      </c>
      <c r="E428" s="1">
        <v>23</v>
      </c>
      <c r="F428" s="1" t="s">
        <v>1471</v>
      </c>
      <c r="H428" s="1" t="s">
        <v>3194</v>
      </c>
      <c r="I428" s="1" t="s">
        <v>7</v>
      </c>
      <c r="J428" s="1" t="s">
        <v>1473</v>
      </c>
      <c r="K428" s="1" t="s">
        <v>1474</v>
      </c>
      <c r="L428" s="1" t="s">
        <v>1473</v>
      </c>
      <c r="N428" s="1" t="s">
        <v>3195</v>
      </c>
      <c r="P428" s="1" t="s">
        <v>3196</v>
      </c>
      <c r="Q428" s="1">
        <v>2010</v>
      </c>
      <c r="R428" s="1" t="s">
        <v>3197</v>
      </c>
      <c r="S428" s="1" t="s">
        <v>27</v>
      </c>
      <c r="T428" s="38">
        <v>1</v>
      </c>
      <c r="Z428" s="1">
        <v>74.2</v>
      </c>
      <c r="AC428" s="1">
        <v>20.2</v>
      </c>
      <c r="AJ428" s="1">
        <v>4.7</v>
      </c>
      <c r="AV428" s="1">
        <v>1.3</v>
      </c>
      <c r="CR428" s="1">
        <v>4</v>
      </c>
    </row>
    <row r="429" spans="1:96" x14ac:dyDescent="0.2">
      <c r="A429" s="1" t="s">
        <v>3198</v>
      </c>
      <c r="B429" s="1" t="s">
        <v>55</v>
      </c>
      <c r="C429" s="1" t="s">
        <v>2564</v>
      </c>
      <c r="D429" s="1" t="s">
        <v>2</v>
      </c>
      <c r="E429" s="1">
        <v>23</v>
      </c>
      <c r="F429" s="1" t="s">
        <v>1471</v>
      </c>
      <c r="H429" s="1" t="s">
        <v>3199</v>
      </c>
      <c r="I429" s="1" t="s">
        <v>7</v>
      </c>
      <c r="J429" s="1" t="s">
        <v>1473</v>
      </c>
      <c r="K429" s="1" t="s">
        <v>1474</v>
      </c>
      <c r="L429" s="1" t="s">
        <v>1473</v>
      </c>
      <c r="N429" s="1" t="s">
        <v>3200</v>
      </c>
      <c r="P429" s="1" t="s">
        <v>3196</v>
      </c>
      <c r="Q429" s="1">
        <v>2010</v>
      </c>
      <c r="R429" s="1" t="s">
        <v>3197</v>
      </c>
      <c r="S429" s="1" t="s">
        <v>27</v>
      </c>
      <c r="T429" s="38">
        <v>1</v>
      </c>
      <c r="Z429" s="1">
        <v>77.7</v>
      </c>
      <c r="AC429" s="1">
        <v>19.899999999999999</v>
      </c>
      <c r="AJ429" s="1">
        <v>2.1</v>
      </c>
      <c r="AV429" s="1">
        <v>1.3</v>
      </c>
      <c r="CR429" s="1">
        <v>11</v>
      </c>
    </row>
    <row r="430" spans="1:96" x14ac:dyDescent="0.2">
      <c r="A430" s="1" t="s">
        <v>3201</v>
      </c>
      <c r="B430" s="1" t="s">
        <v>55</v>
      </c>
      <c r="C430" s="1" t="s">
        <v>2564</v>
      </c>
      <c r="D430" s="1" t="s">
        <v>2</v>
      </c>
      <c r="E430" s="1">
        <v>23</v>
      </c>
      <c r="F430" s="1" t="s">
        <v>1471</v>
      </c>
      <c r="H430" s="1" t="s">
        <v>3202</v>
      </c>
      <c r="I430" s="1" t="s">
        <v>7</v>
      </c>
      <c r="J430" s="1" t="s">
        <v>1473</v>
      </c>
      <c r="K430" s="1" t="s">
        <v>1474</v>
      </c>
      <c r="L430" s="1" t="s">
        <v>1473</v>
      </c>
      <c r="N430" s="1" t="s">
        <v>3203</v>
      </c>
      <c r="P430" s="1" t="s">
        <v>3196</v>
      </c>
      <c r="Q430" s="1">
        <v>2010</v>
      </c>
      <c r="R430" s="1" t="s">
        <v>3197</v>
      </c>
      <c r="S430" s="1" t="s">
        <v>27</v>
      </c>
      <c r="T430" s="38">
        <v>1</v>
      </c>
      <c r="Z430" s="1">
        <v>75.400000000000006</v>
      </c>
      <c r="AC430" s="1">
        <v>19.3</v>
      </c>
      <c r="AJ430" s="1">
        <v>4.2</v>
      </c>
      <c r="AV430" s="1">
        <v>1.3</v>
      </c>
      <c r="CR430" s="1">
        <v>11</v>
      </c>
    </row>
    <row r="431" spans="1:96" x14ac:dyDescent="0.2">
      <c r="A431" s="1" t="s">
        <v>3204</v>
      </c>
      <c r="B431" s="1" t="s">
        <v>55</v>
      </c>
      <c r="C431" s="1" t="s">
        <v>2564</v>
      </c>
      <c r="D431" s="1" t="s">
        <v>2</v>
      </c>
      <c r="E431" s="1">
        <v>23</v>
      </c>
      <c r="F431" s="1" t="s">
        <v>1471</v>
      </c>
      <c r="H431" s="1" t="s">
        <v>3205</v>
      </c>
      <c r="I431" s="1" t="s">
        <v>7</v>
      </c>
      <c r="J431" s="1" t="s">
        <v>1473</v>
      </c>
      <c r="K431" s="1" t="s">
        <v>1474</v>
      </c>
      <c r="L431" s="1" t="s">
        <v>1473</v>
      </c>
      <c r="N431" s="1" t="s">
        <v>3206</v>
      </c>
      <c r="P431" s="1" t="s">
        <v>3196</v>
      </c>
      <c r="Q431" s="1">
        <v>2010</v>
      </c>
      <c r="R431" s="1" t="s">
        <v>3197</v>
      </c>
      <c r="S431" s="1" t="s">
        <v>27</v>
      </c>
      <c r="T431" s="38">
        <v>1</v>
      </c>
      <c r="Z431" s="1">
        <v>76.7</v>
      </c>
      <c r="AC431" s="1">
        <v>19.7</v>
      </c>
      <c r="AJ431" s="1">
        <v>3.6</v>
      </c>
      <c r="AV431" s="1">
        <v>1.31</v>
      </c>
      <c r="CR431" s="1">
        <v>8</v>
      </c>
    </row>
    <row r="432" spans="1:96" x14ac:dyDescent="0.2">
      <c r="A432" s="1" t="s">
        <v>3207</v>
      </c>
      <c r="B432" s="1" t="s">
        <v>55</v>
      </c>
      <c r="C432" s="1" t="s">
        <v>2564</v>
      </c>
      <c r="D432" s="1" t="s">
        <v>2</v>
      </c>
      <c r="E432" s="1">
        <v>23</v>
      </c>
      <c r="F432" s="1" t="s">
        <v>1471</v>
      </c>
      <c r="H432" s="1" t="s">
        <v>3205</v>
      </c>
      <c r="I432" s="1" t="s">
        <v>7</v>
      </c>
      <c r="J432" s="1" t="s">
        <v>1473</v>
      </c>
      <c r="K432" s="1" t="s">
        <v>1474</v>
      </c>
      <c r="L432" s="1" t="s">
        <v>1473</v>
      </c>
      <c r="N432" s="1" t="s">
        <v>3208</v>
      </c>
      <c r="P432" s="1" t="s">
        <v>3196</v>
      </c>
      <c r="Q432" s="1">
        <v>2010</v>
      </c>
      <c r="R432" s="1" t="s">
        <v>3197</v>
      </c>
      <c r="S432" s="1" t="s">
        <v>27</v>
      </c>
      <c r="T432" s="38">
        <v>1</v>
      </c>
      <c r="Z432" s="1">
        <v>79</v>
      </c>
      <c r="AC432" s="1">
        <v>18.5</v>
      </c>
      <c r="AJ432" s="1">
        <v>1.7</v>
      </c>
      <c r="AV432" s="1">
        <v>1.2</v>
      </c>
      <c r="CR432" s="1">
        <v>8</v>
      </c>
    </row>
    <row r="433" spans="1:155" x14ac:dyDescent="0.2">
      <c r="A433" s="1" t="s">
        <v>3209</v>
      </c>
      <c r="B433" s="1" t="s">
        <v>55</v>
      </c>
      <c r="C433" s="1" t="s">
        <v>2564</v>
      </c>
      <c r="D433" s="1" t="s">
        <v>2</v>
      </c>
      <c r="E433" s="1">
        <v>23</v>
      </c>
      <c r="F433" s="1" t="s">
        <v>1471</v>
      </c>
      <c r="H433" s="1" t="s">
        <v>3210</v>
      </c>
      <c r="I433" s="1" t="s">
        <v>11</v>
      </c>
      <c r="J433" s="1" t="s">
        <v>1473</v>
      </c>
      <c r="K433" s="1" t="s">
        <v>1474</v>
      </c>
      <c r="L433" s="1" t="s">
        <v>1473</v>
      </c>
      <c r="N433" s="1" t="s">
        <v>3195</v>
      </c>
      <c r="P433" s="1" t="s">
        <v>3196</v>
      </c>
      <c r="Q433" s="1">
        <v>2010</v>
      </c>
      <c r="R433" s="1" t="s">
        <v>3197</v>
      </c>
      <c r="S433" s="1" t="s">
        <v>27</v>
      </c>
      <c r="T433" s="38">
        <v>1</v>
      </c>
      <c r="Z433" s="1">
        <v>70.8</v>
      </c>
      <c r="AC433" s="1">
        <v>21.4</v>
      </c>
      <c r="AJ433" s="1">
        <v>6.5</v>
      </c>
      <c r="AV433" s="1">
        <v>1.8</v>
      </c>
      <c r="BN433" s="1">
        <v>840</v>
      </c>
    </row>
    <row r="434" spans="1:155" x14ac:dyDescent="0.2">
      <c r="A434" s="1" t="s">
        <v>3211</v>
      </c>
      <c r="B434" s="1" t="s">
        <v>55</v>
      </c>
      <c r="C434" s="1" t="s">
        <v>2564</v>
      </c>
      <c r="D434" s="1" t="s">
        <v>2</v>
      </c>
      <c r="E434" s="1">
        <v>23</v>
      </c>
      <c r="F434" s="1" t="s">
        <v>1471</v>
      </c>
      <c r="H434" s="1" t="s">
        <v>3212</v>
      </c>
      <c r="I434" s="1" t="s">
        <v>11</v>
      </c>
      <c r="J434" s="1" t="s">
        <v>1473</v>
      </c>
      <c r="K434" s="1" t="s">
        <v>1474</v>
      </c>
      <c r="L434" s="1" t="s">
        <v>1473</v>
      </c>
      <c r="N434" s="1" t="s">
        <v>3195</v>
      </c>
      <c r="P434" s="1" t="s">
        <v>3196</v>
      </c>
      <c r="Q434" s="1">
        <v>2010</v>
      </c>
      <c r="R434" s="1" t="s">
        <v>3197</v>
      </c>
      <c r="S434" s="1" t="s">
        <v>27</v>
      </c>
      <c r="T434" s="38">
        <v>1</v>
      </c>
      <c r="Z434" s="1">
        <v>65.900000000000006</v>
      </c>
      <c r="AC434" s="1">
        <v>24.7</v>
      </c>
      <c r="AJ434" s="1">
        <v>7.1</v>
      </c>
      <c r="AV434" s="1">
        <v>2.4</v>
      </c>
      <c r="BN434" s="1">
        <v>1600</v>
      </c>
    </row>
    <row r="435" spans="1:155" x14ac:dyDescent="0.2">
      <c r="A435" s="1" t="s">
        <v>3213</v>
      </c>
      <c r="B435" s="1" t="s">
        <v>55</v>
      </c>
      <c r="C435" s="1" t="s">
        <v>236</v>
      </c>
      <c r="E435" s="1">
        <v>33</v>
      </c>
      <c r="F435" s="1" t="s">
        <v>3214</v>
      </c>
      <c r="H435" s="1" t="s">
        <v>3215</v>
      </c>
      <c r="I435" s="1" t="s">
        <v>7</v>
      </c>
      <c r="J435" s="1" t="s">
        <v>3216</v>
      </c>
      <c r="L435" s="1" t="s">
        <v>3217</v>
      </c>
      <c r="M435" s="1" t="s">
        <v>480</v>
      </c>
      <c r="O435" s="1">
        <v>1</v>
      </c>
      <c r="P435" s="1" t="s">
        <v>3218</v>
      </c>
      <c r="Q435" s="1">
        <v>1999</v>
      </c>
      <c r="R435" s="1" t="s">
        <v>3219</v>
      </c>
      <c r="S435" s="1" t="s">
        <v>27</v>
      </c>
      <c r="T435" s="38">
        <v>1</v>
      </c>
      <c r="AH435" s="1">
        <v>0.99</v>
      </c>
      <c r="EY435" s="1">
        <v>33.799999999999997</v>
      </c>
    </row>
    <row r="436" spans="1:155" x14ac:dyDescent="0.2">
      <c r="A436" s="1" t="s">
        <v>3220</v>
      </c>
      <c r="B436" s="1" t="s">
        <v>55</v>
      </c>
      <c r="C436" s="1" t="s">
        <v>236</v>
      </c>
      <c r="E436" s="1">
        <v>33</v>
      </c>
      <c r="F436" s="1" t="s">
        <v>3221</v>
      </c>
      <c r="H436" s="1" t="s">
        <v>3222</v>
      </c>
      <c r="I436" s="1" t="s">
        <v>7</v>
      </c>
      <c r="J436" s="1" t="s">
        <v>3223</v>
      </c>
      <c r="K436" s="1" t="s">
        <v>3224</v>
      </c>
      <c r="L436" s="1" t="s">
        <v>3223</v>
      </c>
      <c r="M436" s="1" t="s">
        <v>3225</v>
      </c>
      <c r="N436" s="1" t="s">
        <v>3226</v>
      </c>
      <c r="O436" s="1">
        <v>1</v>
      </c>
      <c r="P436" s="1" t="s">
        <v>3218</v>
      </c>
      <c r="Q436" s="1">
        <v>1999</v>
      </c>
      <c r="R436" s="1" t="s">
        <v>3219</v>
      </c>
      <c r="S436" s="1" t="s">
        <v>27</v>
      </c>
      <c r="T436" s="38">
        <v>1</v>
      </c>
      <c r="AH436" s="1">
        <v>1.6</v>
      </c>
      <c r="EY436" s="1">
        <v>58.3</v>
      </c>
    </row>
    <row r="437" spans="1:155" x14ac:dyDescent="0.2">
      <c r="A437" s="1" t="s">
        <v>3227</v>
      </c>
      <c r="B437" s="1" t="s">
        <v>55</v>
      </c>
      <c r="C437" s="1" t="s">
        <v>236</v>
      </c>
      <c r="E437" s="1">
        <v>33</v>
      </c>
      <c r="F437" s="1" t="s">
        <v>3221</v>
      </c>
      <c r="H437" s="1" t="s">
        <v>3222</v>
      </c>
      <c r="I437" s="1" t="s">
        <v>7</v>
      </c>
      <c r="J437" s="1" t="s">
        <v>3223</v>
      </c>
      <c r="K437" s="1" t="s">
        <v>3224</v>
      </c>
      <c r="L437" s="1" t="s">
        <v>3223</v>
      </c>
      <c r="M437" s="1" t="s">
        <v>2889</v>
      </c>
      <c r="N437" s="1" t="s">
        <v>3228</v>
      </c>
      <c r="O437" s="1">
        <v>1</v>
      </c>
      <c r="P437" s="1" t="s">
        <v>3218</v>
      </c>
      <c r="Q437" s="1">
        <v>1999</v>
      </c>
      <c r="R437" s="1" t="s">
        <v>3219</v>
      </c>
      <c r="S437" s="1" t="s">
        <v>27</v>
      </c>
      <c r="T437" s="38">
        <v>1</v>
      </c>
      <c r="AH437" s="1">
        <v>0.72</v>
      </c>
      <c r="EY437" s="1">
        <v>56.9</v>
      </c>
    </row>
    <row r="438" spans="1:155" x14ac:dyDescent="0.2">
      <c r="A438" s="1" t="s">
        <v>3229</v>
      </c>
      <c r="B438" s="1" t="s">
        <v>55</v>
      </c>
      <c r="C438" s="1" t="s">
        <v>236</v>
      </c>
      <c r="E438" s="1">
        <v>34</v>
      </c>
      <c r="F438" s="1" t="s">
        <v>3230</v>
      </c>
      <c r="H438" s="1" t="s">
        <v>3231</v>
      </c>
      <c r="I438" s="1" t="s">
        <v>7</v>
      </c>
      <c r="J438" s="1" t="s">
        <v>3232</v>
      </c>
      <c r="K438" s="1" t="s">
        <v>3233</v>
      </c>
      <c r="L438" s="1" t="s">
        <v>3234</v>
      </c>
      <c r="O438" s="1">
        <v>1</v>
      </c>
      <c r="P438" s="1" t="s">
        <v>3218</v>
      </c>
      <c r="Q438" s="1">
        <v>1999</v>
      </c>
      <c r="R438" s="1" t="s">
        <v>3219</v>
      </c>
      <c r="S438" s="1" t="s">
        <v>27</v>
      </c>
      <c r="T438" s="38">
        <v>1</v>
      </c>
      <c r="AH438" s="1">
        <v>2.4</v>
      </c>
      <c r="EY438" s="1">
        <v>59.9</v>
      </c>
    </row>
    <row r="439" spans="1:155" x14ac:dyDescent="0.2">
      <c r="A439" s="1" t="s">
        <v>3235</v>
      </c>
      <c r="B439" s="1" t="s">
        <v>55</v>
      </c>
      <c r="C439" s="1" t="s">
        <v>236</v>
      </c>
      <c r="E439" s="1">
        <v>37</v>
      </c>
      <c r="F439" s="1" t="s">
        <v>3236</v>
      </c>
      <c r="H439" s="1" t="s">
        <v>3237</v>
      </c>
      <c r="I439" s="1" t="s">
        <v>7</v>
      </c>
      <c r="J439" s="1" t="s">
        <v>3238</v>
      </c>
      <c r="K439" s="1" t="s">
        <v>3239</v>
      </c>
      <c r="L439" s="1" t="s">
        <v>3238</v>
      </c>
      <c r="M439" s="1" t="s">
        <v>816</v>
      </c>
      <c r="N439" s="1" t="s">
        <v>3240</v>
      </c>
      <c r="O439" s="1">
        <v>1</v>
      </c>
      <c r="P439" s="1" t="s">
        <v>3218</v>
      </c>
      <c r="Q439" s="1">
        <v>1999</v>
      </c>
      <c r="R439" s="1" t="s">
        <v>3219</v>
      </c>
      <c r="S439" s="1" t="s">
        <v>27</v>
      </c>
      <c r="T439" s="38">
        <v>1</v>
      </c>
      <c r="AH439" s="1">
        <v>0.86</v>
      </c>
      <c r="EY439" s="1">
        <v>55</v>
      </c>
    </row>
    <row r="440" spans="1:155" x14ac:dyDescent="0.2">
      <c r="A440" s="1" t="s">
        <v>3241</v>
      </c>
      <c r="B440" s="1" t="s">
        <v>55</v>
      </c>
      <c r="C440" s="1" t="s">
        <v>236</v>
      </c>
      <c r="E440" s="1">
        <v>31</v>
      </c>
      <c r="F440" s="1" t="s">
        <v>3242</v>
      </c>
      <c r="H440" s="1" t="s">
        <v>3243</v>
      </c>
      <c r="I440" s="1" t="s">
        <v>7</v>
      </c>
      <c r="J440" s="1" t="s">
        <v>3244</v>
      </c>
      <c r="L440" s="1" t="s">
        <v>3245</v>
      </c>
      <c r="M440" s="1" t="s">
        <v>2889</v>
      </c>
      <c r="N440" s="1" t="s">
        <v>3246</v>
      </c>
      <c r="O440" s="1">
        <v>1</v>
      </c>
      <c r="P440" s="1" t="s">
        <v>3218</v>
      </c>
      <c r="Q440" s="1">
        <v>1999</v>
      </c>
      <c r="R440" s="1" t="s">
        <v>3219</v>
      </c>
      <c r="S440" s="1" t="s">
        <v>27</v>
      </c>
      <c r="T440" s="38">
        <v>1</v>
      </c>
      <c r="AH440" s="1">
        <v>0.3</v>
      </c>
      <c r="EY440" s="1">
        <v>64.7</v>
      </c>
    </row>
    <row r="441" spans="1:155" x14ac:dyDescent="0.2">
      <c r="A441" s="1" t="s">
        <v>3247</v>
      </c>
      <c r="B441" s="1" t="s">
        <v>55</v>
      </c>
      <c r="C441" s="1" t="s">
        <v>236</v>
      </c>
      <c r="E441" s="1">
        <v>31</v>
      </c>
      <c r="F441" s="1" t="s">
        <v>3242</v>
      </c>
      <c r="H441" s="1" t="s">
        <v>3243</v>
      </c>
      <c r="I441" s="1" t="s">
        <v>7</v>
      </c>
      <c r="J441" s="1" t="s">
        <v>3244</v>
      </c>
      <c r="L441" s="1" t="s">
        <v>3245</v>
      </c>
      <c r="M441" s="1" t="s">
        <v>2889</v>
      </c>
      <c r="N441" s="1" t="s">
        <v>3248</v>
      </c>
      <c r="O441" s="1">
        <v>1</v>
      </c>
      <c r="P441" s="1" t="s">
        <v>3218</v>
      </c>
      <c r="Q441" s="1">
        <v>1999</v>
      </c>
      <c r="R441" s="1" t="s">
        <v>3219</v>
      </c>
      <c r="S441" s="1" t="s">
        <v>27</v>
      </c>
      <c r="T441" s="38">
        <v>1</v>
      </c>
      <c r="AH441" s="1">
        <v>0.55000000000000004</v>
      </c>
      <c r="EY441" s="1">
        <v>51.9</v>
      </c>
    </row>
    <row r="442" spans="1:155" x14ac:dyDescent="0.2">
      <c r="A442" s="1" t="s">
        <v>3249</v>
      </c>
      <c r="B442" s="1" t="s">
        <v>55</v>
      </c>
      <c r="C442" s="1" t="s">
        <v>236</v>
      </c>
      <c r="E442" s="1">
        <v>37</v>
      </c>
      <c r="F442" s="1" t="s">
        <v>2035</v>
      </c>
      <c r="H442" s="1" t="s">
        <v>3250</v>
      </c>
      <c r="I442" s="1" t="s">
        <v>7</v>
      </c>
      <c r="J442" s="1" t="s">
        <v>3251</v>
      </c>
      <c r="K442" s="1" t="s">
        <v>2039</v>
      </c>
      <c r="L442" s="1" t="s">
        <v>3251</v>
      </c>
      <c r="M442" s="1" t="s">
        <v>816</v>
      </c>
      <c r="N442" s="1" t="s">
        <v>3252</v>
      </c>
      <c r="O442" s="1">
        <v>1</v>
      </c>
      <c r="P442" s="1" t="s">
        <v>3218</v>
      </c>
      <c r="Q442" s="1">
        <v>1999</v>
      </c>
      <c r="R442" s="1" t="s">
        <v>3219</v>
      </c>
      <c r="S442" s="1" t="s">
        <v>27</v>
      </c>
      <c r="T442" s="38">
        <v>1</v>
      </c>
      <c r="AH442" s="1">
        <v>1.6</v>
      </c>
      <c r="EY442" s="1">
        <v>59.1</v>
      </c>
    </row>
    <row r="443" spans="1:155" x14ac:dyDescent="0.2">
      <c r="A443" s="1" t="s">
        <v>3253</v>
      </c>
      <c r="B443" s="1" t="s">
        <v>55</v>
      </c>
      <c r="C443" s="1" t="s">
        <v>236</v>
      </c>
      <c r="E443" s="1">
        <v>37</v>
      </c>
      <c r="F443" s="1" t="s">
        <v>2035</v>
      </c>
      <c r="H443" s="1" t="s">
        <v>3254</v>
      </c>
      <c r="I443" s="1" t="s">
        <v>7</v>
      </c>
      <c r="J443" s="1" t="s">
        <v>3251</v>
      </c>
      <c r="K443" s="1" t="s">
        <v>2039</v>
      </c>
      <c r="L443" s="1" t="s">
        <v>3251</v>
      </c>
      <c r="M443" s="1" t="s">
        <v>2889</v>
      </c>
      <c r="N443" s="1" t="s">
        <v>3252</v>
      </c>
      <c r="O443" s="1">
        <v>1</v>
      </c>
      <c r="P443" s="1" t="s">
        <v>3218</v>
      </c>
      <c r="Q443" s="1">
        <v>1999</v>
      </c>
      <c r="R443" s="1" t="s">
        <v>3219</v>
      </c>
      <c r="S443" s="1" t="s">
        <v>27</v>
      </c>
      <c r="T443" s="38">
        <v>1</v>
      </c>
      <c r="AH443" s="1">
        <v>1.88</v>
      </c>
      <c r="EY443" s="1">
        <v>62.3</v>
      </c>
    </row>
    <row r="444" spans="1:155" x14ac:dyDescent="0.2">
      <c r="A444" s="1" t="s">
        <v>3255</v>
      </c>
      <c r="B444" s="1" t="s">
        <v>55</v>
      </c>
      <c r="C444" s="1" t="s">
        <v>236</v>
      </c>
      <c r="E444" s="1">
        <v>37</v>
      </c>
      <c r="F444" s="1" t="s">
        <v>3256</v>
      </c>
      <c r="H444" s="1" t="s">
        <v>3257</v>
      </c>
      <c r="I444" s="1" t="s">
        <v>7</v>
      </c>
      <c r="J444" s="1" t="s">
        <v>3258</v>
      </c>
      <c r="K444" s="1" t="s">
        <v>3259</v>
      </c>
      <c r="L444" s="1" t="s">
        <v>3260</v>
      </c>
      <c r="N444" s="1" t="s">
        <v>3261</v>
      </c>
      <c r="O444" s="1">
        <v>1</v>
      </c>
      <c r="P444" s="1" t="s">
        <v>3218</v>
      </c>
      <c r="Q444" s="1">
        <v>1999</v>
      </c>
      <c r="R444" s="1" t="s">
        <v>3219</v>
      </c>
      <c r="S444" s="1" t="s">
        <v>27</v>
      </c>
      <c r="T444" s="38">
        <v>1</v>
      </c>
      <c r="AH444" s="1">
        <v>1.04</v>
      </c>
      <c r="EY444" s="1">
        <v>55</v>
      </c>
    </row>
    <row r="445" spans="1:155" x14ac:dyDescent="0.2">
      <c r="A445" s="1" t="s">
        <v>3262</v>
      </c>
      <c r="B445" s="1" t="s">
        <v>55</v>
      </c>
      <c r="C445" s="1" t="s">
        <v>236</v>
      </c>
      <c r="E445" s="1">
        <v>37</v>
      </c>
      <c r="F445" s="1" t="s">
        <v>3152</v>
      </c>
      <c r="H445" s="1" t="s">
        <v>3263</v>
      </c>
      <c r="I445" s="1" t="s">
        <v>7</v>
      </c>
      <c r="J445" s="1" t="s">
        <v>3155</v>
      </c>
      <c r="K445" s="1" t="s">
        <v>3156</v>
      </c>
      <c r="L445" s="1" t="s">
        <v>3155</v>
      </c>
      <c r="M445" s="1" t="s">
        <v>480</v>
      </c>
      <c r="N445" s="1" t="s">
        <v>3264</v>
      </c>
      <c r="O445" s="1">
        <v>1</v>
      </c>
      <c r="P445" s="1" t="s">
        <v>3218</v>
      </c>
      <c r="Q445" s="1">
        <v>1999</v>
      </c>
      <c r="R445" s="1" t="s">
        <v>3219</v>
      </c>
      <c r="S445" s="1" t="s">
        <v>27</v>
      </c>
      <c r="T445" s="38">
        <v>1</v>
      </c>
      <c r="AH445" s="1">
        <v>7.11</v>
      </c>
      <c r="EY445" s="1">
        <v>52.6</v>
      </c>
    </row>
    <row r="446" spans="1:155" x14ac:dyDescent="0.2">
      <c r="A446" s="1" t="s">
        <v>3265</v>
      </c>
      <c r="B446" s="1" t="s">
        <v>55</v>
      </c>
      <c r="C446" s="1" t="s">
        <v>236</v>
      </c>
      <c r="E446" s="1">
        <v>37</v>
      </c>
      <c r="F446" s="1" t="s">
        <v>3266</v>
      </c>
      <c r="H446" s="1" t="s">
        <v>3267</v>
      </c>
      <c r="I446" s="1" t="s">
        <v>7</v>
      </c>
      <c r="J446" s="1" t="s">
        <v>3268</v>
      </c>
      <c r="K446" s="1" t="s">
        <v>3269</v>
      </c>
      <c r="L446" s="1" t="s">
        <v>3268</v>
      </c>
      <c r="M446" s="1" t="s">
        <v>2889</v>
      </c>
      <c r="O446" s="1">
        <v>1</v>
      </c>
      <c r="P446" s="1" t="s">
        <v>3218</v>
      </c>
      <c r="Q446" s="1">
        <v>1999</v>
      </c>
      <c r="R446" s="1" t="s">
        <v>3219</v>
      </c>
      <c r="S446" s="1" t="s">
        <v>27</v>
      </c>
      <c r="T446" s="38">
        <v>1</v>
      </c>
      <c r="AH446" s="1">
        <v>1.02</v>
      </c>
      <c r="EY446" s="1">
        <v>48.1</v>
      </c>
    </row>
    <row r="447" spans="1:155" x14ac:dyDescent="0.2">
      <c r="A447" s="1" t="s">
        <v>3270</v>
      </c>
      <c r="B447" s="1" t="s">
        <v>55</v>
      </c>
      <c r="C447" s="1" t="s">
        <v>236</v>
      </c>
      <c r="E447" s="1">
        <v>37</v>
      </c>
      <c r="F447" s="1" t="s">
        <v>3256</v>
      </c>
      <c r="H447" s="1" t="s">
        <v>3257</v>
      </c>
      <c r="I447" s="1" t="s">
        <v>7</v>
      </c>
      <c r="J447" s="1" t="s">
        <v>3258</v>
      </c>
      <c r="K447" s="1" t="s">
        <v>3259</v>
      </c>
      <c r="L447" s="1" t="s">
        <v>3260</v>
      </c>
      <c r="M447" s="1" t="s">
        <v>480</v>
      </c>
      <c r="N447" s="1" t="s">
        <v>3271</v>
      </c>
      <c r="O447" s="1">
        <v>1</v>
      </c>
      <c r="P447" s="1" t="s">
        <v>3218</v>
      </c>
      <c r="Q447" s="1">
        <v>1999</v>
      </c>
      <c r="R447" s="1" t="s">
        <v>3219</v>
      </c>
      <c r="S447" s="1" t="s">
        <v>27</v>
      </c>
      <c r="T447" s="38">
        <v>1</v>
      </c>
      <c r="AH447" s="1">
        <v>1.94</v>
      </c>
      <c r="EY447" s="1">
        <v>47.4</v>
      </c>
    </row>
    <row r="448" spans="1:155" x14ac:dyDescent="0.2">
      <c r="A448" s="1" t="s">
        <v>3272</v>
      </c>
      <c r="B448" s="1" t="s">
        <v>55</v>
      </c>
      <c r="C448" s="1" t="s">
        <v>236</v>
      </c>
      <c r="E448" s="1">
        <v>37</v>
      </c>
      <c r="F448" s="1" t="s">
        <v>2035</v>
      </c>
      <c r="H448" s="1" t="s">
        <v>3250</v>
      </c>
      <c r="I448" s="1" t="s">
        <v>7</v>
      </c>
      <c r="J448" s="1" t="s">
        <v>3251</v>
      </c>
      <c r="K448" s="1" t="s">
        <v>2039</v>
      </c>
      <c r="L448" s="1" t="s">
        <v>3251</v>
      </c>
      <c r="M448" s="1" t="s">
        <v>2889</v>
      </c>
      <c r="N448" s="1" t="s">
        <v>3273</v>
      </c>
      <c r="O448" s="1">
        <v>1</v>
      </c>
      <c r="P448" s="1" t="s">
        <v>3218</v>
      </c>
      <c r="Q448" s="1">
        <v>1999</v>
      </c>
      <c r="R448" s="1" t="s">
        <v>3219</v>
      </c>
      <c r="S448" s="1" t="s">
        <v>27</v>
      </c>
      <c r="T448" s="38">
        <v>1</v>
      </c>
      <c r="AH448" s="1">
        <v>0.64</v>
      </c>
      <c r="EY448" s="1">
        <v>50.9</v>
      </c>
    </row>
    <row r="449" spans="1:155" x14ac:dyDescent="0.2">
      <c r="A449" s="1" t="s">
        <v>3274</v>
      </c>
      <c r="B449" s="1" t="s">
        <v>55</v>
      </c>
      <c r="C449" s="1" t="s">
        <v>236</v>
      </c>
      <c r="E449" s="1">
        <v>37</v>
      </c>
      <c r="F449" s="1" t="s">
        <v>2016</v>
      </c>
      <c r="H449" s="1" t="s">
        <v>3275</v>
      </c>
      <c r="I449" s="1" t="s">
        <v>7</v>
      </c>
      <c r="J449" s="1" t="s">
        <v>2019</v>
      </c>
      <c r="K449" s="1" t="s">
        <v>2020</v>
      </c>
      <c r="L449" s="1" t="s">
        <v>2019</v>
      </c>
      <c r="M449" s="1" t="s">
        <v>2889</v>
      </c>
      <c r="N449" s="1" t="s">
        <v>3276</v>
      </c>
      <c r="O449" s="1">
        <v>1</v>
      </c>
      <c r="P449" s="1" t="s">
        <v>3218</v>
      </c>
      <c r="Q449" s="1">
        <v>1999</v>
      </c>
      <c r="R449" s="1" t="s">
        <v>3219</v>
      </c>
      <c r="S449" s="1" t="s">
        <v>27</v>
      </c>
      <c r="T449" s="38">
        <v>1</v>
      </c>
      <c r="AH449" s="1">
        <v>1.0900000000000001</v>
      </c>
      <c r="EY449" s="1">
        <v>60.2</v>
      </c>
    </row>
    <row r="450" spans="1:155" x14ac:dyDescent="0.2">
      <c r="A450" s="1" t="s">
        <v>3277</v>
      </c>
      <c r="B450" s="1" t="s">
        <v>55</v>
      </c>
      <c r="C450" s="1" t="s">
        <v>236</v>
      </c>
      <c r="E450" s="1">
        <v>37</v>
      </c>
      <c r="F450" s="1" t="s">
        <v>3278</v>
      </c>
      <c r="H450" s="1" t="s">
        <v>3279</v>
      </c>
      <c r="I450" s="1" t="s">
        <v>7</v>
      </c>
      <c r="J450" s="1" t="s">
        <v>3280</v>
      </c>
      <c r="K450" s="1" t="s">
        <v>3281</v>
      </c>
      <c r="L450" s="1" t="s">
        <v>3280</v>
      </c>
      <c r="M450" s="1" t="s">
        <v>2889</v>
      </c>
      <c r="N450" s="1" t="s">
        <v>3282</v>
      </c>
      <c r="O450" s="1">
        <v>1</v>
      </c>
      <c r="P450" s="1" t="s">
        <v>3218</v>
      </c>
      <c r="Q450" s="1">
        <v>1999</v>
      </c>
      <c r="R450" s="1" t="s">
        <v>3219</v>
      </c>
      <c r="S450" s="1" t="s">
        <v>27</v>
      </c>
      <c r="T450" s="38">
        <v>1</v>
      </c>
      <c r="AH450" s="1">
        <v>1.34</v>
      </c>
      <c r="EY450" s="1">
        <v>67.599999999999994</v>
      </c>
    </row>
    <row r="451" spans="1:155" x14ac:dyDescent="0.2">
      <c r="A451" s="1" t="s">
        <v>3283</v>
      </c>
      <c r="B451" s="1" t="s">
        <v>55</v>
      </c>
      <c r="C451" s="1" t="s">
        <v>236</v>
      </c>
      <c r="E451" s="1">
        <v>37</v>
      </c>
      <c r="F451" s="1" t="s">
        <v>3266</v>
      </c>
      <c r="H451" s="1" t="s">
        <v>3267</v>
      </c>
      <c r="I451" s="1" t="s">
        <v>7</v>
      </c>
      <c r="J451" s="1" t="s">
        <v>3268</v>
      </c>
      <c r="K451" s="1" t="s">
        <v>3269</v>
      </c>
      <c r="L451" s="1" t="s">
        <v>3268</v>
      </c>
      <c r="M451" s="1" t="s">
        <v>2889</v>
      </c>
      <c r="N451" s="1" t="s">
        <v>3284</v>
      </c>
      <c r="O451" s="1">
        <v>1</v>
      </c>
      <c r="P451" s="1" t="s">
        <v>3218</v>
      </c>
      <c r="Q451" s="1">
        <v>1999</v>
      </c>
      <c r="R451" s="1" t="s">
        <v>3219</v>
      </c>
      <c r="S451" s="1" t="s">
        <v>27</v>
      </c>
      <c r="T451" s="38">
        <v>1</v>
      </c>
      <c r="AH451" s="1">
        <v>0.88</v>
      </c>
      <c r="EY451" s="1">
        <v>55.1</v>
      </c>
    </row>
    <row r="452" spans="1:155" x14ac:dyDescent="0.2">
      <c r="A452" s="1" t="s">
        <v>3285</v>
      </c>
      <c r="B452" s="1" t="s">
        <v>55</v>
      </c>
      <c r="C452" s="1" t="s">
        <v>236</v>
      </c>
      <c r="E452" s="1">
        <v>37</v>
      </c>
      <c r="F452" s="1" t="s">
        <v>2035</v>
      </c>
      <c r="H452" s="1" t="s">
        <v>3250</v>
      </c>
      <c r="I452" s="1" t="s">
        <v>7</v>
      </c>
      <c r="J452" s="1" t="s">
        <v>3251</v>
      </c>
      <c r="K452" s="1" t="s">
        <v>2039</v>
      </c>
      <c r="L452" s="1" t="s">
        <v>3251</v>
      </c>
      <c r="M452" s="1" t="s">
        <v>2889</v>
      </c>
      <c r="N452" s="1" t="s">
        <v>3286</v>
      </c>
      <c r="O452" s="1">
        <v>1</v>
      </c>
      <c r="P452" s="1" t="s">
        <v>3218</v>
      </c>
      <c r="Q452" s="1">
        <v>1999</v>
      </c>
      <c r="R452" s="1" t="s">
        <v>3219</v>
      </c>
      <c r="S452" s="1" t="s">
        <v>27</v>
      </c>
      <c r="T452" s="38">
        <v>1</v>
      </c>
      <c r="AH452" s="1">
        <v>1.01</v>
      </c>
      <c r="EY452" s="1">
        <v>55.1</v>
      </c>
    </row>
    <row r="453" spans="1:155" x14ac:dyDescent="0.2">
      <c r="A453" s="1" t="s">
        <v>3287</v>
      </c>
      <c r="B453" s="1" t="s">
        <v>55</v>
      </c>
      <c r="C453" s="1" t="s">
        <v>236</v>
      </c>
      <c r="E453" s="1">
        <v>37</v>
      </c>
      <c r="F453" s="1" t="s">
        <v>3288</v>
      </c>
      <c r="H453" s="1" t="s">
        <v>3289</v>
      </c>
      <c r="I453" s="1" t="s">
        <v>7</v>
      </c>
      <c r="J453" s="1" t="s">
        <v>3290</v>
      </c>
      <c r="K453" s="1" t="s">
        <v>3291</v>
      </c>
      <c r="L453" s="1" t="s">
        <v>3290</v>
      </c>
      <c r="M453" s="1" t="s">
        <v>2889</v>
      </c>
      <c r="N453" s="1" t="s">
        <v>3292</v>
      </c>
      <c r="O453" s="1">
        <v>1</v>
      </c>
      <c r="P453" s="1" t="s">
        <v>3218</v>
      </c>
      <c r="Q453" s="1">
        <v>1999</v>
      </c>
      <c r="R453" s="1" t="s">
        <v>3219</v>
      </c>
      <c r="S453" s="1" t="s">
        <v>27</v>
      </c>
      <c r="T453" s="38">
        <v>1</v>
      </c>
      <c r="AH453" s="1">
        <v>1.61</v>
      </c>
      <c r="EY453" s="1">
        <v>55.9</v>
      </c>
    </row>
    <row r="454" spans="1:155" x14ac:dyDescent="0.2">
      <c r="A454" s="1" t="s">
        <v>3293</v>
      </c>
      <c r="B454" s="1" t="s">
        <v>55</v>
      </c>
      <c r="C454" s="1" t="s">
        <v>236</v>
      </c>
      <c r="E454" s="1">
        <v>37</v>
      </c>
      <c r="F454" s="1" t="s">
        <v>3288</v>
      </c>
      <c r="H454" s="1" t="s">
        <v>3289</v>
      </c>
      <c r="I454" s="1" t="s">
        <v>7</v>
      </c>
      <c r="J454" s="1" t="s">
        <v>3290</v>
      </c>
      <c r="K454" s="1" t="s">
        <v>3291</v>
      </c>
      <c r="L454" s="1" t="s">
        <v>3290</v>
      </c>
      <c r="O454" s="1">
        <v>1</v>
      </c>
      <c r="P454" s="1" t="s">
        <v>3218</v>
      </c>
      <c r="Q454" s="1">
        <v>1999</v>
      </c>
      <c r="R454" s="1" t="s">
        <v>3219</v>
      </c>
      <c r="S454" s="1" t="s">
        <v>27</v>
      </c>
      <c r="T454" s="38">
        <v>1</v>
      </c>
      <c r="AH454" s="1">
        <v>1.1599999999999999</v>
      </c>
      <c r="EY454" s="1">
        <v>47.6</v>
      </c>
    </row>
    <row r="455" spans="1:155" x14ac:dyDescent="0.2">
      <c r="A455" s="1" t="s">
        <v>3294</v>
      </c>
      <c r="B455" s="1" t="s">
        <v>55</v>
      </c>
      <c r="C455" s="1" t="s">
        <v>236</v>
      </c>
      <c r="E455" s="1">
        <v>37</v>
      </c>
      <c r="F455" s="1" t="s">
        <v>3152</v>
      </c>
      <c r="H455" s="1" t="s">
        <v>3263</v>
      </c>
      <c r="I455" s="1" t="s">
        <v>7</v>
      </c>
      <c r="J455" s="1" t="s">
        <v>3155</v>
      </c>
      <c r="K455" s="1" t="s">
        <v>3156</v>
      </c>
      <c r="L455" s="1" t="s">
        <v>3155</v>
      </c>
      <c r="M455" s="1" t="s">
        <v>2889</v>
      </c>
      <c r="N455" s="1" t="s">
        <v>3295</v>
      </c>
      <c r="O455" s="1">
        <v>1</v>
      </c>
      <c r="P455" s="1" t="s">
        <v>3218</v>
      </c>
      <c r="Q455" s="1">
        <v>1999</v>
      </c>
      <c r="R455" s="1" t="s">
        <v>3219</v>
      </c>
      <c r="S455" s="1" t="s">
        <v>27</v>
      </c>
      <c r="T455" s="38">
        <v>1</v>
      </c>
      <c r="AH455" s="1">
        <v>1.01</v>
      </c>
      <c r="EY455" s="1">
        <v>67.3</v>
      </c>
    </row>
    <row r="456" spans="1:155" x14ac:dyDescent="0.2">
      <c r="A456" s="1" t="s">
        <v>3296</v>
      </c>
      <c r="B456" s="1" t="s">
        <v>55</v>
      </c>
      <c r="C456" s="1" t="s">
        <v>236</v>
      </c>
      <c r="E456" s="1">
        <v>37</v>
      </c>
      <c r="F456" s="1" t="s">
        <v>2389</v>
      </c>
      <c r="H456" s="1" t="s">
        <v>3297</v>
      </c>
      <c r="I456" s="1" t="s">
        <v>7</v>
      </c>
      <c r="J456" s="1" t="s">
        <v>3298</v>
      </c>
      <c r="K456" s="1" t="s">
        <v>2392</v>
      </c>
      <c r="L456" s="1" t="s">
        <v>2393</v>
      </c>
      <c r="M456" s="1" t="s">
        <v>2889</v>
      </c>
      <c r="N456" s="1" t="s">
        <v>3299</v>
      </c>
      <c r="O456" s="1">
        <v>1</v>
      </c>
      <c r="P456" s="1" t="s">
        <v>3218</v>
      </c>
      <c r="Q456" s="1">
        <v>1999</v>
      </c>
      <c r="R456" s="1" t="s">
        <v>3219</v>
      </c>
      <c r="S456" s="1" t="s">
        <v>27</v>
      </c>
      <c r="T456" s="38">
        <v>1</v>
      </c>
      <c r="AH456" s="1">
        <v>1.73</v>
      </c>
      <c r="EY456" s="1">
        <v>73.7</v>
      </c>
    </row>
    <row r="457" spans="1:155" x14ac:dyDescent="0.2">
      <c r="A457" s="1" t="s">
        <v>3300</v>
      </c>
      <c r="B457" s="1" t="s">
        <v>55</v>
      </c>
      <c r="C457" s="1" t="s">
        <v>236</v>
      </c>
      <c r="E457" s="1">
        <v>37</v>
      </c>
      <c r="F457" s="1" t="s">
        <v>3301</v>
      </c>
      <c r="H457" s="1" t="s">
        <v>3302</v>
      </c>
      <c r="I457" s="1" t="s">
        <v>7</v>
      </c>
      <c r="J457" s="1" t="s">
        <v>3303</v>
      </c>
      <c r="K457" s="1" t="s">
        <v>3304</v>
      </c>
      <c r="L457" s="1" t="s">
        <v>3305</v>
      </c>
      <c r="M457" s="1" t="s">
        <v>2889</v>
      </c>
      <c r="N457" s="1" t="s">
        <v>3306</v>
      </c>
      <c r="O457" s="1">
        <v>1</v>
      </c>
      <c r="P457" s="1" t="s">
        <v>3218</v>
      </c>
      <c r="Q457" s="1">
        <v>1999</v>
      </c>
      <c r="R457" s="1" t="s">
        <v>3219</v>
      </c>
      <c r="S457" s="1" t="s">
        <v>27</v>
      </c>
      <c r="T457" s="38">
        <v>1</v>
      </c>
      <c r="AH457" s="1">
        <v>3.41</v>
      </c>
      <c r="EY457" s="1">
        <v>64.599999999999994</v>
      </c>
    </row>
    <row r="458" spans="1:155" x14ac:dyDescent="0.2">
      <c r="A458" s="1" t="s">
        <v>3307</v>
      </c>
      <c r="B458" s="1" t="s">
        <v>55</v>
      </c>
      <c r="C458" s="1" t="s">
        <v>236</v>
      </c>
      <c r="E458" s="1">
        <v>37</v>
      </c>
      <c r="F458" s="1" t="s">
        <v>3301</v>
      </c>
      <c r="H458" s="1" t="s">
        <v>3302</v>
      </c>
      <c r="I458" s="1" t="s">
        <v>7</v>
      </c>
      <c r="J458" s="1" t="s">
        <v>3308</v>
      </c>
      <c r="K458" s="1" t="s">
        <v>3304</v>
      </c>
      <c r="L458" s="1" t="s">
        <v>3305</v>
      </c>
      <c r="M458" s="1" t="s">
        <v>2889</v>
      </c>
      <c r="N458" s="1" t="s">
        <v>3309</v>
      </c>
      <c r="O458" s="1">
        <v>1</v>
      </c>
      <c r="P458" s="1" t="s">
        <v>3218</v>
      </c>
      <c r="Q458" s="1">
        <v>1999</v>
      </c>
      <c r="R458" s="1" t="s">
        <v>3219</v>
      </c>
      <c r="S458" s="1" t="s">
        <v>27</v>
      </c>
      <c r="T458" s="38">
        <v>1</v>
      </c>
      <c r="AH458" s="1">
        <v>1.52</v>
      </c>
      <c r="EY458" s="1">
        <v>57.1</v>
      </c>
    </row>
    <row r="459" spans="1:155" x14ac:dyDescent="0.2">
      <c r="A459" s="1" t="s">
        <v>3310</v>
      </c>
      <c r="B459" s="1" t="s">
        <v>55</v>
      </c>
      <c r="C459" s="1" t="s">
        <v>236</v>
      </c>
      <c r="E459" s="1">
        <v>25</v>
      </c>
      <c r="F459" s="1" t="s">
        <v>3311</v>
      </c>
      <c r="H459" s="1" t="s">
        <v>3312</v>
      </c>
      <c r="I459" s="1" t="s">
        <v>7</v>
      </c>
      <c r="J459" s="1" t="s">
        <v>3313</v>
      </c>
      <c r="K459" s="1" t="s">
        <v>3314</v>
      </c>
      <c r="L459" s="1" t="s">
        <v>3313</v>
      </c>
      <c r="M459" s="1" t="s">
        <v>3315</v>
      </c>
      <c r="N459" s="1" t="s">
        <v>3316</v>
      </c>
      <c r="O459" s="1">
        <v>1</v>
      </c>
      <c r="P459" s="1" t="s">
        <v>3218</v>
      </c>
      <c r="Q459" s="1">
        <v>1999</v>
      </c>
      <c r="R459" s="1" t="s">
        <v>3219</v>
      </c>
      <c r="S459" s="1" t="s">
        <v>27</v>
      </c>
      <c r="T459" s="38">
        <v>1</v>
      </c>
      <c r="AH459" s="1">
        <v>0.98</v>
      </c>
      <c r="EY459" s="1">
        <v>33.6</v>
      </c>
    </row>
    <row r="460" spans="1:155" x14ac:dyDescent="0.2">
      <c r="A460" s="1" t="s">
        <v>3317</v>
      </c>
      <c r="B460" s="1" t="s">
        <v>55</v>
      </c>
      <c r="C460" s="1" t="s">
        <v>236</v>
      </c>
      <c r="E460" s="1">
        <v>35</v>
      </c>
      <c r="F460" s="1" t="s">
        <v>3318</v>
      </c>
      <c r="H460" s="1" t="s">
        <v>3319</v>
      </c>
      <c r="I460" s="1" t="s">
        <v>7</v>
      </c>
      <c r="J460" s="1" t="s">
        <v>3320</v>
      </c>
      <c r="K460" s="1" t="s">
        <v>3321</v>
      </c>
      <c r="L460" s="1" t="s">
        <v>3320</v>
      </c>
      <c r="M460" s="1" t="s">
        <v>480</v>
      </c>
      <c r="O460" s="1">
        <v>1</v>
      </c>
      <c r="P460" s="1" t="s">
        <v>3218</v>
      </c>
      <c r="Q460" s="1">
        <v>1999</v>
      </c>
      <c r="R460" s="1" t="s">
        <v>3219</v>
      </c>
      <c r="S460" s="1" t="s">
        <v>27</v>
      </c>
      <c r="T460" s="38">
        <v>1</v>
      </c>
      <c r="AH460" s="1">
        <v>2.42</v>
      </c>
      <c r="EY460" s="1">
        <v>39.6</v>
      </c>
    </row>
    <row r="461" spans="1:155" x14ac:dyDescent="0.2">
      <c r="A461" s="1" t="s">
        <v>3322</v>
      </c>
      <c r="B461" s="1" t="s">
        <v>55</v>
      </c>
      <c r="C461" s="1" t="s">
        <v>236</v>
      </c>
      <c r="E461" s="1">
        <v>35</v>
      </c>
      <c r="F461" s="1" t="s">
        <v>3323</v>
      </c>
      <c r="H461" s="1" t="s">
        <v>3324</v>
      </c>
      <c r="I461" s="1" t="s">
        <v>7</v>
      </c>
      <c r="J461" s="1" t="s">
        <v>3325</v>
      </c>
      <c r="K461" s="1" t="s">
        <v>3326</v>
      </c>
      <c r="L461" s="1" t="s">
        <v>3325</v>
      </c>
      <c r="M461" s="1" t="s">
        <v>2889</v>
      </c>
      <c r="N461" s="1" t="s">
        <v>3327</v>
      </c>
      <c r="O461" s="1">
        <v>1</v>
      </c>
      <c r="P461" s="1" t="s">
        <v>3218</v>
      </c>
      <c r="Q461" s="1">
        <v>1999</v>
      </c>
      <c r="R461" s="1" t="s">
        <v>3219</v>
      </c>
      <c r="S461" s="1" t="s">
        <v>27</v>
      </c>
      <c r="T461" s="38">
        <v>1</v>
      </c>
      <c r="EY461" s="1">
        <v>46</v>
      </c>
    </row>
    <row r="462" spans="1:155" x14ac:dyDescent="0.2">
      <c r="A462" s="1" t="s">
        <v>3328</v>
      </c>
      <c r="B462" s="1" t="s">
        <v>55</v>
      </c>
      <c r="C462" s="1" t="s">
        <v>236</v>
      </c>
      <c r="E462" s="1">
        <v>35</v>
      </c>
      <c r="F462" s="1" t="s">
        <v>3323</v>
      </c>
      <c r="H462" s="1" t="s">
        <v>3324</v>
      </c>
      <c r="I462" s="1" t="s">
        <v>7</v>
      </c>
      <c r="J462" s="1" t="s">
        <v>3325</v>
      </c>
      <c r="K462" s="1" t="s">
        <v>3326</v>
      </c>
      <c r="L462" s="1" t="s">
        <v>3325</v>
      </c>
      <c r="M462" s="1" t="s">
        <v>2889</v>
      </c>
      <c r="N462" s="1" t="s">
        <v>3329</v>
      </c>
      <c r="O462" s="1">
        <v>1</v>
      </c>
      <c r="P462" s="1" t="s">
        <v>3218</v>
      </c>
      <c r="Q462" s="1">
        <v>1999</v>
      </c>
      <c r="R462" s="1" t="s">
        <v>3219</v>
      </c>
      <c r="S462" s="1" t="s">
        <v>27</v>
      </c>
      <c r="T462" s="38">
        <v>1</v>
      </c>
      <c r="AH462" s="1">
        <v>1.56</v>
      </c>
      <c r="EY462" s="1">
        <v>39.4</v>
      </c>
    </row>
    <row r="463" spans="1:155" x14ac:dyDescent="0.2">
      <c r="A463" s="1" t="s">
        <v>3330</v>
      </c>
      <c r="B463" s="1" t="s">
        <v>55</v>
      </c>
      <c r="C463" s="1" t="s">
        <v>236</v>
      </c>
      <c r="E463" s="1">
        <v>12</v>
      </c>
      <c r="F463" s="1" t="s">
        <v>1550</v>
      </c>
      <c r="H463" s="1" t="s">
        <v>3331</v>
      </c>
      <c r="I463" s="1" t="s">
        <v>7</v>
      </c>
      <c r="J463" s="1" t="s">
        <v>3332</v>
      </c>
      <c r="K463" s="1" t="s">
        <v>1553</v>
      </c>
      <c r="L463" s="1" t="s">
        <v>1552</v>
      </c>
      <c r="M463" s="1" t="s">
        <v>3315</v>
      </c>
      <c r="N463" s="1" t="s">
        <v>3333</v>
      </c>
      <c r="O463" s="1">
        <v>1</v>
      </c>
      <c r="P463" s="1" t="s">
        <v>3218</v>
      </c>
      <c r="Q463" s="1">
        <v>1999</v>
      </c>
      <c r="R463" s="1" t="s">
        <v>3219</v>
      </c>
      <c r="S463" s="1" t="s">
        <v>27</v>
      </c>
      <c r="T463" s="38">
        <v>1</v>
      </c>
      <c r="AH463" s="1">
        <v>0.51</v>
      </c>
      <c r="EY463" s="1">
        <v>41.8</v>
      </c>
    </row>
    <row r="464" spans="1:155" x14ac:dyDescent="0.2">
      <c r="A464" s="1" t="s">
        <v>3334</v>
      </c>
      <c r="B464" s="1" t="s">
        <v>55</v>
      </c>
      <c r="C464" s="1" t="s">
        <v>236</v>
      </c>
      <c r="E464" s="1">
        <v>12</v>
      </c>
      <c r="F464" s="1" t="s">
        <v>3335</v>
      </c>
      <c r="H464" s="1" t="s">
        <v>3336</v>
      </c>
      <c r="I464" s="1" t="s">
        <v>7</v>
      </c>
      <c r="J464" s="1" t="s">
        <v>3337</v>
      </c>
      <c r="K464" s="1" t="s">
        <v>3338</v>
      </c>
      <c r="L464" s="1" t="s">
        <v>3337</v>
      </c>
      <c r="M464" s="1" t="s">
        <v>3315</v>
      </c>
      <c r="N464" s="1" t="s">
        <v>3339</v>
      </c>
      <c r="O464" s="1">
        <v>1</v>
      </c>
      <c r="P464" s="1" t="s">
        <v>3218</v>
      </c>
      <c r="Q464" s="1">
        <v>1999</v>
      </c>
      <c r="R464" s="1" t="s">
        <v>3219</v>
      </c>
      <c r="S464" s="1" t="s">
        <v>27</v>
      </c>
      <c r="T464" s="38">
        <v>1</v>
      </c>
      <c r="AH464" s="1">
        <v>0.71</v>
      </c>
      <c r="EY464" s="1">
        <v>51.2</v>
      </c>
    </row>
    <row r="465" spans="1:155" x14ac:dyDescent="0.2">
      <c r="A465" s="1" t="s">
        <v>3340</v>
      </c>
      <c r="B465" s="1" t="s">
        <v>55</v>
      </c>
      <c r="C465" s="1" t="s">
        <v>236</v>
      </c>
      <c r="E465" s="1">
        <v>24</v>
      </c>
      <c r="F465" s="1" t="s">
        <v>3341</v>
      </c>
      <c r="H465" s="1" t="s">
        <v>3342</v>
      </c>
      <c r="I465" s="1" t="s">
        <v>7</v>
      </c>
      <c r="J465" s="1" t="s">
        <v>3343</v>
      </c>
      <c r="K465" s="1" t="s">
        <v>3344</v>
      </c>
      <c r="L465" s="1" t="s">
        <v>3345</v>
      </c>
      <c r="M465" s="1" t="s">
        <v>3225</v>
      </c>
      <c r="N465" s="1" t="s">
        <v>3346</v>
      </c>
      <c r="O465" s="1">
        <v>1</v>
      </c>
      <c r="P465" s="1" t="s">
        <v>3218</v>
      </c>
      <c r="Q465" s="1">
        <v>1999</v>
      </c>
      <c r="R465" s="1" t="s">
        <v>3219</v>
      </c>
      <c r="S465" s="1" t="s">
        <v>27</v>
      </c>
      <c r="T465" s="38">
        <v>1</v>
      </c>
      <c r="AH465" s="1">
        <v>4.9000000000000004</v>
      </c>
      <c r="EY465" s="1">
        <v>68.599999999999994</v>
      </c>
    </row>
    <row r="466" spans="1:155" x14ac:dyDescent="0.2">
      <c r="A466" s="1" t="s">
        <v>3347</v>
      </c>
      <c r="B466" s="1" t="s">
        <v>55</v>
      </c>
      <c r="C466" s="1" t="s">
        <v>236</v>
      </c>
      <c r="E466" s="1">
        <v>24</v>
      </c>
      <c r="F466" s="1" t="s">
        <v>3341</v>
      </c>
      <c r="H466" s="1" t="s">
        <v>3342</v>
      </c>
      <c r="I466" s="1" t="s">
        <v>7</v>
      </c>
      <c r="J466" s="1" t="s">
        <v>3343</v>
      </c>
      <c r="K466" s="1" t="s">
        <v>3344</v>
      </c>
      <c r="L466" s="1" t="s">
        <v>3345</v>
      </c>
      <c r="M466" s="1" t="s">
        <v>480</v>
      </c>
      <c r="N466" s="1" t="s">
        <v>3348</v>
      </c>
      <c r="O466" s="1">
        <v>1</v>
      </c>
      <c r="P466" s="1" t="s">
        <v>3218</v>
      </c>
      <c r="Q466" s="1">
        <v>1999</v>
      </c>
      <c r="R466" s="1" t="s">
        <v>3219</v>
      </c>
      <c r="S466" s="1" t="s">
        <v>27</v>
      </c>
      <c r="T466" s="38">
        <v>1</v>
      </c>
      <c r="AH466" s="1">
        <v>6.3</v>
      </c>
      <c r="EY466" s="1">
        <v>62.2</v>
      </c>
    </row>
    <row r="467" spans="1:155" x14ac:dyDescent="0.2">
      <c r="A467" s="1" t="s">
        <v>3349</v>
      </c>
      <c r="B467" s="1" t="s">
        <v>55</v>
      </c>
      <c r="C467" s="1" t="s">
        <v>236</v>
      </c>
      <c r="E467" s="1">
        <v>24</v>
      </c>
      <c r="F467" s="1" t="s">
        <v>3341</v>
      </c>
      <c r="H467" s="1" t="s">
        <v>3342</v>
      </c>
      <c r="I467" s="1" t="s">
        <v>7</v>
      </c>
      <c r="J467" s="1" t="s">
        <v>3343</v>
      </c>
      <c r="K467" s="1" t="s">
        <v>3344</v>
      </c>
      <c r="L467" s="1" t="s">
        <v>3345</v>
      </c>
      <c r="M467" s="1" t="s">
        <v>2889</v>
      </c>
      <c r="N467" s="1" t="s">
        <v>3350</v>
      </c>
      <c r="O467" s="1">
        <v>1</v>
      </c>
      <c r="P467" s="1" t="s">
        <v>3218</v>
      </c>
      <c r="Q467" s="1">
        <v>1999</v>
      </c>
      <c r="R467" s="1" t="s">
        <v>3219</v>
      </c>
      <c r="S467" s="1" t="s">
        <v>27</v>
      </c>
      <c r="T467" s="38">
        <v>1</v>
      </c>
      <c r="AH467" s="1">
        <v>1.46</v>
      </c>
      <c r="EY467" s="1">
        <v>53.7</v>
      </c>
    </row>
    <row r="468" spans="1:155" x14ac:dyDescent="0.2">
      <c r="A468" s="1" t="s">
        <v>3351</v>
      </c>
      <c r="B468" s="1" t="s">
        <v>55</v>
      </c>
      <c r="C468" s="1" t="s">
        <v>236</v>
      </c>
      <c r="E468" s="1">
        <v>35</v>
      </c>
      <c r="F468" s="1" t="s">
        <v>3352</v>
      </c>
      <c r="H468" s="1" t="s">
        <v>3353</v>
      </c>
      <c r="I468" s="1" t="s">
        <v>7</v>
      </c>
      <c r="J468" s="1" t="s">
        <v>3354</v>
      </c>
      <c r="K468" s="1" t="s">
        <v>3355</v>
      </c>
      <c r="L468" s="1" t="s">
        <v>3354</v>
      </c>
      <c r="M468" s="1" t="s">
        <v>2889</v>
      </c>
      <c r="N468" s="1" t="s">
        <v>3356</v>
      </c>
      <c r="O468" s="1">
        <v>1</v>
      </c>
      <c r="P468" s="1" t="s">
        <v>3218</v>
      </c>
      <c r="Q468" s="1">
        <v>1999</v>
      </c>
      <c r="R468" s="1" t="s">
        <v>3219</v>
      </c>
      <c r="S468" s="1" t="s">
        <v>27</v>
      </c>
      <c r="T468" s="38">
        <v>1</v>
      </c>
      <c r="AH468" s="1">
        <v>0.94</v>
      </c>
      <c r="EY468" s="1">
        <v>50.4</v>
      </c>
    </row>
    <row r="469" spans="1:155" x14ac:dyDescent="0.2">
      <c r="A469" s="1" t="s">
        <v>3357</v>
      </c>
      <c r="B469" s="1" t="s">
        <v>55</v>
      </c>
      <c r="C469" s="1" t="s">
        <v>236</v>
      </c>
      <c r="E469" s="1">
        <v>35</v>
      </c>
      <c r="F469" s="1" t="s">
        <v>3358</v>
      </c>
      <c r="H469" s="1" t="s">
        <v>3359</v>
      </c>
      <c r="I469" s="1" t="s">
        <v>7</v>
      </c>
      <c r="J469" s="1" t="s">
        <v>3360</v>
      </c>
      <c r="K469" s="1" t="s">
        <v>3361</v>
      </c>
      <c r="L469" s="1" t="s">
        <v>3360</v>
      </c>
      <c r="M469" s="1" t="s">
        <v>2889</v>
      </c>
      <c r="N469" s="1" t="s">
        <v>3362</v>
      </c>
      <c r="O469" s="1">
        <v>1</v>
      </c>
      <c r="P469" s="1" t="s">
        <v>3218</v>
      </c>
      <c r="Q469" s="1">
        <v>1999</v>
      </c>
      <c r="R469" s="1" t="s">
        <v>3219</v>
      </c>
      <c r="S469" s="1" t="s">
        <v>27</v>
      </c>
      <c r="T469" s="38">
        <v>1</v>
      </c>
      <c r="AH469" s="1">
        <v>1.8</v>
      </c>
      <c r="EY469" s="1">
        <v>52.7</v>
      </c>
    </row>
    <row r="470" spans="1:155" x14ac:dyDescent="0.2">
      <c r="A470" s="1" t="s">
        <v>3363</v>
      </c>
      <c r="B470" s="1" t="s">
        <v>55</v>
      </c>
      <c r="C470" s="1" t="s">
        <v>236</v>
      </c>
      <c r="E470" s="1">
        <v>35</v>
      </c>
      <c r="F470" s="1" t="s">
        <v>3364</v>
      </c>
      <c r="H470" s="1" t="s">
        <v>3365</v>
      </c>
      <c r="I470" s="1" t="s">
        <v>7</v>
      </c>
      <c r="J470" s="1" t="s">
        <v>3366</v>
      </c>
      <c r="K470" s="1" t="s">
        <v>3367</v>
      </c>
      <c r="L470" s="1" t="s">
        <v>3368</v>
      </c>
      <c r="M470" s="1" t="s">
        <v>757</v>
      </c>
      <c r="N470" s="1" t="s">
        <v>3369</v>
      </c>
      <c r="O470" s="1">
        <v>1</v>
      </c>
      <c r="P470" s="1" t="s">
        <v>3218</v>
      </c>
      <c r="Q470" s="1">
        <v>1999</v>
      </c>
      <c r="R470" s="1" t="s">
        <v>3219</v>
      </c>
      <c r="S470" s="1" t="s">
        <v>27</v>
      </c>
      <c r="T470" s="38">
        <v>1</v>
      </c>
      <c r="AH470" s="1">
        <v>4.34</v>
      </c>
      <c r="EY470" s="1">
        <v>86.5</v>
      </c>
    </row>
    <row r="471" spans="1:155" x14ac:dyDescent="0.2">
      <c r="A471" s="1" t="s">
        <v>3370</v>
      </c>
      <c r="B471" s="1" t="s">
        <v>55</v>
      </c>
      <c r="C471" s="1" t="s">
        <v>236</v>
      </c>
      <c r="E471" s="1">
        <v>31</v>
      </c>
      <c r="F471" s="1" t="s">
        <v>3371</v>
      </c>
      <c r="H471" s="1" t="s">
        <v>3372</v>
      </c>
      <c r="I471" s="1" t="s">
        <v>7</v>
      </c>
      <c r="J471" s="1" t="s">
        <v>3373</v>
      </c>
      <c r="K471" s="1" t="s">
        <v>3374</v>
      </c>
      <c r="L471" s="1" t="s">
        <v>3373</v>
      </c>
      <c r="M471" s="1" t="s">
        <v>2889</v>
      </c>
      <c r="N471" s="1" t="s">
        <v>3375</v>
      </c>
      <c r="O471" s="1">
        <v>1</v>
      </c>
      <c r="P471" s="1" t="s">
        <v>3218</v>
      </c>
      <c r="Q471" s="1">
        <v>1999</v>
      </c>
      <c r="R471" s="1" t="s">
        <v>3219</v>
      </c>
      <c r="S471" s="1" t="s">
        <v>27</v>
      </c>
      <c r="T471" s="38">
        <v>1</v>
      </c>
      <c r="AH471" s="1">
        <v>0.47</v>
      </c>
      <c r="EY471" s="1">
        <v>39.200000000000003</v>
      </c>
    </row>
    <row r="472" spans="1:155" x14ac:dyDescent="0.2">
      <c r="A472" s="1" t="s">
        <v>3376</v>
      </c>
      <c r="B472" s="1" t="s">
        <v>55</v>
      </c>
      <c r="C472" s="1" t="s">
        <v>236</v>
      </c>
      <c r="E472" s="1">
        <v>31</v>
      </c>
      <c r="F472" s="1" t="s">
        <v>3377</v>
      </c>
      <c r="H472" s="1" t="s">
        <v>3243</v>
      </c>
      <c r="I472" s="1" t="s">
        <v>7</v>
      </c>
      <c r="J472" s="1" t="s">
        <v>3378</v>
      </c>
      <c r="K472" s="1" t="s">
        <v>3379</v>
      </c>
      <c r="L472" s="1" t="s">
        <v>3380</v>
      </c>
      <c r="M472" s="1" t="s">
        <v>2889</v>
      </c>
      <c r="N472" s="1" t="s">
        <v>3381</v>
      </c>
      <c r="O472" s="1">
        <v>1</v>
      </c>
      <c r="P472" s="1" t="s">
        <v>3218</v>
      </c>
      <c r="Q472" s="1">
        <v>1999</v>
      </c>
      <c r="R472" s="1" t="s">
        <v>3219</v>
      </c>
      <c r="S472" s="1" t="s">
        <v>27</v>
      </c>
      <c r="T472" s="38">
        <v>1</v>
      </c>
      <c r="AH472" s="1">
        <v>0.24</v>
      </c>
      <c r="EY472" s="1">
        <v>48.3</v>
      </c>
    </row>
    <row r="473" spans="1:155" x14ac:dyDescent="0.2">
      <c r="A473" s="1" t="s">
        <v>3382</v>
      </c>
      <c r="B473" s="1" t="s">
        <v>55</v>
      </c>
      <c r="C473" s="1" t="s">
        <v>236</v>
      </c>
      <c r="E473" s="1">
        <v>11</v>
      </c>
      <c r="F473" s="1" t="s">
        <v>2131</v>
      </c>
      <c r="H473" s="1" t="s">
        <v>3383</v>
      </c>
      <c r="I473" s="1" t="s">
        <v>7</v>
      </c>
      <c r="J473" s="1" t="s">
        <v>3384</v>
      </c>
      <c r="K473" s="1" t="s">
        <v>2135</v>
      </c>
      <c r="L473" s="1" t="s">
        <v>2134</v>
      </c>
      <c r="O473" s="1">
        <v>1</v>
      </c>
      <c r="P473" s="1" t="s">
        <v>3218</v>
      </c>
      <c r="Q473" s="1">
        <v>1999</v>
      </c>
      <c r="R473" s="1" t="s">
        <v>3219</v>
      </c>
      <c r="S473" s="1" t="s">
        <v>27</v>
      </c>
      <c r="T473" s="38">
        <v>1</v>
      </c>
      <c r="EY473" s="1">
        <v>36</v>
      </c>
    </row>
    <row r="474" spans="1:155" x14ac:dyDescent="0.2">
      <c r="A474" s="1" t="s">
        <v>3385</v>
      </c>
      <c r="B474" s="1" t="s">
        <v>55</v>
      </c>
      <c r="C474" s="1" t="s">
        <v>236</v>
      </c>
      <c r="E474" s="1">
        <v>11</v>
      </c>
      <c r="F474" s="1" t="s">
        <v>2123</v>
      </c>
      <c r="H474" s="1" t="s">
        <v>3386</v>
      </c>
      <c r="I474" s="1" t="s">
        <v>7</v>
      </c>
      <c r="J474" s="1" t="s">
        <v>2164</v>
      </c>
      <c r="K474" s="1" t="s">
        <v>2127</v>
      </c>
      <c r="L474" s="1" t="s">
        <v>2164</v>
      </c>
      <c r="O474" s="1">
        <v>1</v>
      </c>
      <c r="P474" s="1" t="s">
        <v>3218</v>
      </c>
      <c r="Q474" s="1">
        <v>1999</v>
      </c>
      <c r="R474" s="1" t="s">
        <v>3219</v>
      </c>
      <c r="S474" s="1" t="s">
        <v>27</v>
      </c>
      <c r="T474" s="38">
        <v>1</v>
      </c>
      <c r="EY474" s="1">
        <v>36.200000000000003</v>
      </c>
    </row>
    <row r="475" spans="1:155" x14ac:dyDescent="0.2">
      <c r="A475" s="1" t="s">
        <v>3387</v>
      </c>
      <c r="B475" s="1" t="s">
        <v>55</v>
      </c>
      <c r="C475" s="1" t="s">
        <v>236</v>
      </c>
      <c r="E475" s="1">
        <v>33</v>
      </c>
      <c r="F475" s="1" t="s">
        <v>3388</v>
      </c>
      <c r="H475" s="1" t="s">
        <v>3389</v>
      </c>
      <c r="I475" s="1" t="s">
        <v>7</v>
      </c>
      <c r="J475" s="1" t="s">
        <v>3390</v>
      </c>
      <c r="K475" s="1" t="s">
        <v>3391</v>
      </c>
      <c r="L475" s="1" t="s">
        <v>3390</v>
      </c>
      <c r="M475" s="1" t="s">
        <v>3315</v>
      </c>
      <c r="N475" s="1" t="s">
        <v>3392</v>
      </c>
      <c r="O475" s="1">
        <v>1</v>
      </c>
      <c r="P475" s="1" t="s">
        <v>3218</v>
      </c>
      <c r="Q475" s="1">
        <v>1999</v>
      </c>
      <c r="R475" s="1" t="s">
        <v>3219</v>
      </c>
      <c r="S475" s="1" t="s">
        <v>27</v>
      </c>
      <c r="T475" s="38">
        <v>1</v>
      </c>
      <c r="AH475" s="1">
        <v>0.47</v>
      </c>
      <c r="EY475" s="1">
        <v>32.9</v>
      </c>
    </row>
    <row r="476" spans="1:155" x14ac:dyDescent="0.2">
      <c r="A476" s="1" t="s">
        <v>3393</v>
      </c>
      <c r="B476" s="1" t="s">
        <v>55</v>
      </c>
      <c r="C476" s="1" t="s">
        <v>236</v>
      </c>
      <c r="E476" s="1">
        <v>35</v>
      </c>
      <c r="F476" s="1" t="s">
        <v>3394</v>
      </c>
      <c r="H476" s="1" t="s">
        <v>3395</v>
      </c>
      <c r="I476" s="1" t="s">
        <v>7</v>
      </c>
      <c r="J476" s="1" t="s">
        <v>3396</v>
      </c>
      <c r="K476" s="1" t="s">
        <v>3397</v>
      </c>
      <c r="L476" s="1" t="s">
        <v>3398</v>
      </c>
      <c r="M476" s="1" t="s">
        <v>816</v>
      </c>
      <c r="N476" s="1" t="s">
        <v>3346</v>
      </c>
      <c r="O476" s="1">
        <v>1</v>
      </c>
      <c r="P476" s="1" t="s">
        <v>3218</v>
      </c>
      <c r="Q476" s="1">
        <v>1999</v>
      </c>
      <c r="R476" s="1" t="s">
        <v>3219</v>
      </c>
      <c r="S476" s="1" t="s">
        <v>27</v>
      </c>
      <c r="T476" s="38">
        <v>1</v>
      </c>
      <c r="AH476" s="1">
        <v>3.15</v>
      </c>
      <c r="EY476" s="1">
        <v>54.6</v>
      </c>
    </row>
    <row r="477" spans="1:155" x14ac:dyDescent="0.2">
      <c r="A477" s="1" t="s">
        <v>3399</v>
      </c>
      <c r="B477" s="1" t="s">
        <v>55</v>
      </c>
      <c r="C477" s="1" t="s">
        <v>236</v>
      </c>
      <c r="E477" s="1">
        <v>33</v>
      </c>
      <c r="F477" s="1" t="s">
        <v>3400</v>
      </c>
      <c r="H477" s="1" t="s">
        <v>3401</v>
      </c>
      <c r="I477" s="1" t="s">
        <v>7</v>
      </c>
      <c r="J477" s="1" t="s">
        <v>3402</v>
      </c>
      <c r="K477" s="1" t="s">
        <v>3403</v>
      </c>
      <c r="L477" s="1" t="s">
        <v>3402</v>
      </c>
      <c r="M477" s="1" t="s">
        <v>2889</v>
      </c>
      <c r="N477" s="1" t="s">
        <v>3404</v>
      </c>
      <c r="O477" s="1">
        <v>1</v>
      </c>
      <c r="P477" s="1" t="s">
        <v>3218</v>
      </c>
      <c r="Q477" s="1">
        <v>1999</v>
      </c>
      <c r="R477" s="1" t="s">
        <v>3219</v>
      </c>
      <c r="S477" s="1" t="s">
        <v>27</v>
      </c>
      <c r="T477" s="38">
        <v>1</v>
      </c>
      <c r="AH477" s="1">
        <v>3.19</v>
      </c>
      <c r="EY477" s="1">
        <v>82.7</v>
      </c>
    </row>
    <row r="478" spans="1:155" x14ac:dyDescent="0.2">
      <c r="A478" s="1" t="s">
        <v>3405</v>
      </c>
      <c r="B478" s="1" t="s">
        <v>55</v>
      </c>
      <c r="C478" s="1" t="s">
        <v>236</v>
      </c>
      <c r="E478" s="1">
        <v>33</v>
      </c>
      <c r="F478" s="1" t="s">
        <v>3406</v>
      </c>
      <c r="H478" s="1" t="s">
        <v>3407</v>
      </c>
      <c r="I478" s="1" t="s">
        <v>7</v>
      </c>
      <c r="J478" s="1" t="s">
        <v>3408</v>
      </c>
      <c r="K478" s="1" t="s">
        <v>3409</v>
      </c>
      <c r="L478" s="1" t="s">
        <v>3410</v>
      </c>
      <c r="N478" s="1" t="s">
        <v>3411</v>
      </c>
      <c r="O478" s="1">
        <v>1</v>
      </c>
      <c r="P478" s="1" t="s">
        <v>3218</v>
      </c>
      <c r="Q478" s="1">
        <v>1999</v>
      </c>
      <c r="R478" s="1" t="s">
        <v>3219</v>
      </c>
      <c r="S478" s="1" t="s">
        <v>27</v>
      </c>
      <c r="T478" s="38">
        <v>1</v>
      </c>
      <c r="AH478" s="1">
        <v>2.35</v>
      </c>
      <c r="EY478" s="1">
        <v>53.8</v>
      </c>
    </row>
    <row r="479" spans="1:155" x14ac:dyDescent="0.2">
      <c r="A479" s="1" t="s">
        <v>3412</v>
      </c>
      <c r="B479" s="1" t="s">
        <v>55</v>
      </c>
      <c r="C479" s="1" t="s">
        <v>236</v>
      </c>
      <c r="E479" s="1">
        <v>34</v>
      </c>
      <c r="F479" s="1" t="s">
        <v>3406</v>
      </c>
      <c r="H479" s="1" t="s">
        <v>3407</v>
      </c>
      <c r="I479" s="1" t="s">
        <v>7</v>
      </c>
      <c r="J479" s="1" t="s">
        <v>3408</v>
      </c>
      <c r="K479" s="1" t="s">
        <v>3409</v>
      </c>
      <c r="L479" s="1" t="s">
        <v>3410</v>
      </c>
      <c r="M479" s="1" t="s">
        <v>480</v>
      </c>
      <c r="N479" s="1" t="s">
        <v>3413</v>
      </c>
      <c r="O479" s="1">
        <v>1</v>
      </c>
      <c r="P479" s="1" t="s">
        <v>3218</v>
      </c>
      <c r="Q479" s="1">
        <v>1999</v>
      </c>
      <c r="R479" s="1" t="s">
        <v>3219</v>
      </c>
      <c r="S479" s="1" t="s">
        <v>27</v>
      </c>
      <c r="T479" s="38">
        <v>1</v>
      </c>
      <c r="AH479" s="1">
        <v>2.2000000000000002</v>
      </c>
      <c r="EY479" s="1">
        <v>45.9</v>
      </c>
    </row>
    <row r="480" spans="1:155" x14ac:dyDescent="0.2">
      <c r="A480" s="1" t="s">
        <v>3414</v>
      </c>
      <c r="B480" s="1" t="s">
        <v>55</v>
      </c>
      <c r="C480" s="1" t="s">
        <v>236</v>
      </c>
      <c r="E480" s="1">
        <v>33</v>
      </c>
      <c r="F480" s="1" t="s">
        <v>3415</v>
      </c>
      <c r="H480" s="1" t="s">
        <v>3416</v>
      </c>
      <c r="I480" s="1" t="s">
        <v>7</v>
      </c>
      <c r="J480" s="1" t="s">
        <v>3417</v>
      </c>
      <c r="L480" s="1" t="s">
        <v>3418</v>
      </c>
      <c r="M480" s="1" t="s">
        <v>816</v>
      </c>
      <c r="N480" s="1" t="s">
        <v>3419</v>
      </c>
      <c r="O480" s="1">
        <v>1</v>
      </c>
      <c r="P480" s="1" t="s">
        <v>3218</v>
      </c>
      <c r="Q480" s="1">
        <v>1999</v>
      </c>
      <c r="R480" s="1" t="s">
        <v>3219</v>
      </c>
      <c r="S480" s="1" t="s">
        <v>27</v>
      </c>
      <c r="T480" s="38">
        <v>1</v>
      </c>
      <c r="AH480" s="1">
        <v>4.63</v>
      </c>
      <c r="EY480" s="1">
        <v>61</v>
      </c>
    </row>
    <row r="481" spans="1:155" x14ac:dyDescent="0.2">
      <c r="A481" s="1" t="s">
        <v>3420</v>
      </c>
      <c r="B481" s="1" t="s">
        <v>55</v>
      </c>
      <c r="C481" s="1" t="s">
        <v>236</v>
      </c>
      <c r="E481" s="1">
        <v>33</v>
      </c>
      <c r="F481" s="1" t="s">
        <v>3421</v>
      </c>
      <c r="H481" s="1" t="s">
        <v>3422</v>
      </c>
      <c r="I481" s="1" t="s">
        <v>7</v>
      </c>
      <c r="J481" s="1" t="s">
        <v>3423</v>
      </c>
      <c r="K481" s="1" t="s">
        <v>3424</v>
      </c>
      <c r="L481" s="1" t="s">
        <v>3423</v>
      </c>
      <c r="M481" s="1" t="s">
        <v>2889</v>
      </c>
      <c r="O481" s="1">
        <v>1</v>
      </c>
      <c r="P481" s="1" t="s">
        <v>3218</v>
      </c>
      <c r="Q481" s="1">
        <v>1999</v>
      </c>
      <c r="R481" s="1" t="s">
        <v>3219</v>
      </c>
      <c r="S481" s="1" t="s">
        <v>27</v>
      </c>
      <c r="T481" s="38">
        <v>1</v>
      </c>
      <c r="AH481" s="1">
        <v>0.67</v>
      </c>
      <c r="EY481" s="1">
        <v>53.7</v>
      </c>
    </row>
    <row r="482" spans="1:155" x14ac:dyDescent="0.2">
      <c r="A482" s="1" t="s">
        <v>3425</v>
      </c>
      <c r="B482" s="1" t="s">
        <v>55</v>
      </c>
      <c r="C482" s="1" t="s">
        <v>236</v>
      </c>
      <c r="E482" s="1">
        <v>33</v>
      </c>
      <c r="F482" s="1" t="s">
        <v>3415</v>
      </c>
      <c r="H482" s="1" t="s">
        <v>3416</v>
      </c>
      <c r="I482" s="1" t="s">
        <v>7</v>
      </c>
      <c r="J482" s="1" t="s">
        <v>3426</v>
      </c>
      <c r="L482" s="1" t="s">
        <v>3418</v>
      </c>
      <c r="M482" s="1" t="s">
        <v>2889</v>
      </c>
      <c r="N482" s="1" t="s">
        <v>3427</v>
      </c>
      <c r="O482" s="1">
        <v>1</v>
      </c>
      <c r="P482" s="1" t="s">
        <v>3218</v>
      </c>
      <c r="Q482" s="1">
        <v>1999</v>
      </c>
      <c r="R482" s="1" t="s">
        <v>3219</v>
      </c>
      <c r="S482" s="1" t="s">
        <v>27</v>
      </c>
      <c r="T482" s="38">
        <v>1</v>
      </c>
      <c r="AH482" s="1">
        <v>0.93</v>
      </c>
      <c r="EY482" s="1">
        <v>63.8</v>
      </c>
    </row>
    <row r="483" spans="1:155" x14ac:dyDescent="0.2">
      <c r="A483" s="1" t="s">
        <v>3428</v>
      </c>
      <c r="B483" s="1" t="s">
        <v>55</v>
      </c>
      <c r="C483" s="1" t="s">
        <v>236</v>
      </c>
      <c r="E483" s="1">
        <v>37</v>
      </c>
      <c r="F483" s="1" t="s">
        <v>3429</v>
      </c>
      <c r="H483" s="1" t="s">
        <v>3430</v>
      </c>
      <c r="I483" s="1" t="s">
        <v>7</v>
      </c>
      <c r="J483" s="1" t="s">
        <v>3431</v>
      </c>
      <c r="L483" s="1" t="s">
        <v>3432</v>
      </c>
      <c r="M483" s="1" t="s">
        <v>480</v>
      </c>
      <c r="O483" s="1">
        <v>1</v>
      </c>
      <c r="P483" s="1" t="s">
        <v>3218</v>
      </c>
      <c r="Q483" s="1">
        <v>1999</v>
      </c>
      <c r="R483" s="1" t="s">
        <v>3219</v>
      </c>
      <c r="S483" s="1" t="s">
        <v>27</v>
      </c>
      <c r="T483" s="38">
        <v>1</v>
      </c>
      <c r="AH483" s="1">
        <v>1.74</v>
      </c>
      <c r="EY483" s="1">
        <v>52.5</v>
      </c>
    </row>
    <row r="484" spans="1:155" x14ac:dyDescent="0.2">
      <c r="A484" s="1" t="s">
        <v>3433</v>
      </c>
      <c r="B484" s="1" t="s">
        <v>55</v>
      </c>
      <c r="C484" s="1" t="s">
        <v>236</v>
      </c>
      <c r="E484" s="1">
        <v>37</v>
      </c>
      <c r="F484" s="1" t="s">
        <v>3434</v>
      </c>
      <c r="H484" s="1" t="s">
        <v>3435</v>
      </c>
      <c r="I484" s="1" t="s">
        <v>7</v>
      </c>
      <c r="J484" s="1" t="s">
        <v>3436</v>
      </c>
      <c r="K484" s="1" t="s">
        <v>3437</v>
      </c>
      <c r="L484" s="1" t="s">
        <v>3436</v>
      </c>
      <c r="M484" s="1" t="s">
        <v>3225</v>
      </c>
      <c r="N484" s="1" t="s">
        <v>3438</v>
      </c>
      <c r="O484" s="1">
        <v>1</v>
      </c>
      <c r="P484" s="1" t="s">
        <v>3218</v>
      </c>
      <c r="Q484" s="1">
        <v>1999</v>
      </c>
      <c r="R484" s="1" t="s">
        <v>3219</v>
      </c>
      <c r="S484" s="1" t="s">
        <v>27</v>
      </c>
      <c r="T484" s="38">
        <v>1</v>
      </c>
      <c r="AH484" s="1">
        <v>6</v>
      </c>
      <c r="EY484" s="1">
        <v>97.4</v>
      </c>
    </row>
    <row r="485" spans="1:155" x14ac:dyDescent="0.2">
      <c r="A485" s="1" t="s">
        <v>3439</v>
      </c>
      <c r="B485" s="1" t="s">
        <v>55</v>
      </c>
      <c r="C485" s="1" t="s">
        <v>236</v>
      </c>
      <c r="E485" s="1">
        <v>33</v>
      </c>
      <c r="F485" s="1" t="s">
        <v>3440</v>
      </c>
      <c r="H485" s="1" t="s">
        <v>3441</v>
      </c>
      <c r="I485" s="1" t="s">
        <v>7</v>
      </c>
      <c r="J485" s="1" t="s">
        <v>3442</v>
      </c>
      <c r="K485" s="1" t="s">
        <v>3443</v>
      </c>
      <c r="L485" s="1" t="s">
        <v>3442</v>
      </c>
      <c r="M485" s="1" t="s">
        <v>748</v>
      </c>
      <c r="O485" s="1">
        <v>1</v>
      </c>
      <c r="P485" s="1" t="s">
        <v>3218</v>
      </c>
      <c r="Q485" s="1">
        <v>1999</v>
      </c>
      <c r="R485" s="1" t="s">
        <v>3219</v>
      </c>
      <c r="S485" s="1" t="s">
        <v>27</v>
      </c>
      <c r="T485" s="38">
        <v>1</v>
      </c>
      <c r="EY485" s="1">
        <v>90.6</v>
      </c>
    </row>
    <row r="486" spans="1:155" x14ac:dyDescent="0.2">
      <c r="A486" s="1" t="s">
        <v>3444</v>
      </c>
      <c r="B486" s="1" t="s">
        <v>55</v>
      </c>
      <c r="C486" s="1" t="s">
        <v>236</v>
      </c>
      <c r="E486" s="1">
        <v>33</v>
      </c>
      <c r="F486" s="1" t="s">
        <v>3445</v>
      </c>
      <c r="H486" s="1" t="s">
        <v>3446</v>
      </c>
      <c r="I486" s="1" t="s">
        <v>7</v>
      </c>
      <c r="J486" s="1" t="s">
        <v>3447</v>
      </c>
      <c r="K486" s="1" t="s">
        <v>3448</v>
      </c>
      <c r="L486" s="1" t="s">
        <v>3447</v>
      </c>
      <c r="M486" s="1" t="s">
        <v>748</v>
      </c>
      <c r="O486" s="1">
        <v>1</v>
      </c>
      <c r="P486" s="1" t="s">
        <v>3218</v>
      </c>
      <c r="Q486" s="1">
        <v>1999</v>
      </c>
      <c r="R486" s="1" t="s">
        <v>3219</v>
      </c>
      <c r="S486" s="1" t="s">
        <v>27</v>
      </c>
      <c r="T486" s="38">
        <v>1</v>
      </c>
      <c r="AH486" s="1">
        <v>1.1000000000000001</v>
      </c>
      <c r="EY486" s="1">
        <v>107</v>
      </c>
    </row>
    <row r="487" spans="1:155" x14ac:dyDescent="0.2">
      <c r="A487" s="1" t="s">
        <v>3449</v>
      </c>
      <c r="B487" s="1" t="s">
        <v>55</v>
      </c>
      <c r="C487" s="1" t="s">
        <v>236</v>
      </c>
      <c r="E487" s="1">
        <v>33</v>
      </c>
      <c r="F487" s="1" t="s">
        <v>3450</v>
      </c>
      <c r="H487" s="1" t="s">
        <v>3451</v>
      </c>
      <c r="I487" s="1" t="s">
        <v>7</v>
      </c>
      <c r="J487" s="1" t="s">
        <v>3452</v>
      </c>
      <c r="K487" s="1" t="s">
        <v>3453</v>
      </c>
      <c r="L487" s="1" t="s">
        <v>3452</v>
      </c>
      <c r="M487" s="1" t="s">
        <v>2889</v>
      </c>
      <c r="N487" s="1" t="s">
        <v>3454</v>
      </c>
      <c r="O487" s="1">
        <v>1</v>
      </c>
      <c r="P487" s="1" t="s">
        <v>3218</v>
      </c>
      <c r="Q487" s="1">
        <v>1999</v>
      </c>
      <c r="R487" s="1" t="s">
        <v>3219</v>
      </c>
      <c r="S487" s="1" t="s">
        <v>27</v>
      </c>
      <c r="T487" s="38">
        <v>1</v>
      </c>
      <c r="AH487" s="1">
        <v>1.85</v>
      </c>
      <c r="EY487" s="1">
        <v>88.2</v>
      </c>
    </row>
    <row r="488" spans="1:155" x14ac:dyDescent="0.2">
      <c r="A488" s="1" t="s">
        <v>3455</v>
      </c>
      <c r="B488" s="1" t="s">
        <v>55</v>
      </c>
      <c r="C488" s="1" t="s">
        <v>236</v>
      </c>
      <c r="E488" s="1">
        <v>33</v>
      </c>
      <c r="F488" s="1" t="s">
        <v>3456</v>
      </c>
      <c r="H488" s="1" t="s">
        <v>3457</v>
      </c>
      <c r="I488" s="1" t="s">
        <v>7</v>
      </c>
      <c r="J488" s="1" t="s">
        <v>3458</v>
      </c>
      <c r="K488" s="1" t="s">
        <v>3459</v>
      </c>
      <c r="L488" s="1" t="s">
        <v>3460</v>
      </c>
      <c r="M488" s="1" t="s">
        <v>480</v>
      </c>
      <c r="N488" s="1" t="s">
        <v>3461</v>
      </c>
      <c r="O488" s="1">
        <v>1</v>
      </c>
      <c r="P488" s="1" t="s">
        <v>3218</v>
      </c>
      <c r="Q488" s="1">
        <v>1999</v>
      </c>
      <c r="R488" s="1" t="s">
        <v>3219</v>
      </c>
      <c r="S488" s="1" t="s">
        <v>27</v>
      </c>
      <c r="T488" s="38">
        <v>1</v>
      </c>
      <c r="AH488" s="1">
        <v>3.26</v>
      </c>
      <c r="EY488" s="1">
        <v>148</v>
      </c>
    </row>
    <row r="489" spans="1:155" x14ac:dyDescent="0.2">
      <c r="A489" s="1" t="s">
        <v>3462</v>
      </c>
      <c r="B489" s="1" t="s">
        <v>55</v>
      </c>
      <c r="C489" s="1" t="s">
        <v>236</v>
      </c>
      <c r="E489" s="1">
        <v>33</v>
      </c>
      <c r="F489" s="1" t="s">
        <v>3463</v>
      </c>
      <c r="H489" s="1" t="s">
        <v>3464</v>
      </c>
      <c r="I489" s="1" t="s">
        <v>7</v>
      </c>
      <c r="J489" s="1" t="s">
        <v>3465</v>
      </c>
      <c r="K489" s="1" t="s">
        <v>3466</v>
      </c>
      <c r="L489" s="1" t="s">
        <v>3465</v>
      </c>
      <c r="M489" s="1" t="s">
        <v>2889</v>
      </c>
      <c r="N489" s="1" t="s">
        <v>3467</v>
      </c>
      <c r="O489" s="1">
        <v>1</v>
      </c>
      <c r="P489" s="1" t="s">
        <v>3218</v>
      </c>
      <c r="Q489" s="1">
        <v>1999</v>
      </c>
      <c r="R489" s="1" t="s">
        <v>3219</v>
      </c>
      <c r="S489" s="1" t="s">
        <v>27</v>
      </c>
      <c r="T489" s="38">
        <v>1</v>
      </c>
      <c r="AH489" s="1">
        <v>7.7</v>
      </c>
      <c r="EY489" s="1">
        <v>95.5</v>
      </c>
    </row>
    <row r="490" spans="1:155" x14ac:dyDescent="0.2">
      <c r="A490" s="1" t="s">
        <v>3468</v>
      </c>
      <c r="B490" s="1" t="s">
        <v>55</v>
      </c>
      <c r="C490" s="1" t="s">
        <v>236</v>
      </c>
      <c r="E490" s="1">
        <v>33</v>
      </c>
      <c r="F490" s="1" t="s">
        <v>3469</v>
      </c>
      <c r="H490" s="1" t="s">
        <v>3470</v>
      </c>
      <c r="I490" s="1" t="s">
        <v>7</v>
      </c>
      <c r="J490" s="1" t="s">
        <v>3471</v>
      </c>
      <c r="K490" s="1" t="s">
        <v>3472</v>
      </c>
      <c r="L490" s="1" t="s">
        <v>3473</v>
      </c>
      <c r="M490" s="1" t="s">
        <v>480</v>
      </c>
      <c r="O490" s="1">
        <v>1</v>
      </c>
      <c r="P490" s="1" t="s">
        <v>3218</v>
      </c>
      <c r="Q490" s="1">
        <v>1999</v>
      </c>
      <c r="R490" s="1" t="s">
        <v>3219</v>
      </c>
      <c r="S490" s="1" t="s">
        <v>27</v>
      </c>
      <c r="T490" s="38">
        <v>1</v>
      </c>
      <c r="AH490" s="1">
        <v>5.03</v>
      </c>
      <c r="EY490" s="1">
        <v>80.599999999999994</v>
      </c>
    </row>
    <row r="491" spans="1:155" x14ac:dyDescent="0.2">
      <c r="A491" s="1" t="s">
        <v>3474</v>
      </c>
      <c r="B491" s="1" t="s">
        <v>55</v>
      </c>
      <c r="C491" s="1" t="s">
        <v>236</v>
      </c>
      <c r="E491" s="1">
        <v>33</v>
      </c>
      <c r="F491" s="1" t="s">
        <v>2778</v>
      </c>
      <c r="H491" s="1" t="s">
        <v>3475</v>
      </c>
      <c r="I491" s="1" t="s">
        <v>7</v>
      </c>
      <c r="J491" s="1" t="s">
        <v>3476</v>
      </c>
      <c r="K491" s="1" t="s">
        <v>2781</v>
      </c>
      <c r="L491" s="1" t="s">
        <v>3476</v>
      </c>
      <c r="M491" s="1" t="s">
        <v>3315</v>
      </c>
      <c r="N491" s="1" t="s">
        <v>3477</v>
      </c>
      <c r="O491" s="1">
        <v>1</v>
      </c>
      <c r="P491" s="1" t="s">
        <v>3218</v>
      </c>
      <c r="Q491" s="1">
        <v>1999</v>
      </c>
      <c r="R491" s="1" t="s">
        <v>3219</v>
      </c>
      <c r="S491" s="1" t="s">
        <v>27</v>
      </c>
      <c r="T491" s="38">
        <v>1</v>
      </c>
      <c r="AH491" s="1">
        <v>0.62</v>
      </c>
      <c r="EY491" s="1">
        <v>46.2</v>
      </c>
    </row>
    <row r="492" spans="1:155" x14ac:dyDescent="0.2">
      <c r="A492" s="1" t="s">
        <v>3478</v>
      </c>
      <c r="B492" s="1" t="s">
        <v>55</v>
      </c>
      <c r="C492" s="1" t="s">
        <v>236</v>
      </c>
      <c r="E492" s="1">
        <v>33</v>
      </c>
      <c r="F492" s="1" t="s">
        <v>3479</v>
      </c>
      <c r="H492" s="1" t="s">
        <v>3480</v>
      </c>
      <c r="I492" s="1" t="s">
        <v>7</v>
      </c>
      <c r="J492" s="1" t="s">
        <v>3481</v>
      </c>
      <c r="K492" s="1" t="s">
        <v>3482</v>
      </c>
      <c r="L492" s="1" t="s">
        <v>3483</v>
      </c>
      <c r="O492" s="1">
        <v>1</v>
      </c>
      <c r="P492" s="1" t="s">
        <v>3218</v>
      </c>
      <c r="Q492" s="1">
        <v>1999</v>
      </c>
      <c r="R492" s="1" t="s">
        <v>3219</v>
      </c>
      <c r="S492" s="1" t="s">
        <v>27</v>
      </c>
      <c r="T492" s="38">
        <v>1</v>
      </c>
      <c r="AH492" s="1">
        <v>2.2400000000000002</v>
      </c>
      <c r="EY492" s="1">
        <v>62.9</v>
      </c>
    </row>
    <row r="493" spans="1:155" x14ac:dyDescent="0.2">
      <c r="A493" s="1" t="s">
        <v>3484</v>
      </c>
      <c r="B493" s="1" t="s">
        <v>55</v>
      </c>
      <c r="C493" s="1" t="s">
        <v>236</v>
      </c>
      <c r="E493" s="1">
        <v>33</v>
      </c>
      <c r="F493" s="1" t="s">
        <v>3485</v>
      </c>
      <c r="H493" s="1" t="s">
        <v>3486</v>
      </c>
      <c r="I493" s="1" t="s">
        <v>7</v>
      </c>
      <c r="J493" s="1" t="s">
        <v>3487</v>
      </c>
      <c r="K493" s="1" t="s">
        <v>3488</v>
      </c>
      <c r="L493" s="1" t="s">
        <v>3489</v>
      </c>
      <c r="M493" s="1" t="s">
        <v>2889</v>
      </c>
      <c r="N493" s="1" t="s">
        <v>3490</v>
      </c>
      <c r="O493" s="1">
        <v>1</v>
      </c>
      <c r="P493" s="1" t="s">
        <v>3218</v>
      </c>
      <c r="Q493" s="1">
        <v>1999</v>
      </c>
      <c r="R493" s="1" t="s">
        <v>3219</v>
      </c>
      <c r="S493" s="1" t="s">
        <v>27</v>
      </c>
      <c r="T493" s="38">
        <v>1</v>
      </c>
      <c r="AH493" s="1">
        <v>1.01</v>
      </c>
      <c r="EY493" s="1">
        <v>48.7</v>
      </c>
    </row>
    <row r="494" spans="1:155" x14ac:dyDescent="0.2">
      <c r="A494" s="1" t="s">
        <v>3491</v>
      </c>
      <c r="B494" s="1" t="s">
        <v>55</v>
      </c>
      <c r="C494" s="1" t="s">
        <v>236</v>
      </c>
      <c r="E494" s="1">
        <v>34</v>
      </c>
      <c r="F494" s="1" t="s">
        <v>3485</v>
      </c>
      <c r="H494" s="1" t="s">
        <v>3486</v>
      </c>
      <c r="I494" s="1" t="s">
        <v>7</v>
      </c>
      <c r="J494" s="1" t="s">
        <v>3487</v>
      </c>
      <c r="K494" s="1" t="s">
        <v>3488</v>
      </c>
      <c r="L494" s="1" t="s">
        <v>3489</v>
      </c>
      <c r="O494" s="1">
        <v>1</v>
      </c>
      <c r="P494" s="1" t="s">
        <v>3218</v>
      </c>
      <c r="Q494" s="1">
        <v>1999</v>
      </c>
      <c r="R494" s="1" t="s">
        <v>3219</v>
      </c>
      <c r="S494" s="1" t="s">
        <v>27</v>
      </c>
      <c r="T494" s="38">
        <v>1</v>
      </c>
      <c r="AH494" s="1">
        <v>0.89</v>
      </c>
      <c r="EY494" s="1">
        <v>43.1</v>
      </c>
    </row>
    <row r="495" spans="1:155" x14ac:dyDescent="0.2">
      <c r="A495" s="1" t="s">
        <v>3492</v>
      </c>
      <c r="B495" s="1" t="s">
        <v>55</v>
      </c>
      <c r="C495" s="1" t="s">
        <v>236</v>
      </c>
      <c r="E495" s="1">
        <v>38</v>
      </c>
      <c r="F495" s="1" t="s">
        <v>3493</v>
      </c>
      <c r="H495" s="1" t="s">
        <v>3494</v>
      </c>
      <c r="I495" s="1" t="s">
        <v>7</v>
      </c>
      <c r="J495" s="1" t="s">
        <v>3495</v>
      </c>
      <c r="K495" s="1" t="s">
        <v>3496</v>
      </c>
      <c r="L495" s="1" t="s">
        <v>3497</v>
      </c>
      <c r="M495" s="1" t="s">
        <v>2889</v>
      </c>
      <c r="N495" s="1" t="s">
        <v>3498</v>
      </c>
      <c r="O495" s="1">
        <v>1</v>
      </c>
      <c r="P495" s="1" t="s">
        <v>3218</v>
      </c>
      <c r="Q495" s="1">
        <v>1999</v>
      </c>
      <c r="R495" s="1" t="s">
        <v>3219</v>
      </c>
      <c r="S495" s="1" t="s">
        <v>27</v>
      </c>
      <c r="T495" s="38">
        <v>1</v>
      </c>
      <c r="AH495" s="1">
        <v>0.67</v>
      </c>
      <c r="EY495" s="1">
        <v>56</v>
      </c>
    </row>
    <row r="496" spans="1:155" x14ac:dyDescent="0.2">
      <c r="A496" s="1" t="s">
        <v>3499</v>
      </c>
      <c r="B496" s="1" t="s">
        <v>55</v>
      </c>
      <c r="C496" s="1" t="s">
        <v>236</v>
      </c>
      <c r="E496" s="1">
        <v>33</v>
      </c>
      <c r="F496" s="1" t="s">
        <v>3500</v>
      </c>
      <c r="H496" s="1" t="s">
        <v>3501</v>
      </c>
      <c r="I496" s="1" t="s">
        <v>7</v>
      </c>
      <c r="J496" s="1" t="s">
        <v>3502</v>
      </c>
      <c r="K496" s="1" t="s">
        <v>3503</v>
      </c>
      <c r="L496" s="1" t="s">
        <v>3504</v>
      </c>
      <c r="M496" s="1" t="s">
        <v>2889</v>
      </c>
      <c r="N496" s="1" t="s">
        <v>3505</v>
      </c>
      <c r="O496" s="1">
        <v>1</v>
      </c>
      <c r="P496" s="1" t="s">
        <v>3218</v>
      </c>
      <c r="Q496" s="1">
        <v>1999</v>
      </c>
      <c r="R496" s="1" t="s">
        <v>3219</v>
      </c>
      <c r="S496" s="1" t="s">
        <v>27</v>
      </c>
      <c r="T496" s="38">
        <v>1</v>
      </c>
      <c r="AH496" s="1">
        <v>0.8</v>
      </c>
      <c r="EY496" s="1">
        <v>63.4</v>
      </c>
    </row>
    <row r="497" spans="1:155" x14ac:dyDescent="0.2">
      <c r="A497" s="1" t="s">
        <v>3506</v>
      </c>
      <c r="B497" s="1" t="s">
        <v>55</v>
      </c>
      <c r="C497" s="1" t="s">
        <v>236</v>
      </c>
      <c r="E497" s="1">
        <v>33</v>
      </c>
      <c r="F497" s="1" t="s">
        <v>2395</v>
      </c>
      <c r="H497" s="1" t="s">
        <v>3501</v>
      </c>
      <c r="I497" s="1" t="s">
        <v>7</v>
      </c>
      <c r="J497" s="1" t="s">
        <v>2397</v>
      </c>
      <c r="K497" s="1" t="s">
        <v>2398</v>
      </c>
      <c r="L497" s="1" t="s">
        <v>2397</v>
      </c>
      <c r="M497" s="1" t="s">
        <v>2889</v>
      </c>
      <c r="N497" s="1" t="s">
        <v>3507</v>
      </c>
      <c r="O497" s="1">
        <v>1</v>
      </c>
      <c r="P497" s="1" t="s">
        <v>3218</v>
      </c>
      <c r="Q497" s="1">
        <v>1999</v>
      </c>
      <c r="R497" s="1" t="s">
        <v>3219</v>
      </c>
      <c r="S497" s="1" t="s">
        <v>27</v>
      </c>
      <c r="T497" s="38">
        <v>1</v>
      </c>
      <c r="AH497" s="1">
        <v>0.83</v>
      </c>
      <c r="EY497" s="1">
        <v>56.4</v>
      </c>
    </row>
    <row r="498" spans="1:155" x14ac:dyDescent="0.2">
      <c r="A498" s="1" t="s">
        <v>3508</v>
      </c>
      <c r="B498" s="1" t="s">
        <v>55</v>
      </c>
      <c r="C498" s="1" t="s">
        <v>236</v>
      </c>
      <c r="E498" s="1">
        <v>33</v>
      </c>
      <c r="F498" s="1" t="s">
        <v>3509</v>
      </c>
      <c r="H498" s="1" t="s">
        <v>3510</v>
      </c>
      <c r="I498" s="1" t="s">
        <v>7</v>
      </c>
      <c r="J498" s="1" t="s">
        <v>3511</v>
      </c>
      <c r="L498" s="1" t="s">
        <v>3512</v>
      </c>
      <c r="M498" s="1" t="s">
        <v>816</v>
      </c>
      <c r="N498" s="1" t="s">
        <v>3513</v>
      </c>
      <c r="O498" s="1">
        <v>1</v>
      </c>
      <c r="P498" s="1" t="s">
        <v>3218</v>
      </c>
      <c r="Q498" s="1">
        <v>1999</v>
      </c>
      <c r="R498" s="1" t="s">
        <v>3219</v>
      </c>
      <c r="S498" s="1" t="s">
        <v>27</v>
      </c>
      <c r="T498" s="38">
        <v>1</v>
      </c>
      <c r="AH498" s="1">
        <v>1.56</v>
      </c>
      <c r="EY498" s="1">
        <v>46.5</v>
      </c>
    </row>
    <row r="499" spans="1:155" x14ac:dyDescent="0.2">
      <c r="A499" s="1" t="s">
        <v>3514</v>
      </c>
      <c r="B499" s="1" t="s">
        <v>55</v>
      </c>
      <c r="C499" s="1" t="s">
        <v>236</v>
      </c>
      <c r="E499" s="1">
        <v>33</v>
      </c>
      <c r="F499" s="1" t="s">
        <v>2004</v>
      </c>
      <c r="H499" s="1" t="s">
        <v>3515</v>
      </c>
      <c r="I499" s="1" t="s">
        <v>7</v>
      </c>
      <c r="J499" s="1" t="s">
        <v>3516</v>
      </c>
      <c r="K499" s="1" t="s">
        <v>2008</v>
      </c>
      <c r="L499" s="1" t="s">
        <v>3517</v>
      </c>
      <c r="N499" s="1" t="s">
        <v>3518</v>
      </c>
      <c r="O499" s="1">
        <v>1</v>
      </c>
      <c r="P499" s="1" t="s">
        <v>3218</v>
      </c>
      <c r="Q499" s="1">
        <v>1999</v>
      </c>
      <c r="R499" s="1" t="s">
        <v>3219</v>
      </c>
      <c r="S499" s="1" t="s">
        <v>27</v>
      </c>
      <c r="T499" s="38">
        <v>1</v>
      </c>
      <c r="AH499" s="1">
        <v>0.85</v>
      </c>
      <c r="EY499" s="1">
        <v>63.7</v>
      </c>
    </row>
    <row r="500" spans="1:155" x14ac:dyDescent="0.2">
      <c r="A500" s="1" t="s">
        <v>3519</v>
      </c>
      <c r="B500" s="1" t="s">
        <v>55</v>
      </c>
      <c r="C500" s="1" t="s">
        <v>236</v>
      </c>
      <c r="E500" s="1">
        <v>33</v>
      </c>
      <c r="F500" s="1" t="s">
        <v>3520</v>
      </c>
      <c r="H500" s="1" t="s">
        <v>3521</v>
      </c>
      <c r="I500" s="1" t="s">
        <v>7</v>
      </c>
      <c r="J500" s="1" t="s">
        <v>3522</v>
      </c>
      <c r="K500" s="1" t="s">
        <v>3523</v>
      </c>
      <c r="L500" s="1" t="s">
        <v>3524</v>
      </c>
      <c r="M500" s="1" t="s">
        <v>2889</v>
      </c>
      <c r="N500" s="1" t="s">
        <v>3525</v>
      </c>
      <c r="O500" s="1">
        <v>1</v>
      </c>
      <c r="P500" s="1" t="s">
        <v>3218</v>
      </c>
      <c r="Q500" s="1">
        <v>1999</v>
      </c>
      <c r="R500" s="1" t="s">
        <v>3219</v>
      </c>
      <c r="S500" s="1" t="s">
        <v>27</v>
      </c>
      <c r="T500" s="38">
        <v>1</v>
      </c>
      <c r="AH500" s="1">
        <v>1.08</v>
      </c>
      <c r="EY500" s="1">
        <v>68.5</v>
      </c>
    </row>
    <row r="501" spans="1:155" x14ac:dyDescent="0.2">
      <c r="A501" s="1" t="s">
        <v>3526</v>
      </c>
      <c r="B501" s="1" t="s">
        <v>55</v>
      </c>
      <c r="C501" s="1" t="s">
        <v>236</v>
      </c>
      <c r="E501" s="1">
        <v>33</v>
      </c>
      <c r="F501" s="1" t="s">
        <v>3527</v>
      </c>
      <c r="H501" s="1" t="s">
        <v>3528</v>
      </c>
      <c r="I501" s="1" t="s">
        <v>7</v>
      </c>
      <c r="J501" s="1" t="s">
        <v>3529</v>
      </c>
      <c r="K501" s="1" t="s">
        <v>3530</v>
      </c>
      <c r="L501" s="1" t="s">
        <v>3531</v>
      </c>
      <c r="M501" s="1" t="s">
        <v>2889</v>
      </c>
      <c r="N501" s="1" t="s">
        <v>3532</v>
      </c>
      <c r="O501" s="1">
        <v>1</v>
      </c>
      <c r="P501" s="1" t="s">
        <v>3218</v>
      </c>
      <c r="Q501" s="1">
        <v>1999</v>
      </c>
      <c r="R501" s="1" t="s">
        <v>3219</v>
      </c>
      <c r="S501" s="1" t="s">
        <v>27</v>
      </c>
      <c r="T501" s="38">
        <v>1</v>
      </c>
      <c r="AH501" s="1">
        <v>0.52</v>
      </c>
      <c r="EY501" s="1">
        <v>53.1</v>
      </c>
    </row>
    <row r="502" spans="1:155" x14ac:dyDescent="0.2">
      <c r="A502" s="1" t="s">
        <v>3533</v>
      </c>
      <c r="B502" s="1" t="s">
        <v>55</v>
      </c>
      <c r="C502" s="1" t="s">
        <v>236</v>
      </c>
      <c r="E502" s="1">
        <v>31</v>
      </c>
      <c r="F502" s="1" t="s">
        <v>3534</v>
      </c>
      <c r="H502" s="1" t="s">
        <v>3535</v>
      </c>
      <c r="I502" s="1" t="s">
        <v>7</v>
      </c>
      <c r="J502" s="1" t="s">
        <v>3536</v>
      </c>
      <c r="K502" s="1" t="s">
        <v>3537</v>
      </c>
      <c r="L502" s="1" t="s">
        <v>3536</v>
      </c>
      <c r="M502" s="1" t="s">
        <v>2889</v>
      </c>
      <c r="N502" s="1" t="s">
        <v>3538</v>
      </c>
      <c r="O502" s="1">
        <v>1</v>
      </c>
      <c r="P502" s="1" t="s">
        <v>3218</v>
      </c>
      <c r="Q502" s="1">
        <v>1999</v>
      </c>
      <c r="R502" s="1" t="s">
        <v>3219</v>
      </c>
      <c r="S502" s="1" t="s">
        <v>27</v>
      </c>
      <c r="T502" s="38">
        <v>1</v>
      </c>
      <c r="AH502" s="1">
        <v>0.54</v>
      </c>
      <c r="EY502" s="1">
        <v>41.6</v>
      </c>
    </row>
    <row r="503" spans="1:155" x14ac:dyDescent="0.2">
      <c r="A503" s="1" t="s">
        <v>3539</v>
      </c>
      <c r="B503" s="1" t="s">
        <v>55</v>
      </c>
      <c r="C503" s="1" t="s">
        <v>236</v>
      </c>
      <c r="E503" s="1">
        <v>33</v>
      </c>
      <c r="F503" s="1" t="s">
        <v>3540</v>
      </c>
      <c r="H503" s="1" t="s">
        <v>3541</v>
      </c>
      <c r="I503" s="1" t="s">
        <v>7</v>
      </c>
      <c r="J503" s="1" t="s">
        <v>3542</v>
      </c>
      <c r="K503" s="1" t="s">
        <v>3543</v>
      </c>
      <c r="L503" s="1" t="s">
        <v>3542</v>
      </c>
      <c r="M503" s="1" t="s">
        <v>2966</v>
      </c>
      <c r="N503" s="1" t="s">
        <v>3544</v>
      </c>
      <c r="O503" s="1">
        <v>1</v>
      </c>
      <c r="P503" s="1" t="s">
        <v>3218</v>
      </c>
      <c r="Q503" s="1">
        <v>1999</v>
      </c>
      <c r="R503" s="1" t="s">
        <v>3219</v>
      </c>
      <c r="S503" s="1" t="s">
        <v>27</v>
      </c>
      <c r="T503" s="38">
        <v>1</v>
      </c>
      <c r="AH503" s="1">
        <v>1.56</v>
      </c>
      <c r="EY503" s="1">
        <v>38.799999999999997</v>
      </c>
    </row>
    <row r="504" spans="1:155" x14ac:dyDescent="0.2">
      <c r="A504" s="1" t="s">
        <v>3545</v>
      </c>
      <c r="B504" s="1" t="s">
        <v>55</v>
      </c>
      <c r="C504" s="1" t="s">
        <v>236</v>
      </c>
      <c r="E504" s="1">
        <v>33</v>
      </c>
      <c r="F504" s="1" t="s">
        <v>3546</v>
      </c>
      <c r="H504" s="1" t="s">
        <v>3547</v>
      </c>
      <c r="I504" s="1" t="s">
        <v>7</v>
      </c>
      <c r="J504" s="1" t="s">
        <v>3548</v>
      </c>
      <c r="L504" s="1" t="s">
        <v>3549</v>
      </c>
      <c r="M504" s="1" t="s">
        <v>480</v>
      </c>
      <c r="N504" s="1" t="s">
        <v>3550</v>
      </c>
      <c r="O504" s="1">
        <v>1</v>
      </c>
      <c r="P504" s="1" t="s">
        <v>3218</v>
      </c>
      <c r="Q504" s="1">
        <v>1999</v>
      </c>
      <c r="R504" s="1" t="s">
        <v>3219</v>
      </c>
      <c r="S504" s="1" t="s">
        <v>27</v>
      </c>
      <c r="T504" s="38">
        <v>1</v>
      </c>
      <c r="AH504" s="1">
        <v>1.2</v>
      </c>
      <c r="EY504" s="1">
        <v>74</v>
      </c>
    </row>
    <row r="505" spans="1:155" x14ac:dyDescent="0.2">
      <c r="A505" s="1" t="s">
        <v>3551</v>
      </c>
      <c r="B505" s="1" t="s">
        <v>55</v>
      </c>
      <c r="C505" s="1" t="s">
        <v>236</v>
      </c>
      <c r="E505" s="1">
        <v>33</v>
      </c>
      <c r="F505" s="1" t="s">
        <v>3552</v>
      </c>
      <c r="H505" s="1" t="s">
        <v>3553</v>
      </c>
      <c r="I505" s="1" t="s">
        <v>7</v>
      </c>
      <c r="J505" s="1" t="s">
        <v>3554</v>
      </c>
      <c r="K505" s="1" t="s">
        <v>3555</v>
      </c>
      <c r="L505" s="1" t="s">
        <v>3556</v>
      </c>
      <c r="M505" s="1" t="s">
        <v>748</v>
      </c>
      <c r="N505" s="1" t="s">
        <v>3557</v>
      </c>
      <c r="O505" s="1">
        <v>1</v>
      </c>
      <c r="P505" s="1" t="s">
        <v>3218</v>
      </c>
      <c r="Q505" s="1">
        <v>1999</v>
      </c>
      <c r="R505" s="1" t="s">
        <v>3219</v>
      </c>
      <c r="S505" s="1" t="s">
        <v>27</v>
      </c>
      <c r="T505" s="38">
        <v>1</v>
      </c>
      <c r="AH505" s="1">
        <v>0.6</v>
      </c>
      <c r="EY505" s="1">
        <v>69.599999999999994</v>
      </c>
    </row>
    <row r="506" spans="1:155" x14ac:dyDescent="0.2">
      <c r="A506" s="1" t="s">
        <v>3558</v>
      </c>
      <c r="B506" s="1" t="s">
        <v>55</v>
      </c>
      <c r="C506" s="1" t="s">
        <v>236</v>
      </c>
      <c r="E506" s="1">
        <v>33</v>
      </c>
      <c r="F506" s="1" t="s">
        <v>3552</v>
      </c>
      <c r="H506" s="1" t="s">
        <v>3553</v>
      </c>
      <c r="I506" s="1" t="s">
        <v>7</v>
      </c>
      <c r="J506" s="1" t="s">
        <v>3554</v>
      </c>
      <c r="K506" s="1" t="s">
        <v>3555</v>
      </c>
      <c r="L506" s="1" t="s">
        <v>3556</v>
      </c>
      <c r="M506" s="1" t="s">
        <v>748</v>
      </c>
      <c r="N506" s="1" t="s">
        <v>3559</v>
      </c>
      <c r="O506" s="1">
        <v>1</v>
      </c>
      <c r="P506" s="1" t="s">
        <v>3218</v>
      </c>
      <c r="Q506" s="1">
        <v>1999</v>
      </c>
      <c r="R506" s="1" t="s">
        <v>3219</v>
      </c>
      <c r="S506" s="1" t="s">
        <v>27</v>
      </c>
      <c r="T506" s="38">
        <v>1</v>
      </c>
      <c r="AH506" s="1">
        <v>0.8</v>
      </c>
      <c r="EY506" s="1">
        <v>72.099999999999994</v>
      </c>
    </row>
    <row r="507" spans="1:155" x14ac:dyDescent="0.2">
      <c r="A507" s="1" t="s">
        <v>3560</v>
      </c>
      <c r="B507" s="1" t="s">
        <v>55</v>
      </c>
      <c r="C507" s="1" t="s">
        <v>236</v>
      </c>
      <c r="E507" s="1">
        <v>33</v>
      </c>
      <c r="F507" s="1" t="s">
        <v>3546</v>
      </c>
      <c r="H507" s="1" t="s">
        <v>3561</v>
      </c>
      <c r="I507" s="1" t="s">
        <v>7</v>
      </c>
      <c r="J507" s="1" t="s">
        <v>3562</v>
      </c>
      <c r="L507" s="1" t="s">
        <v>3549</v>
      </c>
      <c r="M507" s="1" t="s">
        <v>2889</v>
      </c>
      <c r="N507" s="1" t="s">
        <v>3563</v>
      </c>
      <c r="O507" s="1">
        <v>1</v>
      </c>
      <c r="P507" s="1" t="s">
        <v>3218</v>
      </c>
      <c r="Q507" s="1">
        <v>1999</v>
      </c>
      <c r="R507" s="1" t="s">
        <v>3219</v>
      </c>
      <c r="S507" s="1" t="s">
        <v>27</v>
      </c>
      <c r="T507" s="38">
        <v>1</v>
      </c>
      <c r="AH507" s="1">
        <v>0.87</v>
      </c>
      <c r="EY507" s="1">
        <v>65.599999999999994</v>
      </c>
    </row>
    <row r="508" spans="1:155" x14ac:dyDescent="0.2">
      <c r="A508" s="1" t="s">
        <v>3564</v>
      </c>
      <c r="B508" s="1" t="s">
        <v>55</v>
      </c>
      <c r="C508" s="1" t="s">
        <v>236</v>
      </c>
      <c r="E508" s="1">
        <v>33</v>
      </c>
      <c r="F508" s="1" t="s">
        <v>3565</v>
      </c>
      <c r="H508" s="1" t="s">
        <v>3566</v>
      </c>
      <c r="I508" s="1" t="s">
        <v>7</v>
      </c>
      <c r="J508" s="1" t="s">
        <v>3567</v>
      </c>
      <c r="K508" s="1" t="s">
        <v>3568</v>
      </c>
      <c r="L508" s="1" t="s">
        <v>3569</v>
      </c>
      <c r="M508" s="1" t="s">
        <v>2889</v>
      </c>
      <c r="N508" s="1" t="s">
        <v>3570</v>
      </c>
      <c r="O508" s="1">
        <v>1</v>
      </c>
      <c r="P508" s="1" t="s">
        <v>3218</v>
      </c>
      <c r="Q508" s="1">
        <v>1999</v>
      </c>
      <c r="R508" s="1" t="s">
        <v>3219</v>
      </c>
      <c r="S508" s="1" t="s">
        <v>27</v>
      </c>
      <c r="T508" s="38">
        <v>1</v>
      </c>
      <c r="AH508" s="1">
        <v>0.81</v>
      </c>
      <c r="EY508" s="1">
        <v>41.7</v>
      </c>
    </row>
    <row r="509" spans="1:155" x14ac:dyDescent="0.2">
      <c r="A509" s="1" t="s">
        <v>3571</v>
      </c>
      <c r="B509" s="1" t="s">
        <v>55</v>
      </c>
      <c r="C509" s="1" t="s">
        <v>236</v>
      </c>
      <c r="E509" s="1">
        <v>33</v>
      </c>
      <c r="F509" s="1" t="s">
        <v>3552</v>
      </c>
      <c r="H509" s="1" t="s">
        <v>3553</v>
      </c>
      <c r="I509" s="1" t="s">
        <v>7</v>
      </c>
      <c r="J509" s="1" t="s">
        <v>3572</v>
      </c>
      <c r="K509" s="1" t="s">
        <v>3555</v>
      </c>
      <c r="L509" s="1" t="s">
        <v>3556</v>
      </c>
      <c r="M509" s="1" t="s">
        <v>2889</v>
      </c>
      <c r="N509" s="1" t="s">
        <v>3573</v>
      </c>
      <c r="O509" s="1">
        <v>1</v>
      </c>
      <c r="P509" s="1" t="s">
        <v>3218</v>
      </c>
      <c r="Q509" s="1">
        <v>1999</v>
      </c>
      <c r="R509" s="1" t="s">
        <v>3219</v>
      </c>
      <c r="S509" s="1" t="s">
        <v>27</v>
      </c>
      <c r="T509" s="38">
        <v>1</v>
      </c>
      <c r="AH509" s="1">
        <v>0.85</v>
      </c>
      <c r="EY509" s="1">
        <v>59.7</v>
      </c>
    </row>
    <row r="510" spans="1:155" x14ac:dyDescent="0.2">
      <c r="A510" s="1" t="s">
        <v>3574</v>
      </c>
      <c r="B510" s="1" t="s">
        <v>55</v>
      </c>
      <c r="C510" s="1" t="s">
        <v>236</v>
      </c>
      <c r="E510" s="1">
        <v>37</v>
      </c>
      <c r="F510" s="1" t="s">
        <v>2042</v>
      </c>
      <c r="H510" s="1" t="s">
        <v>3575</v>
      </c>
      <c r="I510" s="1" t="s">
        <v>7</v>
      </c>
      <c r="J510" s="1" t="s">
        <v>2045</v>
      </c>
      <c r="K510" s="1" t="s">
        <v>2046</v>
      </c>
      <c r="L510" s="1" t="s">
        <v>2045</v>
      </c>
      <c r="M510" s="1" t="s">
        <v>748</v>
      </c>
      <c r="N510" s="1" t="s">
        <v>3576</v>
      </c>
      <c r="O510" s="1">
        <v>1</v>
      </c>
      <c r="P510" s="1" t="s">
        <v>3218</v>
      </c>
      <c r="Q510" s="1">
        <v>1999</v>
      </c>
      <c r="R510" s="1" t="s">
        <v>3219</v>
      </c>
      <c r="S510" s="1" t="s">
        <v>27</v>
      </c>
      <c r="T510" s="38">
        <v>1</v>
      </c>
      <c r="AH510" s="1">
        <v>6.84</v>
      </c>
      <c r="EY510" s="1">
        <v>51.4</v>
      </c>
    </row>
    <row r="511" spans="1:155" x14ac:dyDescent="0.2">
      <c r="A511" s="1" t="s">
        <v>3577</v>
      </c>
      <c r="B511" s="1" t="s">
        <v>55</v>
      </c>
      <c r="C511" s="1" t="s">
        <v>236</v>
      </c>
      <c r="E511" s="1">
        <v>37</v>
      </c>
      <c r="F511" s="1" t="s">
        <v>2042</v>
      </c>
      <c r="H511" s="1" t="s">
        <v>3578</v>
      </c>
      <c r="I511" s="1" t="s">
        <v>7</v>
      </c>
      <c r="J511" s="1" t="s">
        <v>2045</v>
      </c>
      <c r="K511" s="1" t="s">
        <v>2046</v>
      </c>
      <c r="L511" s="1" t="s">
        <v>2045</v>
      </c>
      <c r="M511" s="1" t="s">
        <v>1292</v>
      </c>
      <c r="N511" s="1" t="s">
        <v>3579</v>
      </c>
      <c r="O511" s="1">
        <v>1</v>
      </c>
      <c r="P511" s="1" t="s">
        <v>3218</v>
      </c>
      <c r="Q511" s="1">
        <v>1999</v>
      </c>
      <c r="R511" s="1" t="s">
        <v>3219</v>
      </c>
      <c r="S511" s="1" t="s">
        <v>27</v>
      </c>
      <c r="T511" s="38">
        <v>1</v>
      </c>
      <c r="AH511" s="1">
        <v>7.65</v>
      </c>
      <c r="EY511" s="1">
        <v>58.4</v>
      </c>
    </row>
    <row r="512" spans="1:155" x14ac:dyDescent="0.2">
      <c r="A512" s="1" t="s">
        <v>3580</v>
      </c>
      <c r="B512" s="1" t="s">
        <v>55</v>
      </c>
      <c r="C512" s="1" t="s">
        <v>236</v>
      </c>
      <c r="E512" s="1">
        <v>37</v>
      </c>
      <c r="F512" s="1" t="s">
        <v>2042</v>
      </c>
      <c r="H512" s="1" t="s">
        <v>3581</v>
      </c>
      <c r="I512" s="1" t="s">
        <v>7</v>
      </c>
      <c r="J512" s="1" t="s">
        <v>2045</v>
      </c>
      <c r="K512" s="1" t="s">
        <v>2046</v>
      </c>
      <c r="L512" s="1" t="s">
        <v>2045</v>
      </c>
      <c r="M512" s="1" t="s">
        <v>757</v>
      </c>
      <c r="N512" s="1" t="s">
        <v>3582</v>
      </c>
      <c r="O512" s="1">
        <v>1</v>
      </c>
      <c r="P512" s="1" t="s">
        <v>3218</v>
      </c>
      <c r="Q512" s="1">
        <v>1999</v>
      </c>
      <c r="R512" s="1" t="s">
        <v>3219</v>
      </c>
      <c r="S512" s="1" t="s">
        <v>27</v>
      </c>
      <c r="T512" s="38">
        <v>1</v>
      </c>
      <c r="AH512" s="1">
        <v>5.09</v>
      </c>
      <c r="EY512" s="1">
        <v>55.6</v>
      </c>
    </row>
    <row r="513" spans="1:155" x14ac:dyDescent="0.2">
      <c r="A513" s="1" t="s">
        <v>3583</v>
      </c>
      <c r="B513" s="1" t="s">
        <v>55</v>
      </c>
      <c r="C513" s="1" t="s">
        <v>236</v>
      </c>
      <c r="E513" s="1">
        <v>37</v>
      </c>
      <c r="F513" s="1" t="s">
        <v>2042</v>
      </c>
      <c r="H513" s="1" t="s">
        <v>3584</v>
      </c>
      <c r="I513" s="1" t="s">
        <v>7</v>
      </c>
      <c r="J513" s="1" t="s">
        <v>2045</v>
      </c>
      <c r="K513" s="1" t="s">
        <v>2046</v>
      </c>
      <c r="L513" s="1" t="s">
        <v>2045</v>
      </c>
      <c r="M513" s="1" t="s">
        <v>757</v>
      </c>
      <c r="N513" s="1" t="s">
        <v>3585</v>
      </c>
      <c r="O513" s="1">
        <v>1</v>
      </c>
      <c r="P513" s="1" t="s">
        <v>3218</v>
      </c>
      <c r="Q513" s="1">
        <v>1999</v>
      </c>
      <c r="R513" s="1" t="s">
        <v>3219</v>
      </c>
      <c r="S513" s="1" t="s">
        <v>27</v>
      </c>
      <c r="T513" s="38">
        <v>1</v>
      </c>
      <c r="AH513" s="1">
        <v>2.08</v>
      </c>
      <c r="EY513" s="1">
        <v>64.8</v>
      </c>
    </row>
    <row r="514" spans="1:155" x14ac:dyDescent="0.2">
      <c r="A514" s="1" t="s">
        <v>3586</v>
      </c>
      <c r="B514" s="1" t="s">
        <v>55</v>
      </c>
      <c r="C514" s="1" t="s">
        <v>236</v>
      </c>
      <c r="E514" s="1">
        <v>37</v>
      </c>
      <c r="F514" s="1" t="s">
        <v>2042</v>
      </c>
      <c r="H514" s="1" t="s">
        <v>3578</v>
      </c>
      <c r="I514" s="1" t="s">
        <v>7</v>
      </c>
      <c r="J514" s="1" t="s">
        <v>2045</v>
      </c>
      <c r="K514" s="1" t="s">
        <v>2046</v>
      </c>
      <c r="L514" s="1" t="s">
        <v>2045</v>
      </c>
      <c r="M514" s="1" t="s">
        <v>480</v>
      </c>
      <c r="N514" s="1" t="s">
        <v>3587</v>
      </c>
      <c r="O514" s="1">
        <v>1</v>
      </c>
      <c r="P514" s="1" t="s">
        <v>3218</v>
      </c>
      <c r="Q514" s="1">
        <v>1999</v>
      </c>
      <c r="R514" s="1" t="s">
        <v>3219</v>
      </c>
      <c r="S514" s="1" t="s">
        <v>27</v>
      </c>
      <c r="T514" s="38">
        <v>1</v>
      </c>
      <c r="AH514" s="1">
        <v>5.17</v>
      </c>
      <c r="EY514" s="1">
        <v>65.400000000000006</v>
      </c>
    </row>
    <row r="515" spans="1:155" x14ac:dyDescent="0.2">
      <c r="A515" s="1" t="s">
        <v>3588</v>
      </c>
      <c r="B515" s="1" t="s">
        <v>55</v>
      </c>
      <c r="C515" s="1" t="s">
        <v>236</v>
      </c>
      <c r="E515" s="1">
        <v>13</v>
      </c>
      <c r="F515" s="1" t="s">
        <v>2454</v>
      </c>
      <c r="H515" s="1" t="s">
        <v>3589</v>
      </c>
      <c r="I515" s="1" t="s">
        <v>7</v>
      </c>
      <c r="J515" s="1" t="s">
        <v>3590</v>
      </c>
      <c r="K515" s="1" t="s">
        <v>2458</v>
      </c>
      <c r="L515" s="1" t="s">
        <v>2459</v>
      </c>
      <c r="M515" s="1" t="s">
        <v>480</v>
      </c>
      <c r="N515" s="1" t="s">
        <v>3591</v>
      </c>
      <c r="O515" s="1">
        <v>1</v>
      </c>
      <c r="P515" s="1" t="s">
        <v>3218</v>
      </c>
      <c r="Q515" s="1">
        <v>1999</v>
      </c>
      <c r="R515" s="1" t="s">
        <v>3219</v>
      </c>
      <c r="S515" s="1" t="s">
        <v>27</v>
      </c>
      <c r="T515" s="38">
        <v>1</v>
      </c>
      <c r="AH515" s="1">
        <v>1.38</v>
      </c>
      <c r="EY515" s="1">
        <v>59.3</v>
      </c>
    </row>
    <row r="516" spans="1:155" x14ac:dyDescent="0.2">
      <c r="A516" s="1" t="s">
        <v>3592</v>
      </c>
      <c r="B516" s="1" t="s">
        <v>55</v>
      </c>
      <c r="C516" s="1" t="s">
        <v>236</v>
      </c>
      <c r="E516" s="1">
        <v>37</v>
      </c>
      <c r="F516" s="1" t="s">
        <v>2042</v>
      </c>
      <c r="H516" s="1" t="s">
        <v>3575</v>
      </c>
      <c r="I516" s="1" t="s">
        <v>7</v>
      </c>
      <c r="J516" s="1" t="s">
        <v>2045</v>
      </c>
      <c r="K516" s="1" t="s">
        <v>2046</v>
      </c>
      <c r="L516" s="1" t="s">
        <v>2045</v>
      </c>
      <c r="M516" s="1" t="s">
        <v>2889</v>
      </c>
      <c r="N516" s="1" t="s">
        <v>3593</v>
      </c>
      <c r="O516" s="1">
        <v>1</v>
      </c>
      <c r="P516" s="1" t="s">
        <v>3218</v>
      </c>
      <c r="Q516" s="1">
        <v>1999</v>
      </c>
      <c r="R516" s="1" t="s">
        <v>3219</v>
      </c>
      <c r="S516" s="1" t="s">
        <v>27</v>
      </c>
      <c r="T516" s="38">
        <v>1</v>
      </c>
      <c r="AH516" s="1">
        <v>1.94</v>
      </c>
      <c r="EY516" s="1">
        <v>69.7</v>
      </c>
    </row>
    <row r="517" spans="1:155" x14ac:dyDescent="0.2">
      <c r="A517" s="1" t="s">
        <v>3594</v>
      </c>
      <c r="B517" s="1" t="s">
        <v>55</v>
      </c>
      <c r="C517" s="1" t="s">
        <v>236</v>
      </c>
      <c r="E517" s="1">
        <v>13</v>
      </c>
      <c r="F517" s="1" t="s">
        <v>2454</v>
      </c>
      <c r="H517" s="1" t="s">
        <v>3589</v>
      </c>
      <c r="I517" s="1" t="s">
        <v>7</v>
      </c>
      <c r="J517" s="1" t="s">
        <v>3590</v>
      </c>
      <c r="K517" s="1" t="s">
        <v>2458</v>
      </c>
      <c r="L517" s="1" t="s">
        <v>2459</v>
      </c>
      <c r="M517" s="1" t="s">
        <v>2889</v>
      </c>
      <c r="N517" s="1" t="s">
        <v>3595</v>
      </c>
      <c r="O517" s="1">
        <v>1</v>
      </c>
      <c r="P517" s="1" t="s">
        <v>3218</v>
      </c>
      <c r="Q517" s="1">
        <v>1999</v>
      </c>
      <c r="R517" s="1" t="s">
        <v>3219</v>
      </c>
      <c r="S517" s="1" t="s">
        <v>27</v>
      </c>
      <c r="T517" s="38">
        <v>1</v>
      </c>
      <c r="AH517" s="1">
        <v>0.68</v>
      </c>
      <c r="EY517" s="1">
        <v>65.599999999999994</v>
      </c>
    </row>
    <row r="518" spans="1:155" x14ac:dyDescent="0.2">
      <c r="A518" s="1" t="s">
        <v>3596</v>
      </c>
      <c r="B518" s="1" t="s">
        <v>55</v>
      </c>
      <c r="C518" s="1" t="s">
        <v>236</v>
      </c>
      <c r="E518" s="1">
        <v>33</v>
      </c>
      <c r="F518" s="1" t="s">
        <v>3597</v>
      </c>
      <c r="H518" s="1" t="s">
        <v>3598</v>
      </c>
      <c r="I518" s="1" t="s">
        <v>7</v>
      </c>
      <c r="J518" s="1" t="s">
        <v>3599</v>
      </c>
      <c r="K518" s="1" t="s">
        <v>3600</v>
      </c>
      <c r="L518" s="1" t="s">
        <v>3601</v>
      </c>
      <c r="M518" s="1" t="s">
        <v>2889</v>
      </c>
      <c r="N518" s="1" t="s">
        <v>3602</v>
      </c>
      <c r="O518" s="1">
        <v>1</v>
      </c>
      <c r="P518" s="1" t="s">
        <v>3218</v>
      </c>
      <c r="Q518" s="1">
        <v>1999</v>
      </c>
      <c r="R518" s="1" t="s">
        <v>3219</v>
      </c>
      <c r="S518" s="1" t="s">
        <v>27</v>
      </c>
      <c r="T518" s="38">
        <v>1</v>
      </c>
      <c r="AH518" s="1">
        <v>0.42</v>
      </c>
      <c r="EY518" s="1">
        <v>41.4</v>
      </c>
    </row>
    <row r="519" spans="1:155" x14ac:dyDescent="0.2">
      <c r="A519" s="1" t="s">
        <v>3603</v>
      </c>
      <c r="B519" s="1" t="s">
        <v>55</v>
      </c>
      <c r="C519" s="1" t="s">
        <v>236</v>
      </c>
      <c r="E519" s="1">
        <v>33</v>
      </c>
      <c r="F519" s="1" t="s">
        <v>3604</v>
      </c>
      <c r="H519" s="1" t="s">
        <v>3605</v>
      </c>
      <c r="I519" s="1" t="s">
        <v>7</v>
      </c>
      <c r="J519" s="1" t="s">
        <v>3606</v>
      </c>
      <c r="K519" s="1" t="s">
        <v>3607</v>
      </c>
      <c r="L519" s="1" t="s">
        <v>3606</v>
      </c>
      <c r="M519" s="1" t="s">
        <v>2889</v>
      </c>
      <c r="N519" s="1" t="s">
        <v>3608</v>
      </c>
      <c r="O519" s="1">
        <v>1</v>
      </c>
      <c r="P519" s="1" t="s">
        <v>3218</v>
      </c>
      <c r="Q519" s="1">
        <v>1999</v>
      </c>
      <c r="R519" s="1" t="s">
        <v>3219</v>
      </c>
      <c r="S519" s="1" t="s">
        <v>27</v>
      </c>
      <c r="T519" s="38">
        <v>1</v>
      </c>
      <c r="AH519" s="1">
        <v>3.39</v>
      </c>
      <c r="EY519" s="1">
        <v>112</v>
      </c>
    </row>
    <row r="520" spans="1:155" x14ac:dyDescent="0.2">
      <c r="A520" s="1" t="s">
        <v>3609</v>
      </c>
      <c r="B520" s="1" t="s">
        <v>55</v>
      </c>
      <c r="C520" s="1" t="s">
        <v>236</v>
      </c>
      <c r="E520" s="1">
        <v>33</v>
      </c>
      <c r="F520" s="1" t="s">
        <v>3610</v>
      </c>
      <c r="H520" s="1" t="s">
        <v>3611</v>
      </c>
      <c r="I520" s="1" t="s">
        <v>7</v>
      </c>
      <c r="J520" s="1" t="s">
        <v>3612</v>
      </c>
      <c r="K520" s="1" t="s">
        <v>3613</v>
      </c>
      <c r="L520" s="1" t="s">
        <v>3612</v>
      </c>
      <c r="M520" s="1" t="s">
        <v>2889</v>
      </c>
      <c r="N520" s="1" t="s">
        <v>3614</v>
      </c>
      <c r="O520" s="1">
        <v>1</v>
      </c>
      <c r="P520" s="1" t="s">
        <v>3218</v>
      </c>
      <c r="Q520" s="1">
        <v>1999</v>
      </c>
      <c r="R520" s="1" t="s">
        <v>3219</v>
      </c>
      <c r="S520" s="1" t="s">
        <v>27</v>
      </c>
      <c r="T520" s="38">
        <v>1</v>
      </c>
      <c r="AH520" s="1">
        <v>0.43</v>
      </c>
      <c r="EY520" s="1">
        <v>37.799999999999997</v>
      </c>
    </row>
    <row r="521" spans="1:155" x14ac:dyDescent="0.2">
      <c r="A521" s="1" t="s">
        <v>3615</v>
      </c>
      <c r="B521" s="1" t="s">
        <v>55</v>
      </c>
      <c r="C521" s="1" t="s">
        <v>236</v>
      </c>
      <c r="E521" s="1">
        <v>37</v>
      </c>
      <c r="F521" s="1" t="s">
        <v>3616</v>
      </c>
      <c r="H521" s="1" t="s">
        <v>3617</v>
      </c>
      <c r="I521" s="1" t="s">
        <v>7</v>
      </c>
      <c r="J521" s="1" t="s">
        <v>3618</v>
      </c>
      <c r="K521" s="1" t="s">
        <v>3619</v>
      </c>
      <c r="L521" s="1" t="s">
        <v>3618</v>
      </c>
      <c r="M521" s="1" t="s">
        <v>2889</v>
      </c>
      <c r="N521" s="1" t="s">
        <v>3620</v>
      </c>
      <c r="O521" s="1">
        <v>1</v>
      </c>
      <c r="P521" s="1" t="s">
        <v>3218</v>
      </c>
      <c r="Q521" s="1">
        <v>1999</v>
      </c>
      <c r="R521" s="1" t="s">
        <v>3219</v>
      </c>
      <c r="S521" s="1" t="s">
        <v>27</v>
      </c>
      <c r="T521" s="38">
        <v>1</v>
      </c>
      <c r="AH521" s="1">
        <v>0.61</v>
      </c>
      <c r="EY521" s="1">
        <v>58</v>
      </c>
    </row>
    <row r="522" spans="1:155" x14ac:dyDescent="0.2">
      <c r="A522" s="1" t="s">
        <v>3621</v>
      </c>
      <c r="B522" s="1" t="s">
        <v>55</v>
      </c>
      <c r="C522" s="1" t="s">
        <v>236</v>
      </c>
      <c r="E522" s="1">
        <v>37</v>
      </c>
      <c r="F522" s="1" t="s">
        <v>3622</v>
      </c>
      <c r="H522" s="1" t="s">
        <v>3623</v>
      </c>
      <c r="I522" s="1" t="s">
        <v>7</v>
      </c>
      <c r="J522" s="1" t="s">
        <v>3624</v>
      </c>
      <c r="K522" s="1" t="s">
        <v>3625</v>
      </c>
      <c r="L522" s="1" t="s">
        <v>3624</v>
      </c>
      <c r="M522" s="1" t="s">
        <v>2889</v>
      </c>
      <c r="N522" s="1" t="s">
        <v>3626</v>
      </c>
      <c r="O522" s="1">
        <v>1</v>
      </c>
      <c r="P522" s="1" t="s">
        <v>3218</v>
      </c>
      <c r="Q522" s="1">
        <v>1999</v>
      </c>
      <c r="R522" s="1" t="s">
        <v>3219</v>
      </c>
      <c r="S522" s="1" t="s">
        <v>27</v>
      </c>
      <c r="T522" s="38">
        <v>1</v>
      </c>
      <c r="AH522" s="1">
        <v>0.84</v>
      </c>
      <c r="EY522" s="1">
        <v>59.9</v>
      </c>
    </row>
    <row r="523" spans="1:155" x14ac:dyDescent="0.2">
      <c r="A523" s="1" t="s">
        <v>3627</v>
      </c>
      <c r="B523" s="1" t="s">
        <v>55</v>
      </c>
      <c r="C523" s="1" t="s">
        <v>236</v>
      </c>
      <c r="E523" s="1">
        <v>37</v>
      </c>
      <c r="F523" s="1" t="s">
        <v>3628</v>
      </c>
      <c r="H523" s="1" t="s">
        <v>3629</v>
      </c>
      <c r="I523" s="1" t="s">
        <v>7</v>
      </c>
      <c r="J523" s="1" t="s">
        <v>3630</v>
      </c>
      <c r="K523" s="1" t="s">
        <v>3631</v>
      </c>
      <c r="L523" s="1" t="s">
        <v>3630</v>
      </c>
      <c r="M523" s="1" t="s">
        <v>2889</v>
      </c>
      <c r="N523" s="1" t="s">
        <v>3632</v>
      </c>
      <c r="O523" s="1">
        <v>1</v>
      </c>
      <c r="P523" s="1" t="s">
        <v>3218</v>
      </c>
      <c r="Q523" s="1">
        <v>1999</v>
      </c>
      <c r="R523" s="1" t="s">
        <v>3219</v>
      </c>
      <c r="S523" s="1" t="s">
        <v>27</v>
      </c>
      <c r="T523" s="38">
        <v>1</v>
      </c>
      <c r="AH523" s="1">
        <v>0.53</v>
      </c>
      <c r="EY523" s="1">
        <v>34.6</v>
      </c>
    </row>
    <row r="524" spans="1:155" x14ac:dyDescent="0.2">
      <c r="A524" s="1" t="s">
        <v>3633</v>
      </c>
      <c r="B524" s="1" t="s">
        <v>55</v>
      </c>
      <c r="C524" s="1" t="s">
        <v>236</v>
      </c>
      <c r="E524" s="1">
        <v>37</v>
      </c>
      <c r="F524" s="1" t="s">
        <v>2022</v>
      </c>
      <c r="H524" s="1" t="s">
        <v>3634</v>
      </c>
      <c r="I524" s="1" t="s">
        <v>7</v>
      </c>
      <c r="J524" s="1" t="s">
        <v>3635</v>
      </c>
      <c r="K524" s="1" t="s">
        <v>2026</v>
      </c>
      <c r="L524" s="1" t="s">
        <v>2025</v>
      </c>
      <c r="M524" s="1" t="s">
        <v>2889</v>
      </c>
      <c r="N524" s="1" t="s">
        <v>3636</v>
      </c>
      <c r="O524" s="1">
        <v>1</v>
      </c>
      <c r="P524" s="1" t="s">
        <v>3218</v>
      </c>
      <c r="Q524" s="1">
        <v>1999</v>
      </c>
      <c r="R524" s="1" t="s">
        <v>3219</v>
      </c>
      <c r="S524" s="1" t="s">
        <v>27</v>
      </c>
      <c r="T524" s="38">
        <v>1</v>
      </c>
      <c r="AH524" s="1">
        <v>1.08</v>
      </c>
      <c r="EY524" s="1">
        <v>44</v>
      </c>
    </row>
    <row r="525" spans="1:155" x14ac:dyDescent="0.2">
      <c r="A525" s="1" t="s">
        <v>3637</v>
      </c>
      <c r="B525" s="1" t="s">
        <v>55</v>
      </c>
      <c r="C525" s="1" t="s">
        <v>236</v>
      </c>
      <c r="E525" s="1">
        <v>33</v>
      </c>
      <c r="F525" s="1" t="s">
        <v>3638</v>
      </c>
      <c r="H525" s="1" t="s">
        <v>3639</v>
      </c>
      <c r="I525" s="1" t="s">
        <v>7</v>
      </c>
      <c r="J525" s="1" t="s">
        <v>3640</v>
      </c>
      <c r="K525" s="1" t="s">
        <v>3641</v>
      </c>
      <c r="L525" s="1" t="s">
        <v>3642</v>
      </c>
      <c r="M525" s="1" t="s">
        <v>2889</v>
      </c>
      <c r="N525" s="1" t="s">
        <v>3643</v>
      </c>
      <c r="O525" s="1">
        <v>1</v>
      </c>
      <c r="P525" s="1" t="s">
        <v>3218</v>
      </c>
      <c r="Q525" s="1">
        <v>1999</v>
      </c>
      <c r="R525" s="1" t="s">
        <v>3219</v>
      </c>
      <c r="S525" s="1" t="s">
        <v>27</v>
      </c>
      <c r="T525" s="38">
        <v>1</v>
      </c>
      <c r="AH525" s="1">
        <v>1.22</v>
      </c>
      <c r="EY525" s="1">
        <v>57.6</v>
      </c>
    </row>
    <row r="526" spans="1:155" x14ac:dyDescent="0.2">
      <c r="A526" s="1" t="s">
        <v>3644</v>
      </c>
      <c r="B526" s="1" t="s">
        <v>55</v>
      </c>
      <c r="C526" s="1" t="s">
        <v>236</v>
      </c>
      <c r="E526" s="1">
        <v>33</v>
      </c>
      <c r="F526" s="1" t="s">
        <v>3645</v>
      </c>
      <c r="H526" s="1" t="s">
        <v>3646</v>
      </c>
      <c r="I526" s="1" t="s">
        <v>7</v>
      </c>
      <c r="J526" s="1" t="s">
        <v>3647</v>
      </c>
      <c r="K526" s="1" t="s">
        <v>3648</v>
      </c>
      <c r="L526" s="1" t="s">
        <v>3649</v>
      </c>
      <c r="M526" s="1" t="s">
        <v>480</v>
      </c>
      <c r="O526" s="1">
        <v>1</v>
      </c>
      <c r="P526" s="1" t="s">
        <v>3218</v>
      </c>
      <c r="Q526" s="1">
        <v>1999</v>
      </c>
      <c r="R526" s="1" t="s">
        <v>3219</v>
      </c>
      <c r="S526" s="1" t="s">
        <v>27</v>
      </c>
      <c r="T526" s="38">
        <v>1</v>
      </c>
      <c r="AH526" s="1">
        <v>1.94</v>
      </c>
      <c r="EY526" s="1">
        <v>33.700000000000003</v>
      </c>
    </row>
    <row r="527" spans="1:155" x14ac:dyDescent="0.2">
      <c r="A527" s="1" t="s">
        <v>3650</v>
      </c>
      <c r="B527" s="1" t="s">
        <v>55</v>
      </c>
      <c r="C527" s="1" t="s">
        <v>236</v>
      </c>
      <c r="E527" s="1">
        <v>33</v>
      </c>
      <c r="F527" s="1" t="s">
        <v>3645</v>
      </c>
      <c r="H527" s="1" t="s">
        <v>3646</v>
      </c>
      <c r="I527" s="1" t="s">
        <v>7</v>
      </c>
      <c r="J527" s="1" t="s">
        <v>3647</v>
      </c>
      <c r="K527" s="1" t="s">
        <v>3648</v>
      </c>
      <c r="L527" s="1" t="s">
        <v>3649</v>
      </c>
      <c r="O527" s="1">
        <v>1</v>
      </c>
      <c r="P527" s="1" t="s">
        <v>3218</v>
      </c>
      <c r="Q527" s="1">
        <v>1999</v>
      </c>
      <c r="R527" s="1" t="s">
        <v>3219</v>
      </c>
      <c r="S527" s="1" t="s">
        <v>27</v>
      </c>
      <c r="T527" s="38">
        <v>1</v>
      </c>
      <c r="AH527" s="1">
        <v>0.96</v>
      </c>
      <c r="EY527" s="1">
        <v>24.6</v>
      </c>
    </row>
    <row r="528" spans="1:155" x14ac:dyDescent="0.2">
      <c r="A528" s="1" t="s">
        <v>3651</v>
      </c>
      <c r="B528" s="1" t="s">
        <v>55</v>
      </c>
      <c r="C528" s="1" t="s">
        <v>236</v>
      </c>
      <c r="E528" s="1">
        <v>38</v>
      </c>
      <c r="F528" s="1" t="s">
        <v>3652</v>
      </c>
      <c r="H528" s="1" t="s">
        <v>3653</v>
      </c>
      <c r="I528" s="1" t="s">
        <v>7</v>
      </c>
      <c r="J528" s="1" t="s">
        <v>3654</v>
      </c>
      <c r="K528" s="1" t="s">
        <v>3655</v>
      </c>
      <c r="L528" s="1" t="s">
        <v>3656</v>
      </c>
      <c r="M528" s="1" t="s">
        <v>2889</v>
      </c>
      <c r="N528" s="1" t="s">
        <v>3657</v>
      </c>
      <c r="O528" s="1">
        <v>1</v>
      </c>
      <c r="P528" s="1" t="s">
        <v>3218</v>
      </c>
      <c r="Q528" s="1">
        <v>1999</v>
      </c>
      <c r="R528" s="1" t="s">
        <v>3219</v>
      </c>
      <c r="S528" s="1" t="s">
        <v>27</v>
      </c>
      <c r="T528" s="38">
        <v>1</v>
      </c>
      <c r="AH528" s="1">
        <v>0.78</v>
      </c>
      <c r="EY528" s="1">
        <v>72.7</v>
      </c>
    </row>
    <row r="529" spans="1:155" x14ac:dyDescent="0.2">
      <c r="A529" s="1" t="s">
        <v>3658</v>
      </c>
      <c r="B529" s="1" t="s">
        <v>55</v>
      </c>
      <c r="C529" s="1" t="s">
        <v>236</v>
      </c>
      <c r="E529" s="1">
        <v>33</v>
      </c>
      <c r="F529" s="1" t="s">
        <v>3659</v>
      </c>
      <c r="H529" s="1" t="s">
        <v>3660</v>
      </c>
      <c r="I529" s="1" t="s">
        <v>7</v>
      </c>
      <c r="J529" s="1" t="s">
        <v>3661</v>
      </c>
      <c r="K529" s="1" t="s">
        <v>3662</v>
      </c>
      <c r="L529" s="1" t="s">
        <v>3663</v>
      </c>
      <c r="M529" s="1" t="s">
        <v>2889</v>
      </c>
      <c r="N529" s="1" t="s">
        <v>3664</v>
      </c>
      <c r="O529" s="1">
        <v>1</v>
      </c>
      <c r="P529" s="1" t="s">
        <v>3218</v>
      </c>
      <c r="Q529" s="1">
        <v>1999</v>
      </c>
      <c r="R529" s="1" t="s">
        <v>3219</v>
      </c>
      <c r="S529" s="1" t="s">
        <v>27</v>
      </c>
      <c r="T529" s="38">
        <v>1</v>
      </c>
      <c r="AH529" s="1">
        <v>0.72</v>
      </c>
      <c r="EY529" s="1">
        <v>22.2</v>
      </c>
    </row>
    <row r="530" spans="1:155" x14ac:dyDescent="0.2">
      <c r="A530" s="1" t="s">
        <v>3665</v>
      </c>
      <c r="B530" s="1" t="s">
        <v>55</v>
      </c>
      <c r="C530" s="1" t="s">
        <v>236</v>
      </c>
      <c r="E530" s="1">
        <v>34</v>
      </c>
      <c r="F530" s="1" t="s">
        <v>3666</v>
      </c>
      <c r="H530" s="1" t="s">
        <v>3667</v>
      </c>
      <c r="I530" s="1" t="s">
        <v>7</v>
      </c>
      <c r="J530" s="1" t="s">
        <v>3668</v>
      </c>
      <c r="K530" s="1" t="s">
        <v>3669</v>
      </c>
      <c r="L530" s="1" t="s">
        <v>3668</v>
      </c>
      <c r="M530" s="1" t="s">
        <v>2889</v>
      </c>
      <c r="N530" s="1" t="s">
        <v>3670</v>
      </c>
      <c r="O530" s="1">
        <v>1</v>
      </c>
      <c r="P530" s="1" t="s">
        <v>3218</v>
      </c>
      <c r="Q530" s="1">
        <v>1999</v>
      </c>
      <c r="R530" s="1" t="s">
        <v>3219</v>
      </c>
      <c r="S530" s="1" t="s">
        <v>27</v>
      </c>
      <c r="T530" s="38">
        <v>1</v>
      </c>
      <c r="AH530" s="1">
        <v>0.88</v>
      </c>
      <c r="EY530" s="1">
        <v>68</v>
      </c>
    </row>
    <row r="531" spans="1:155" x14ac:dyDescent="0.2">
      <c r="A531" s="1" t="s">
        <v>3671</v>
      </c>
      <c r="B531" s="1" t="s">
        <v>55</v>
      </c>
      <c r="C531" s="1" t="s">
        <v>236</v>
      </c>
      <c r="E531" s="1">
        <v>34</v>
      </c>
      <c r="F531" s="1" t="s">
        <v>3672</v>
      </c>
      <c r="H531" s="1" t="s">
        <v>3673</v>
      </c>
      <c r="I531" s="1" t="s">
        <v>7</v>
      </c>
      <c r="J531" s="1" t="s">
        <v>3674</v>
      </c>
      <c r="K531" s="1" t="s">
        <v>3675</v>
      </c>
      <c r="L531" s="1" t="s">
        <v>3676</v>
      </c>
      <c r="M531" s="1" t="s">
        <v>2889</v>
      </c>
      <c r="N531" s="1" t="s">
        <v>3677</v>
      </c>
      <c r="O531" s="1">
        <v>1</v>
      </c>
      <c r="P531" s="1" t="s">
        <v>3218</v>
      </c>
      <c r="Q531" s="1">
        <v>1999</v>
      </c>
      <c r="R531" s="1" t="s">
        <v>3219</v>
      </c>
      <c r="S531" s="1" t="s">
        <v>27</v>
      </c>
      <c r="T531" s="38">
        <v>1</v>
      </c>
      <c r="AH531" s="1">
        <v>0.87</v>
      </c>
      <c r="EY531" s="1">
        <v>37</v>
      </c>
    </row>
    <row r="532" spans="1:155" x14ac:dyDescent="0.2">
      <c r="A532" s="1" t="s">
        <v>3678</v>
      </c>
      <c r="B532" s="1" t="s">
        <v>1911</v>
      </c>
      <c r="C532" s="1" t="s">
        <v>236</v>
      </c>
      <c r="E532" s="1">
        <v>45</v>
      </c>
      <c r="F532" s="1" t="s">
        <v>3679</v>
      </c>
      <c r="H532" s="1" t="s">
        <v>3680</v>
      </c>
      <c r="I532" s="1" t="s">
        <v>7</v>
      </c>
      <c r="J532" s="1" t="s">
        <v>3681</v>
      </c>
      <c r="K532" s="1" t="s">
        <v>3682</v>
      </c>
      <c r="L532" s="1" t="s">
        <v>3681</v>
      </c>
      <c r="M532" s="1" t="s">
        <v>816</v>
      </c>
      <c r="N532" s="1" t="s">
        <v>3683</v>
      </c>
      <c r="O532" s="1">
        <v>1</v>
      </c>
      <c r="P532" s="1" t="s">
        <v>3218</v>
      </c>
      <c r="Q532" s="1">
        <v>1999</v>
      </c>
      <c r="R532" s="1" t="s">
        <v>3219</v>
      </c>
      <c r="S532" s="1" t="s">
        <v>27</v>
      </c>
      <c r="T532" s="38">
        <v>1</v>
      </c>
      <c r="AH532" s="1">
        <v>1.35</v>
      </c>
      <c r="EY532" s="1">
        <v>129</v>
      </c>
    </row>
    <row r="533" spans="1:155" x14ac:dyDescent="0.2">
      <c r="A533" s="1" t="s">
        <v>3684</v>
      </c>
      <c r="B533" s="1" t="s">
        <v>1911</v>
      </c>
      <c r="C533" s="1" t="s">
        <v>236</v>
      </c>
      <c r="E533" s="1">
        <v>45</v>
      </c>
      <c r="F533" s="1" t="s">
        <v>3679</v>
      </c>
      <c r="H533" s="1" t="s">
        <v>3680</v>
      </c>
      <c r="I533" s="1" t="s">
        <v>7</v>
      </c>
      <c r="J533" s="1" t="s">
        <v>3681</v>
      </c>
      <c r="K533" s="1" t="s">
        <v>3682</v>
      </c>
      <c r="L533" s="1" t="s">
        <v>3681</v>
      </c>
      <c r="M533" s="1" t="s">
        <v>816</v>
      </c>
      <c r="N533" s="1" t="s">
        <v>3685</v>
      </c>
      <c r="O533" s="1">
        <v>1</v>
      </c>
      <c r="P533" s="1" t="s">
        <v>3218</v>
      </c>
      <c r="Q533" s="1">
        <v>1999</v>
      </c>
      <c r="R533" s="1" t="s">
        <v>3219</v>
      </c>
      <c r="S533" s="1" t="s">
        <v>27</v>
      </c>
      <c r="T533" s="38">
        <v>1</v>
      </c>
      <c r="AH533" s="1">
        <v>1.34</v>
      </c>
      <c r="EY533" s="1">
        <v>163</v>
      </c>
    </row>
    <row r="534" spans="1:155" x14ac:dyDescent="0.2">
      <c r="A534" s="1" t="s">
        <v>3686</v>
      </c>
      <c r="B534" s="1" t="s">
        <v>1911</v>
      </c>
      <c r="C534" s="1" t="s">
        <v>236</v>
      </c>
      <c r="E534" s="1">
        <v>45</v>
      </c>
      <c r="F534" s="1" t="s">
        <v>3687</v>
      </c>
      <c r="H534" s="1" t="s">
        <v>3688</v>
      </c>
      <c r="I534" s="1" t="s">
        <v>7</v>
      </c>
      <c r="J534" s="1" t="s">
        <v>3689</v>
      </c>
      <c r="K534" s="1" t="s">
        <v>3690</v>
      </c>
      <c r="L534" s="1" t="s">
        <v>3689</v>
      </c>
      <c r="M534" s="1" t="s">
        <v>816</v>
      </c>
      <c r="N534" s="1" t="s">
        <v>3691</v>
      </c>
      <c r="O534" s="1">
        <v>1</v>
      </c>
      <c r="P534" s="1" t="s">
        <v>3218</v>
      </c>
      <c r="Q534" s="1">
        <v>1999</v>
      </c>
      <c r="R534" s="1" t="s">
        <v>3219</v>
      </c>
      <c r="S534" s="1" t="s">
        <v>27</v>
      </c>
      <c r="T534" s="38">
        <v>1</v>
      </c>
      <c r="AH534" s="1">
        <v>0.95</v>
      </c>
      <c r="EY534" s="1">
        <v>144</v>
      </c>
    </row>
    <row r="535" spans="1:155" x14ac:dyDescent="0.2">
      <c r="A535" s="1" t="s">
        <v>3692</v>
      </c>
      <c r="B535" s="1" t="s">
        <v>1911</v>
      </c>
      <c r="C535" s="1" t="s">
        <v>236</v>
      </c>
      <c r="E535" s="1">
        <v>45</v>
      </c>
      <c r="F535" s="1" t="s">
        <v>3687</v>
      </c>
      <c r="H535" s="1" t="s">
        <v>3688</v>
      </c>
      <c r="I535" s="1" t="s">
        <v>7</v>
      </c>
      <c r="J535" s="1" t="s">
        <v>3689</v>
      </c>
      <c r="K535" s="1" t="s">
        <v>3690</v>
      </c>
      <c r="L535" s="1" t="s">
        <v>3689</v>
      </c>
      <c r="M535" s="1" t="s">
        <v>816</v>
      </c>
      <c r="N535" s="1" t="s">
        <v>3693</v>
      </c>
      <c r="O535" s="1">
        <v>1</v>
      </c>
      <c r="P535" s="1" t="s">
        <v>3218</v>
      </c>
      <c r="Q535" s="1">
        <v>1999</v>
      </c>
      <c r="R535" s="1" t="s">
        <v>3219</v>
      </c>
      <c r="S535" s="1" t="s">
        <v>27</v>
      </c>
      <c r="T535" s="38">
        <v>1</v>
      </c>
      <c r="AH535" s="1">
        <v>1.22</v>
      </c>
      <c r="EY535" s="1">
        <v>123</v>
      </c>
    </row>
    <row r="536" spans="1:155" x14ac:dyDescent="0.2">
      <c r="A536" s="1" t="s">
        <v>3694</v>
      </c>
      <c r="B536" s="1" t="s">
        <v>1911</v>
      </c>
      <c r="C536" s="1" t="s">
        <v>236</v>
      </c>
      <c r="E536" s="1">
        <v>45</v>
      </c>
      <c r="F536" s="1" t="s">
        <v>3695</v>
      </c>
      <c r="H536" s="1" t="s">
        <v>3696</v>
      </c>
      <c r="I536" s="1" t="s">
        <v>7</v>
      </c>
      <c r="J536" s="1" t="s">
        <v>3697</v>
      </c>
      <c r="K536" s="1" t="s">
        <v>3698</v>
      </c>
      <c r="L536" s="1" t="s">
        <v>3697</v>
      </c>
      <c r="M536" s="1" t="s">
        <v>816</v>
      </c>
      <c r="N536" s="1" t="s">
        <v>3699</v>
      </c>
      <c r="O536" s="1">
        <v>1</v>
      </c>
      <c r="P536" s="1" t="s">
        <v>3218</v>
      </c>
      <c r="Q536" s="1">
        <v>1999</v>
      </c>
      <c r="R536" s="1" t="s">
        <v>3219</v>
      </c>
      <c r="S536" s="1" t="s">
        <v>27</v>
      </c>
      <c r="T536" s="38">
        <v>1</v>
      </c>
      <c r="AH536" s="1">
        <v>1.02</v>
      </c>
      <c r="EY536" s="1">
        <v>118</v>
      </c>
    </row>
    <row r="537" spans="1:155" x14ac:dyDescent="0.2">
      <c r="A537" s="1" t="s">
        <v>3700</v>
      </c>
      <c r="B537" s="1" t="s">
        <v>1911</v>
      </c>
      <c r="C537" s="1" t="s">
        <v>236</v>
      </c>
      <c r="E537" s="1">
        <v>45</v>
      </c>
      <c r="F537" s="1" t="s">
        <v>3701</v>
      </c>
      <c r="H537" s="1" t="s">
        <v>3702</v>
      </c>
      <c r="I537" s="1" t="s">
        <v>7</v>
      </c>
      <c r="J537" s="1" t="s">
        <v>3703</v>
      </c>
      <c r="K537" s="1" t="s">
        <v>3704</v>
      </c>
      <c r="L537" s="1" t="s">
        <v>3703</v>
      </c>
      <c r="M537" s="1" t="s">
        <v>816</v>
      </c>
      <c r="N537" s="1" t="s">
        <v>3705</v>
      </c>
      <c r="O537" s="1">
        <v>1</v>
      </c>
      <c r="P537" s="1" t="s">
        <v>3218</v>
      </c>
      <c r="Q537" s="1">
        <v>1999</v>
      </c>
      <c r="R537" s="1" t="s">
        <v>3219</v>
      </c>
      <c r="S537" s="1" t="s">
        <v>27</v>
      </c>
      <c r="T537" s="38">
        <v>1</v>
      </c>
      <c r="AH537" s="1">
        <v>1.34</v>
      </c>
      <c r="EY537" s="1">
        <v>120</v>
      </c>
    </row>
    <row r="538" spans="1:155" x14ac:dyDescent="0.2">
      <c r="A538" s="1" t="s">
        <v>3706</v>
      </c>
      <c r="B538" s="1" t="s">
        <v>1911</v>
      </c>
      <c r="C538" s="1" t="s">
        <v>236</v>
      </c>
      <c r="E538" s="1">
        <v>45</v>
      </c>
      <c r="F538" s="1" t="s">
        <v>3707</v>
      </c>
      <c r="H538" s="1" t="s">
        <v>3708</v>
      </c>
      <c r="I538" s="1" t="s">
        <v>7</v>
      </c>
      <c r="J538" s="1" t="s">
        <v>3709</v>
      </c>
      <c r="K538" s="1" t="s">
        <v>3710</v>
      </c>
      <c r="L538" s="1" t="s">
        <v>3711</v>
      </c>
      <c r="M538" s="1" t="s">
        <v>2889</v>
      </c>
      <c r="N538" s="1" t="s">
        <v>3712</v>
      </c>
      <c r="O538" s="1">
        <v>1</v>
      </c>
      <c r="P538" s="1" t="s">
        <v>3218</v>
      </c>
      <c r="Q538" s="1">
        <v>1999</v>
      </c>
      <c r="R538" s="1" t="s">
        <v>3219</v>
      </c>
      <c r="S538" s="1" t="s">
        <v>27</v>
      </c>
      <c r="T538" s="38">
        <v>1</v>
      </c>
      <c r="AH538" s="1">
        <v>0.98</v>
      </c>
      <c r="EY538" s="1">
        <v>143</v>
      </c>
    </row>
    <row r="539" spans="1:155" x14ac:dyDescent="0.2">
      <c r="A539" s="1" t="s">
        <v>3713</v>
      </c>
      <c r="B539" s="1" t="s">
        <v>1911</v>
      </c>
      <c r="C539" s="1" t="s">
        <v>236</v>
      </c>
      <c r="E539" s="1">
        <v>42</v>
      </c>
      <c r="F539" s="1" t="s">
        <v>3714</v>
      </c>
      <c r="H539" s="1" t="s">
        <v>3715</v>
      </c>
      <c r="I539" s="1" t="s">
        <v>7</v>
      </c>
      <c r="J539" s="1" t="s">
        <v>3716</v>
      </c>
      <c r="K539" s="1" t="s">
        <v>3717</v>
      </c>
      <c r="L539" s="1" t="s">
        <v>3718</v>
      </c>
      <c r="M539" s="1" t="s">
        <v>748</v>
      </c>
      <c r="N539" s="1" t="s">
        <v>3719</v>
      </c>
      <c r="O539" s="1">
        <v>1</v>
      </c>
      <c r="P539" s="1" t="s">
        <v>3218</v>
      </c>
      <c r="Q539" s="1">
        <v>1999</v>
      </c>
      <c r="R539" s="1" t="s">
        <v>3219</v>
      </c>
      <c r="S539" s="1" t="s">
        <v>27</v>
      </c>
      <c r="T539" s="38">
        <v>1</v>
      </c>
      <c r="AH539" s="1">
        <v>0.75</v>
      </c>
      <c r="EY539" s="1">
        <v>54.8</v>
      </c>
    </row>
    <row r="540" spans="1:155" x14ac:dyDescent="0.2">
      <c r="A540" s="1" t="s">
        <v>3720</v>
      </c>
      <c r="B540" s="1" t="s">
        <v>1911</v>
      </c>
      <c r="C540" s="1" t="s">
        <v>236</v>
      </c>
      <c r="E540" s="1">
        <v>42</v>
      </c>
      <c r="F540" s="1" t="s">
        <v>3714</v>
      </c>
      <c r="H540" s="1" t="s">
        <v>3721</v>
      </c>
      <c r="I540" s="1" t="s">
        <v>7</v>
      </c>
      <c r="J540" s="1" t="s">
        <v>3718</v>
      </c>
      <c r="K540" s="1" t="s">
        <v>3717</v>
      </c>
      <c r="L540" s="1" t="s">
        <v>3718</v>
      </c>
      <c r="O540" s="1">
        <v>1</v>
      </c>
      <c r="P540" s="1" t="s">
        <v>3218</v>
      </c>
      <c r="Q540" s="1">
        <v>1999</v>
      </c>
      <c r="R540" s="1" t="s">
        <v>3219</v>
      </c>
      <c r="S540" s="1" t="s">
        <v>27</v>
      </c>
      <c r="T540" s="38">
        <v>1</v>
      </c>
      <c r="AH540" s="1">
        <v>0.64</v>
      </c>
      <c r="EY540" s="1">
        <v>51.5</v>
      </c>
    </row>
    <row r="541" spans="1:155" x14ac:dyDescent="0.2">
      <c r="A541" s="1" t="s">
        <v>3722</v>
      </c>
      <c r="B541" s="1" t="s">
        <v>1911</v>
      </c>
      <c r="C541" s="1" t="s">
        <v>236</v>
      </c>
      <c r="E541" s="1">
        <v>42</v>
      </c>
      <c r="F541" s="1" t="s">
        <v>3723</v>
      </c>
      <c r="H541" s="1" t="s">
        <v>3724</v>
      </c>
      <c r="I541" s="1" t="s">
        <v>7</v>
      </c>
      <c r="J541" s="1" t="s">
        <v>3725</v>
      </c>
      <c r="K541" s="1" t="s">
        <v>3726</v>
      </c>
      <c r="L541" s="1" t="s">
        <v>3727</v>
      </c>
      <c r="M541" s="1" t="s">
        <v>748</v>
      </c>
      <c r="N541" s="1" t="s">
        <v>3728</v>
      </c>
      <c r="O541" s="1">
        <v>1</v>
      </c>
      <c r="P541" s="1" t="s">
        <v>3218</v>
      </c>
      <c r="Q541" s="1">
        <v>1999</v>
      </c>
      <c r="R541" s="1" t="s">
        <v>3219</v>
      </c>
      <c r="S541" s="1" t="s">
        <v>27</v>
      </c>
      <c r="T541" s="38">
        <v>1</v>
      </c>
      <c r="AH541" s="1">
        <v>0.57999999999999996</v>
      </c>
      <c r="EY541" s="1">
        <v>52.4</v>
      </c>
    </row>
    <row r="542" spans="1:155" x14ac:dyDescent="0.2">
      <c r="A542" s="1" t="s">
        <v>3729</v>
      </c>
      <c r="B542" s="1" t="s">
        <v>1911</v>
      </c>
      <c r="C542" s="1" t="s">
        <v>236</v>
      </c>
      <c r="E542" s="1">
        <v>42</v>
      </c>
      <c r="F542" s="1" t="s">
        <v>3730</v>
      </c>
      <c r="H542" s="1" t="s">
        <v>3731</v>
      </c>
      <c r="I542" s="1" t="s">
        <v>7</v>
      </c>
      <c r="J542" s="1" t="s">
        <v>3732</v>
      </c>
      <c r="K542" s="1" t="s">
        <v>3733</v>
      </c>
      <c r="L542" s="1" t="s">
        <v>3734</v>
      </c>
      <c r="M542" s="1" t="s">
        <v>748</v>
      </c>
      <c r="N542" s="1" t="s">
        <v>3735</v>
      </c>
      <c r="O542" s="1">
        <v>1</v>
      </c>
      <c r="P542" s="1" t="s">
        <v>3218</v>
      </c>
      <c r="Q542" s="1">
        <v>1999</v>
      </c>
      <c r="R542" s="1" t="s">
        <v>3219</v>
      </c>
      <c r="S542" s="1" t="s">
        <v>27</v>
      </c>
      <c r="T542" s="38">
        <v>1</v>
      </c>
      <c r="AH542" s="1">
        <v>0.7</v>
      </c>
      <c r="EY542" s="1">
        <v>56.5</v>
      </c>
    </row>
    <row r="543" spans="1:155" x14ac:dyDescent="0.2">
      <c r="A543" s="1" t="s">
        <v>3736</v>
      </c>
      <c r="B543" s="1" t="s">
        <v>1911</v>
      </c>
      <c r="C543" s="1" t="s">
        <v>236</v>
      </c>
      <c r="E543" s="1">
        <v>42</v>
      </c>
      <c r="F543" s="1" t="s">
        <v>3730</v>
      </c>
      <c r="H543" s="1" t="s">
        <v>3731</v>
      </c>
      <c r="I543" s="1" t="s">
        <v>7</v>
      </c>
      <c r="J543" s="1" t="s">
        <v>3732</v>
      </c>
      <c r="K543" s="1" t="s">
        <v>3733</v>
      </c>
      <c r="L543" s="1" t="s">
        <v>3734</v>
      </c>
      <c r="M543" s="1" t="s">
        <v>2889</v>
      </c>
      <c r="N543" s="1" t="s">
        <v>3737</v>
      </c>
      <c r="O543" s="1">
        <v>1</v>
      </c>
      <c r="P543" s="1" t="s">
        <v>3218</v>
      </c>
      <c r="Q543" s="1">
        <v>1999</v>
      </c>
      <c r="R543" s="1" t="s">
        <v>3219</v>
      </c>
      <c r="S543" s="1" t="s">
        <v>27</v>
      </c>
      <c r="T543" s="38">
        <v>1</v>
      </c>
      <c r="AH543" s="1">
        <v>0.76</v>
      </c>
      <c r="EY543" s="1">
        <v>54.2</v>
      </c>
    </row>
    <row r="544" spans="1:155" x14ac:dyDescent="0.2">
      <c r="A544" s="1" t="s">
        <v>3738</v>
      </c>
      <c r="B544" s="1" t="s">
        <v>1911</v>
      </c>
      <c r="C544" s="1" t="s">
        <v>236</v>
      </c>
      <c r="E544" s="1">
        <v>42</v>
      </c>
      <c r="F544" s="1" t="s">
        <v>3739</v>
      </c>
      <c r="H544" s="1" t="s">
        <v>3740</v>
      </c>
      <c r="I544" s="1" t="s">
        <v>7</v>
      </c>
      <c r="J544" s="1" t="s">
        <v>3741</v>
      </c>
      <c r="K544" s="1" t="s">
        <v>3742</v>
      </c>
      <c r="L544" s="1" t="s">
        <v>3741</v>
      </c>
      <c r="M544" s="1" t="s">
        <v>748</v>
      </c>
      <c r="N544" s="1" t="s">
        <v>3743</v>
      </c>
      <c r="O544" s="1">
        <v>1</v>
      </c>
      <c r="P544" s="1" t="s">
        <v>3218</v>
      </c>
      <c r="Q544" s="1">
        <v>1999</v>
      </c>
      <c r="R544" s="1" t="s">
        <v>3219</v>
      </c>
      <c r="S544" s="1" t="s">
        <v>27</v>
      </c>
      <c r="T544" s="38">
        <v>1</v>
      </c>
      <c r="AH544" s="1">
        <v>0.68</v>
      </c>
      <c r="EY544" s="1">
        <v>66.8</v>
      </c>
    </row>
    <row r="545" spans="1:155" x14ac:dyDescent="0.2">
      <c r="A545" s="1" t="s">
        <v>3744</v>
      </c>
      <c r="B545" s="1" t="s">
        <v>57</v>
      </c>
      <c r="C545" s="1" t="s">
        <v>236</v>
      </c>
      <c r="E545" s="1">
        <v>57</v>
      </c>
      <c r="F545" s="1" t="s">
        <v>3745</v>
      </c>
      <c r="H545" s="1" t="s">
        <v>3746</v>
      </c>
      <c r="I545" s="1" t="s">
        <v>7</v>
      </c>
      <c r="J545" s="1" t="s">
        <v>3747</v>
      </c>
      <c r="K545" s="1" t="s">
        <v>3748</v>
      </c>
      <c r="L545" s="1" t="s">
        <v>3749</v>
      </c>
      <c r="O545" s="1">
        <v>1</v>
      </c>
      <c r="P545" s="1" t="s">
        <v>3218</v>
      </c>
      <c r="Q545" s="1">
        <v>1999</v>
      </c>
      <c r="R545" s="1" t="s">
        <v>3219</v>
      </c>
      <c r="S545" s="1" t="s">
        <v>27</v>
      </c>
      <c r="T545" s="38">
        <v>1</v>
      </c>
      <c r="AH545" s="1">
        <v>1.3</v>
      </c>
      <c r="EY545" s="1">
        <v>162</v>
      </c>
    </row>
    <row r="546" spans="1:155" x14ac:dyDescent="0.2">
      <c r="A546" s="1" t="s">
        <v>3750</v>
      </c>
      <c r="B546" s="1" t="s">
        <v>57</v>
      </c>
      <c r="C546" s="1" t="s">
        <v>236</v>
      </c>
      <c r="E546" s="1">
        <v>57</v>
      </c>
      <c r="F546" s="1" t="s">
        <v>3745</v>
      </c>
      <c r="H546" s="1" t="s">
        <v>3746</v>
      </c>
      <c r="I546" s="1" t="s">
        <v>7</v>
      </c>
      <c r="J546" s="1" t="s">
        <v>3749</v>
      </c>
      <c r="K546" s="1" t="s">
        <v>3748</v>
      </c>
      <c r="L546" s="1" t="s">
        <v>3749</v>
      </c>
      <c r="M546" s="1" t="s">
        <v>2889</v>
      </c>
      <c r="N546" s="1" t="s">
        <v>3751</v>
      </c>
      <c r="O546" s="1">
        <v>1</v>
      </c>
      <c r="P546" s="1" t="s">
        <v>3218</v>
      </c>
      <c r="Q546" s="1">
        <v>1999</v>
      </c>
      <c r="R546" s="1" t="s">
        <v>3219</v>
      </c>
      <c r="S546" s="1" t="s">
        <v>27</v>
      </c>
      <c r="T546" s="38">
        <v>1</v>
      </c>
      <c r="AH546" s="1">
        <v>0.92</v>
      </c>
      <c r="EY546" s="1">
        <v>130</v>
      </c>
    </row>
    <row r="547" spans="1:155" x14ac:dyDescent="0.2">
      <c r="A547" s="1" t="s">
        <v>3752</v>
      </c>
      <c r="B547" s="1" t="s">
        <v>57</v>
      </c>
      <c r="C547" s="1" t="s">
        <v>236</v>
      </c>
      <c r="E547" s="1">
        <v>57</v>
      </c>
      <c r="F547" s="1" t="s">
        <v>3753</v>
      </c>
      <c r="H547" s="1" t="s">
        <v>3754</v>
      </c>
      <c r="I547" s="1" t="s">
        <v>7</v>
      </c>
      <c r="J547" s="1" t="s">
        <v>3755</v>
      </c>
      <c r="K547" s="1" t="s">
        <v>3756</v>
      </c>
      <c r="L547" s="1" t="s">
        <v>3755</v>
      </c>
      <c r="M547" s="1" t="s">
        <v>2889</v>
      </c>
      <c r="N547" s="1" t="s">
        <v>3757</v>
      </c>
      <c r="O547" s="1">
        <v>1</v>
      </c>
      <c r="P547" s="1" t="s">
        <v>3218</v>
      </c>
      <c r="Q547" s="1">
        <v>1999</v>
      </c>
      <c r="R547" s="1" t="s">
        <v>3219</v>
      </c>
      <c r="S547" s="1" t="s">
        <v>27</v>
      </c>
      <c r="T547" s="38">
        <v>1</v>
      </c>
      <c r="AH547" s="1">
        <v>1.4</v>
      </c>
      <c r="EY547" s="1">
        <v>198</v>
      </c>
    </row>
    <row r="548" spans="1:155" x14ac:dyDescent="0.2">
      <c r="A548" s="1" t="s">
        <v>3758</v>
      </c>
      <c r="B548" s="1" t="s">
        <v>57</v>
      </c>
      <c r="C548" s="1" t="s">
        <v>236</v>
      </c>
      <c r="E548" s="1">
        <v>57</v>
      </c>
      <c r="F548" s="1" t="s">
        <v>3753</v>
      </c>
      <c r="H548" s="1" t="s">
        <v>3754</v>
      </c>
      <c r="I548" s="1" t="s">
        <v>7</v>
      </c>
      <c r="J548" s="1" t="s">
        <v>3755</v>
      </c>
      <c r="K548" s="1" t="s">
        <v>3756</v>
      </c>
      <c r="L548" s="1" t="s">
        <v>3755</v>
      </c>
      <c r="O548" s="1">
        <v>1</v>
      </c>
      <c r="P548" s="1" t="s">
        <v>3218</v>
      </c>
      <c r="Q548" s="1">
        <v>1999</v>
      </c>
      <c r="R548" s="1" t="s">
        <v>3219</v>
      </c>
      <c r="S548" s="1" t="s">
        <v>27</v>
      </c>
      <c r="T548" s="38">
        <v>1</v>
      </c>
      <c r="AH548" s="1">
        <v>1.33</v>
      </c>
      <c r="EY548" s="1">
        <v>188</v>
      </c>
    </row>
    <row r="549" spans="1:155" x14ac:dyDescent="0.2">
      <c r="A549" s="1" t="s">
        <v>3759</v>
      </c>
      <c r="B549" s="1" t="s">
        <v>57</v>
      </c>
      <c r="C549" s="1" t="s">
        <v>3760</v>
      </c>
      <c r="E549" s="1">
        <v>52</v>
      </c>
      <c r="F549" s="1" t="s">
        <v>3761</v>
      </c>
      <c r="H549" s="1" t="s">
        <v>3762</v>
      </c>
      <c r="I549" s="1" t="s">
        <v>7</v>
      </c>
      <c r="J549" s="1" t="s">
        <v>3763</v>
      </c>
      <c r="K549" s="1" t="s">
        <v>3764</v>
      </c>
      <c r="L549" s="1" t="s">
        <v>3765</v>
      </c>
      <c r="Q549" s="1">
        <v>1976</v>
      </c>
      <c r="R549" s="1" t="s">
        <v>3766</v>
      </c>
      <c r="S549" s="1" t="s">
        <v>27</v>
      </c>
      <c r="T549" s="38">
        <v>1</v>
      </c>
      <c r="Z549" s="1">
        <v>76.900000000000006</v>
      </c>
      <c r="AE549" s="1">
        <v>17.100000000000001</v>
      </c>
      <c r="AJ549" s="1">
        <v>0.7</v>
      </c>
      <c r="AV549" s="1">
        <v>1.7</v>
      </c>
    </row>
    <row r="550" spans="1:155" x14ac:dyDescent="0.2">
      <c r="A550" s="1" t="s">
        <v>3767</v>
      </c>
      <c r="B550" s="1" t="s">
        <v>57</v>
      </c>
      <c r="C550" s="1" t="s">
        <v>3760</v>
      </c>
      <c r="E550" s="1">
        <v>56</v>
      </c>
      <c r="F550" s="1" t="s">
        <v>3768</v>
      </c>
      <c r="H550" s="1" t="s">
        <v>3769</v>
      </c>
      <c r="I550" s="1" t="s">
        <v>7</v>
      </c>
      <c r="J550" s="1" t="s">
        <v>3770</v>
      </c>
      <c r="K550" s="1" t="s">
        <v>3771</v>
      </c>
      <c r="L550" s="1" t="s">
        <v>3770</v>
      </c>
      <c r="Q550" s="1">
        <v>1976</v>
      </c>
      <c r="R550" s="1" t="s">
        <v>3766</v>
      </c>
      <c r="S550" s="1" t="s">
        <v>27</v>
      </c>
      <c r="T550" s="38">
        <v>1</v>
      </c>
      <c r="Z550" s="1">
        <v>80</v>
      </c>
      <c r="AE550" s="1">
        <v>13</v>
      </c>
      <c r="AJ550" s="1">
        <v>1.23</v>
      </c>
      <c r="AV550" s="1">
        <v>1.7</v>
      </c>
    </row>
    <row r="551" spans="1:155" x14ac:dyDescent="0.2">
      <c r="A551" s="1" t="s">
        <v>3772</v>
      </c>
      <c r="B551" s="1" t="s">
        <v>57</v>
      </c>
      <c r="C551" s="1" t="s">
        <v>3760</v>
      </c>
      <c r="E551" s="1">
        <v>56</v>
      </c>
      <c r="F551" s="1" t="s">
        <v>3773</v>
      </c>
      <c r="H551" s="1" t="s">
        <v>3774</v>
      </c>
      <c r="I551" s="1" t="s">
        <v>7</v>
      </c>
      <c r="J551" s="1" t="s">
        <v>3775</v>
      </c>
      <c r="K551" s="1" t="s">
        <v>3776</v>
      </c>
      <c r="L551" s="1" t="s">
        <v>3777</v>
      </c>
      <c r="Q551" s="1">
        <v>1976</v>
      </c>
      <c r="R551" s="1" t="s">
        <v>3766</v>
      </c>
      <c r="S551" s="1" t="s">
        <v>27</v>
      </c>
      <c r="T551" s="38">
        <v>1</v>
      </c>
      <c r="Z551" s="1">
        <v>82.4</v>
      </c>
      <c r="AE551" s="1">
        <v>11.8</v>
      </c>
      <c r="AJ551" s="1">
        <v>1</v>
      </c>
      <c r="AV551" s="1">
        <v>1.6</v>
      </c>
    </row>
    <row r="552" spans="1:155" x14ac:dyDescent="0.2">
      <c r="A552" s="1" t="s">
        <v>3778</v>
      </c>
      <c r="B552" s="1" t="s">
        <v>57</v>
      </c>
      <c r="C552" s="1" t="s">
        <v>3760</v>
      </c>
      <c r="E552" s="1">
        <v>56</v>
      </c>
      <c r="F552" s="1" t="s">
        <v>3779</v>
      </c>
      <c r="H552" s="1" t="s">
        <v>3780</v>
      </c>
      <c r="I552" s="1" t="s">
        <v>7</v>
      </c>
      <c r="J552" s="1" t="s">
        <v>3781</v>
      </c>
      <c r="K552" s="1" t="s">
        <v>3782</v>
      </c>
      <c r="L552" s="1" t="s">
        <v>3781</v>
      </c>
      <c r="Q552" s="1">
        <v>1976</v>
      </c>
      <c r="R552" s="1" t="s">
        <v>3766</v>
      </c>
      <c r="S552" s="1" t="s">
        <v>27</v>
      </c>
      <c r="T552" s="38">
        <v>1</v>
      </c>
      <c r="Z552" s="1">
        <v>79.400000000000006</v>
      </c>
      <c r="AE552" s="1">
        <v>13.5</v>
      </c>
      <c r="AJ552" s="1">
        <v>1</v>
      </c>
      <c r="AV552" s="1">
        <v>2.6</v>
      </c>
    </row>
    <row r="553" spans="1:155" x14ac:dyDescent="0.2">
      <c r="A553" s="1" t="s">
        <v>3783</v>
      </c>
      <c r="B553" s="1" t="s">
        <v>55</v>
      </c>
      <c r="C553" s="1" t="s">
        <v>3784</v>
      </c>
      <c r="E553" s="1">
        <v>32</v>
      </c>
      <c r="F553" s="1" t="s">
        <v>3785</v>
      </c>
      <c r="H553" s="1" t="s">
        <v>3786</v>
      </c>
      <c r="I553" s="1" t="s">
        <v>7</v>
      </c>
      <c r="J553" s="1" t="s">
        <v>3787</v>
      </c>
      <c r="K553" s="1" t="s">
        <v>3788</v>
      </c>
      <c r="L553" s="1" t="s">
        <v>3787</v>
      </c>
      <c r="Q553" s="1">
        <v>1976</v>
      </c>
      <c r="R553" s="1" t="s">
        <v>3766</v>
      </c>
      <c r="S553" s="1" t="s">
        <v>27</v>
      </c>
      <c r="T553" s="38">
        <v>1</v>
      </c>
      <c r="Z553" s="1">
        <v>81.099999999999994</v>
      </c>
      <c r="AE553" s="1">
        <v>17.899999999999999</v>
      </c>
      <c r="AJ553" s="1">
        <v>0.66</v>
      </c>
      <c r="AV553" s="1">
        <v>1.2</v>
      </c>
    </row>
    <row r="554" spans="1:155" x14ac:dyDescent="0.2">
      <c r="A554" s="1" t="s">
        <v>3789</v>
      </c>
      <c r="B554" s="1" t="s">
        <v>55</v>
      </c>
      <c r="C554" s="1" t="s">
        <v>3790</v>
      </c>
      <c r="E554" s="1">
        <v>33</v>
      </c>
      <c r="F554" s="1" t="s">
        <v>3791</v>
      </c>
      <c r="H554" s="1" t="s">
        <v>3792</v>
      </c>
      <c r="I554" s="1" t="s">
        <v>7</v>
      </c>
      <c r="J554" s="1" t="s">
        <v>3793</v>
      </c>
      <c r="K554" s="1" t="s">
        <v>3794</v>
      </c>
      <c r="L554" s="1" t="s">
        <v>3793</v>
      </c>
      <c r="Q554" s="1">
        <v>1976</v>
      </c>
      <c r="R554" s="1" t="s">
        <v>3766</v>
      </c>
      <c r="S554" s="1" t="s">
        <v>27</v>
      </c>
      <c r="T554" s="38">
        <v>1</v>
      </c>
      <c r="Z554" s="1">
        <v>81.099999999999994</v>
      </c>
      <c r="AE554" s="1">
        <v>17.600000000000001</v>
      </c>
      <c r="AJ554" s="1">
        <v>0.96</v>
      </c>
      <c r="AV554" s="1">
        <v>1.2</v>
      </c>
    </row>
    <row r="555" spans="1:155" x14ac:dyDescent="0.2">
      <c r="A555" s="1" t="s">
        <v>3795</v>
      </c>
      <c r="B555" s="1" t="s">
        <v>1911</v>
      </c>
      <c r="C555" s="1" t="s">
        <v>3796</v>
      </c>
      <c r="E555" s="1">
        <v>42</v>
      </c>
      <c r="F555" s="1" t="s">
        <v>3797</v>
      </c>
      <c r="H555" s="1" t="s">
        <v>3798</v>
      </c>
      <c r="I555" s="1" t="s">
        <v>7</v>
      </c>
      <c r="J555" s="1" t="s">
        <v>3799</v>
      </c>
      <c r="K555" s="1" t="s">
        <v>3800</v>
      </c>
      <c r="L555" s="1" t="s">
        <v>3799</v>
      </c>
      <c r="Q555" s="1">
        <v>1976</v>
      </c>
      <c r="R555" s="1" t="s">
        <v>3766</v>
      </c>
      <c r="S555" s="1" t="s">
        <v>27</v>
      </c>
      <c r="T555" s="38">
        <v>1</v>
      </c>
      <c r="Z555" s="1">
        <v>78.099999999999994</v>
      </c>
      <c r="AE555" s="1">
        <v>19.3</v>
      </c>
      <c r="AJ555" s="1">
        <v>0.87</v>
      </c>
      <c r="AV555" s="1">
        <v>1.81</v>
      </c>
    </row>
    <row r="556" spans="1:155" x14ac:dyDescent="0.2">
      <c r="A556" s="1" t="s">
        <v>3801</v>
      </c>
      <c r="B556" s="1" t="s">
        <v>1911</v>
      </c>
      <c r="C556" s="1" t="s">
        <v>3796</v>
      </c>
      <c r="E556" s="1">
        <v>42</v>
      </c>
      <c r="F556" s="1" t="s">
        <v>3797</v>
      </c>
      <c r="H556" s="1" t="s">
        <v>3802</v>
      </c>
      <c r="I556" s="1" t="s">
        <v>7</v>
      </c>
      <c r="J556" s="1" t="s">
        <v>3799</v>
      </c>
      <c r="K556" s="1" t="s">
        <v>3800</v>
      </c>
      <c r="L556" s="1" t="s">
        <v>3799</v>
      </c>
      <c r="Q556" s="1">
        <v>1976</v>
      </c>
      <c r="R556" s="1" t="s">
        <v>3766</v>
      </c>
      <c r="S556" s="1" t="s">
        <v>27</v>
      </c>
      <c r="T556" s="38">
        <v>1</v>
      </c>
      <c r="Z556" s="1">
        <v>78.900000000000006</v>
      </c>
      <c r="AE556" s="1">
        <v>18.399999999999999</v>
      </c>
      <c r="AJ556" s="1">
        <v>0.82</v>
      </c>
      <c r="AV556" s="1">
        <v>1.95</v>
      </c>
    </row>
    <row r="557" spans="1:155" x14ac:dyDescent="0.2">
      <c r="A557" s="1" t="s">
        <v>3803</v>
      </c>
      <c r="B557" s="1" t="s">
        <v>1911</v>
      </c>
      <c r="C557" s="1" t="s">
        <v>3804</v>
      </c>
      <c r="E557" s="1">
        <v>44</v>
      </c>
      <c r="F557" s="1" t="s">
        <v>3805</v>
      </c>
      <c r="H557" s="1" t="s">
        <v>3806</v>
      </c>
      <c r="I557" s="1" t="s">
        <v>7</v>
      </c>
      <c r="J557" s="1" t="s">
        <v>3807</v>
      </c>
      <c r="K557" s="1" t="s">
        <v>3808</v>
      </c>
      <c r="L557" s="1" t="s">
        <v>3809</v>
      </c>
      <c r="Q557" s="1">
        <v>1976</v>
      </c>
      <c r="R557" s="1" t="s">
        <v>3766</v>
      </c>
      <c r="S557" s="1" t="s">
        <v>27</v>
      </c>
      <c r="T557" s="38">
        <v>1</v>
      </c>
      <c r="Z557" s="1">
        <v>86.1</v>
      </c>
      <c r="AE557" s="1">
        <v>11.6</v>
      </c>
      <c r="AJ557" s="1">
        <v>0.6</v>
      </c>
      <c r="AV557" s="1">
        <v>2.34</v>
      </c>
    </row>
    <row r="558" spans="1:155" x14ac:dyDescent="0.2">
      <c r="A558" s="1" t="s">
        <v>3810</v>
      </c>
      <c r="B558" s="1" t="s">
        <v>1911</v>
      </c>
      <c r="C558" s="1" t="s">
        <v>3804</v>
      </c>
      <c r="E558" s="1">
        <v>44</v>
      </c>
      <c r="F558" s="1" t="s">
        <v>3805</v>
      </c>
      <c r="H558" s="1" t="s">
        <v>3811</v>
      </c>
      <c r="I558" s="1" t="s">
        <v>7</v>
      </c>
      <c r="J558" s="1" t="s">
        <v>3807</v>
      </c>
      <c r="K558" s="1" t="s">
        <v>3808</v>
      </c>
      <c r="L558" s="1" t="s">
        <v>3809</v>
      </c>
      <c r="Q558" s="1">
        <v>1976</v>
      </c>
      <c r="R558" s="1" t="s">
        <v>3766</v>
      </c>
      <c r="S558" s="1" t="s">
        <v>27</v>
      </c>
      <c r="T558" s="38">
        <v>1</v>
      </c>
      <c r="Z558" s="1">
        <v>86</v>
      </c>
      <c r="AE558" s="1">
        <v>13.5</v>
      </c>
      <c r="AJ558" s="1">
        <v>0.69</v>
      </c>
    </row>
    <row r="559" spans="1:155" x14ac:dyDescent="0.2">
      <c r="A559" s="1" t="s">
        <v>3812</v>
      </c>
      <c r="B559" s="1" t="s">
        <v>1911</v>
      </c>
      <c r="C559" s="1" t="s">
        <v>3804</v>
      </c>
      <c r="E559" s="1">
        <v>44</v>
      </c>
      <c r="F559" s="1" t="s">
        <v>3805</v>
      </c>
      <c r="H559" s="1" t="s">
        <v>3813</v>
      </c>
      <c r="I559" s="1" t="s">
        <v>7</v>
      </c>
      <c r="J559" s="1" t="s">
        <v>3807</v>
      </c>
      <c r="K559" s="1" t="s">
        <v>3808</v>
      </c>
      <c r="L559" s="1" t="s">
        <v>3809</v>
      </c>
      <c r="Q559" s="1">
        <v>1976</v>
      </c>
      <c r="R559" s="1" t="s">
        <v>3766</v>
      </c>
      <c r="S559" s="1" t="s">
        <v>27</v>
      </c>
      <c r="T559" s="38">
        <v>1</v>
      </c>
      <c r="Z559" s="1">
        <v>79.599999999999994</v>
      </c>
      <c r="AE559" s="1">
        <v>18.2</v>
      </c>
      <c r="AJ559" s="1">
        <v>1.1599999999999999</v>
      </c>
      <c r="AV559" s="1">
        <v>1.89</v>
      </c>
    </row>
    <row r="560" spans="1:155" x14ac:dyDescent="0.2">
      <c r="A560" s="1" t="s">
        <v>3814</v>
      </c>
      <c r="B560" s="1" t="s">
        <v>57</v>
      </c>
      <c r="C560" s="1" t="s">
        <v>3760</v>
      </c>
      <c r="E560" s="1">
        <v>76</v>
      </c>
      <c r="F560" s="1" t="s">
        <v>3815</v>
      </c>
      <c r="H560" s="1" t="s">
        <v>3816</v>
      </c>
      <c r="I560" s="1" t="s">
        <v>7</v>
      </c>
      <c r="J560" s="1" t="s">
        <v>3817</v>
      </c>
      <c r="K560" s="1" t="s">
        <v>3818</v>
      </c>
      <c r="L560" s="1" t="s">
        <v>3819</v>
      </c>
      <c r="Q560" s="1">
        <v>1976</v>
      </c>
      <c r="R560" s="1" t="s">
        <v>3766</v>
      </c>
      <c r="S560" s="1" t="s">
        <v>27</v>
      </c>
      <c r="T560" s="38">
        <v>1</v>
      </c>
      <c r="Z560" s="1">
        <v>86.2</v>
      </c>
      <c r="AE560" s="1">
        <v>10.6</v>
      </c>
      <c r="AJ560" s="1">
        <v>0.6</v>
      </c>
      <c r="AV560" s="1">
        <v>1.7</v>
      </c>
    </row>
    <row r="561" spans="1:48" x14ac:dyDescent="0.2">
      <c r="A561" s="1" t="s">
        <v>3820</v>
      </c>
      <c r="B561" s="1" t="s">
        <v>55</v>
      </c>
      <c r="C561" s="1" t="s">
        <v>3821</v>
      </c>
      <c r="E561" s="1">
        <v>38</v>
      </c>
      <c r="F561" s="1" t="s">
        <v>3822</v>
      </c>
      <c r="H561" s="1" t="s">
        <v>3823</v>
      </c>
      <c r="I561" s="1" t="s">
        <v>7</v>
      </c>
      <c r="J561" s="1" t="s">
        <v>3824</v>
      </c>
      <c r="K561" s="1" t="s">
        <v>3825</v>
      </c>
      <c r="L561" s="1" t="s">
        <v>3824</v>
      </c>
      <c r="Q561" s="1">
        <v>1976</v>
      </c>
      <c r="R561" s="1" t="s">
        <v>3766</v>
      </c>
      <c r="S561" s="1" t="s">
        <v>27</v>
      </c>
      <c r="T561" s="38">
        <v>1</v>
      </c>
      <c r="Z561" s="1">
        <v>70.599999999999994</v>
      </c>
      <c r="AE561" s="1">
        <v>17.399999999999999</v>
      </c>
      <c r="AJ561" s="1">
        <v>13.4</v>
      </c>
      <c r="AV561" s="1">
        <v>0.8</v>
      </c>
    </row>
    <row r="562" spans="1:48" x14ac:dyDescent="0.2">
      <c r="A562" s="1" t="s">
        <v>3826</v>
      </c>
      <c r="B562" s="1" t="s">
        <v>55</v>
      </c>
      <c r="C562" s="1" t="s">
        <v>3827</v>
      </c>
      <c r="E562" s="1">
        <v>38</v>
      </c>
      <c r="F562" s="1" t="s">
        <v>3822</v>
      </c>
      <c r="H562" s="1" t="s">
        <v>3828</v>
      </c>
      <c r="I562" s="1" t="s">
        <v>7</v>
      </c>
      <c r="J562" s="1" t="s">
        <v>3824</v>
      </c>
      <c r="K562" s="1" t="s">
        <v>3825</v>
      </c>
      <c r="L562" s="1" t="s">
        <v>3824</v>
      </c>
      <c r="Q562" s="1">
        <v>1976</v>
      </c>
      <c r="R562" s="1" t="s">
        <v>3766</v>
      </c>
      <c r="S562" s="1" t="s">
        <v>27</v>
      </c>
      <c r="T562" s="38">
        <v>1</v>
      </c>
      <c r="Z562" s="1">
        <v>69.5</v>
      </c>
      <c r="AE562" s="1">
        <v>16.3</v>
      </c>
      <c r="AJ562" s="1">
        <v>15.3</v>
      </c>
      <c r="AV562" s="1">
        <v>1.77</v>
      </c>
    </row>
    <row r="563" spans="1:48" x14ac:dyDescent="0.2">
      <c r="A563" s="1" t="s">
        <v>3829</v>
      </c>
      <c r="B563" s="1" t="s">
        <v>55</v>
      </c>
      <c r="C563" s="1" t="s">
        <v>3830</v>
      </c>
      <c r="E563" s="1">
        <v>23</v>
      </c>
      <c r="F563" s="1" t="s">
        <v>3831</v>
      </c>
      <c r="H563" s="1" t="s">
        <v>3832</v>
      </c>
      <c r="I563" s="1" t="s">
        <v>7</v>
      </c>
      <c r="J563" s="1" t="s">
        <v>3833</v>
      </c>
      <c r="K563" s="1" t="s">
        <v>3834</v>
      </c>
      <c r="L563" s="1" t="s">
        <v>3833</v>
      </c>
      <c r="Q563" s="1">
        <v>1976</v>
      </c>
      <c r="R563" s="1" t="s">
        <v>3766</v>
      </c>
      <c r="S563" s="1" t="s">
        <v>27</v>
      </c>
      <c r="T563" s="38">
        <v>1</v>
      </c>
      <c r="Z563" s="1">
        <v>79.599999999999994</v>
      </c>
      <c r="AE563" s="1">
        <v>14.6</v>
      </c>
      <c r="AJ563" s="1">
        <v>6.25</v>
      </c>
      <c r="AV563" s="1">
        <v>1.25</v>
      </c>
    </row>
    <row r="564" spans="1:48" x14ac:dyDescent="0.2">
      <c r="A564" s="1" t="s">
        <v>3835</v>
      </c>
      <c r="B564" s="1" t="s">
        <v>55</v>
      </c>
      <c r="C564" s="1" t="s">
        <v>3836</v>
      </c>
      <c r="E564" s="1">
        <v>31</v>
      </c>
      <c r="F564" s="1" t="s">
        <v>3837</v>
      </c>
      <c r="H564" s="1" t="s">
        <v>3838</v>
      </c>
      <c r="I564" s="1" t="s">
        <v>7</v>
      </c>
      <c r="J564" s="1" t="s">
        <v>3839</v>
      </c>
      <c r="K564" s="1" t="s">
        <v>3840</v>
      </c>
      <c r="L564" s="1" t="s">
        <v>3839</v>
      </c>
      <c r="Q564" s="1">
        <v>1976</v>
      </c>
      <c r="R564" s="1" t="s">
        <v>3766</v>
      </c>
      <c r="S564" s="1" t="s">
        <v>27</v>
      </c>
      <c r="T564" s="38">
        <v>1</v>
      </c>
      <c r="Z564" s="1">
        <v>79.5</v>
      </c>
      <c r="AE564" s="1">
        <v>17.7</v>
      </c>
      <c r="AJ564" s="1">
        <v>2.2999999999999998</v>
      </c>
      <c r="AV564" s="1">
        <v>1.1100000000000001</v>
      </c>
    </row>
    <row r="565" spans="1:48" x14ac:dyDescent="0.2">
      <c r="A565" s="1" t="s">
        <v>3841</v>
      </c>
      <c r="B565" s="1" t="s">
        <v>55</v>
      </c>
      <c r="C565" s="1" t="s">
        <v>3842</v>
      </c>
      <c r="E565" s="1">
        <v>31</v>
      </c>
      <c r="F565" s="1" t="s">
        <v>3843</v>
      </c>
      <c r="H565" s="1" t="s">
        <v>3844</v>
      </c>
      <c r="I565" s="1" t="s">
        <v>7</v>
      </c>
      <c r="J565" s="1" t="s">
        <v>3845</v>
      </c>
      <c r="K565" s="1" t="s">
        <v>3846</v>
      </c>
      <c r="L565" s="1" t="s">
        <v>3845</v>
      </c>
      <c r="Q565" s="1">
        <v>1976</v>
      </c>
      <c r="R565" s="1" t="s">
        <v>3766</v>
      </c>
      <c r="S565" s="1" t="s">
        <v>27</v>
      </c>
      <c r="T565" s="38">
        <v>1</v>
      </c>
      <c r="Z565" s="1">
        <v>80.3</v>
      </c>
      <c r="AE565" s="1">
        <v>17.3</v>
      </c>
      <c r="AJ565" s="1">
        <v>1.4</v>
      </c>
      <c r="AV565" s="1">
        <v>1.1200000000000001</v>
      </c>
    </row>
    <row r="566" spans="1:48" x14ac:dyDescent="0.2">
      <c r="A566" s="1" t="s">
        <v>3847</v>
      </c>
      <c r="B566" s="1" t="s">
        <v>57</v>
      </c>
      <c r="C566" s="1" t="s">
        <v>3760</v>
      </c>
      <c r="E566" s="1">
        <v>56</v>
      </c>
      <c r="F566" s="1" t="s">
        <v>3848</v>
      </c>
      <c r="H566" s="1" t="s">
        <v>3849</v>
      </c>
      <c r="I566" s="1" t="s">
        <v>7</v>
      </c>
      <c r="J566" s="1" t="s">
        <v>3850</v>
      </c>
      <c r="K566" s="1" t="s">
        <v>3851</v>
      </c>
      <c r="L566" s="1" t="s">
        <v>3852</v>
      </c>
      <c r="Q566" s="1">
        <v>1976</v>
      </c>
      <c r="R566" s="1" t="s">
        <v>3766</v>
      </c>
      <c r="S566" s="1" t="s">
        <v>27</v>
      </c>
      <c r="T566" s="38">
        <v>1</v>
      </c>
      <c r="Z566" s="1">
        <v>77.2</v>
      </c>
      <c r="AE566" s="1">
        <v>15.9</v>
      </c>
      <c r="AJ566" s="1">
        <v>0.8</v>
      </c>
      <c r="AV566" s="1">
        <v>4.5999999999999996</v>
      </c>
    </row>
    <row r="567" spans="1:48" x14ac:dyDescent="0.2">
      <c r="A567" s="1" t="s">
        <v>3853</v>
      </c>
      <c r="B567" s="1" t="s">
        <v>57</v>
      </c>
      <c r="C567" s="1" t="s">
        <v>3760</v>
      </c>
      <c r="E567" s="1">
        <v>56</v>
      </c>
      <c r="F567" s="1" t="s">
        <v>3848</v>
      </c>
      <c r="H567" s="1" t="s">
        <v>3854</v>
      </c>
      <c r="I567" s="1" t="s">
        <v>7</v>
      </c>
      <c r="J567" s="1" t="s">
        <v>3850</v>
      </c>
      <c r="L567" s="1" t="s">
        <v>3852</v>
      </c>
      <c r="Q567" s="1">
        <v>1976</v>
      </c>
      <c r="R567" s="1" t="s">
        <v>3766</v>
      </c>
      <c r="S567" s="1" t="s">
        <v>27</v>
      </c>
      <c r="T567" s="38">
        <v>1</v>
      </c>
      <c r="Z567" s="1">
        <v>78.8</v>
      </c>
      <c r="AE567" s="1">
        <v>15</v>
      </c>
      <c r="AJ567" s="1">
        <v>3.2</v>
      </c>
      <c r="AV567" s="1">
        <v>1.8</v>
      </c>
    </row>
    <row r="568" spans="1:48" x14ac:dyDescent="0.2">
      <c r="A568" s="1" t="s">
        <v>3855</v>
      </c>
      <c r="B568" s="1" t="s">
        <v>55</v>
      </c>
      <c r="C568" s="1" t="s">
        <v>3856</v>
      </c>
      <c r="E568" s="1">
        <v>31</v>
      </c>
      <c r="F568" s="1" t="s">
        <v>3857</v>
      </c>
      <c r="H568" s="1" t="s">
        <v>3858</v>
      </c>
      <c r="I568" s="1" t="s">
        <v>7</v>
      </c>
      <c r="J568" s="1" t="s">
        <v>3859</v>
      </c>
      <c r="K568" s="1" t="s">
        <v>3860</v>
      </c>
      <c r="L568" s="1" t="s">
        <v>3859</v>
      </c>
      <c r="Q568" s="1">
        <v>1976</v>
      </c>
      <c r="R568" s="1" t="s">
        <v>3766</v>
      </c>
      <c r="S568" s="1" t="s">
        <v>27</v>
      </c>
      <c r="T568" s="38">
        <v>1</v>
      </c>
      <c r="Z568" s="1">
        <v>78.3</v>
      </c>
      <c r="AE568" s="1">
        <v>20.7</v>
      </c>
      <c r="AJ568" s="1">
        <v>0.79</v>
      </c>
      <c r="AV568" s="1">
        <v>1.35</v>
      </c>
    </row>
    <row r="569" spans="1:48" x14ac:dyDescent="0.2">
      <c r="A569" s="1" t="s">
        <v>3861</v>
      </c>
      <c r="B569" s="1" t="s">
        <v>55</v>
      </c>
      <c r="C569" s="1" t="s">
        <v>3862</v>
      </c>
      <c r="E569" s="1">
        <v>35</v>
      </c>
      <c r="F569" s="1" t="s">
        <v>3863</v>
      </c>
      <c r="H569" s="1" t="s">
        <v>3864</v>
      </c>
      <c r="I569" s="1" t="s">
        <v>7</v>
      </c>
      <c r="J569" s="1" t="s">
        <v>3865</v>
      </c>
      <c r="K569" s="1" t="s">
        <v>1970</v>
      </c>
      <c r="L569" s="1" t="s">
        <v>3866</v>
      </c>
      <c r="Q569" s="1">
        <v>1976</v>
      </c>
      <c r="R569" s="1" t="s">
        <v>3766</v>
      </c>
      <c r="S569" s="1" t="s">
        <v>27</v>
      </c>
      <c r="T569" s="38">
        <v>1</v>
      </c>
      <c r="Z569" s="1">
        <v>70.7</v>
      </c>
      <c r="AE569" s="1">
        <v>16</v>
      </c>
      <c r="AJ569" s="1">
        <v>12.5</v>
      </c>
      <c r="AV569" s="1">
        <v>1.28</v>
      </c>
    </row>
    <row r="570" spans="1:48" x14ac:dyDescent="0.2">
      <c r="A570" s="1" t="s">
        <v>3867</v>
      </c>
      <c r="B570" s="1" t="s">
        <v>55</v>
      </c>
      <c r="C570" s="1" t="s">
        <v>3868</v>
      </c>
      <c r="E570" s="1">
        <v>35</v>
      </c>
      <c r="F570" s="1" t="s">
        <v>1967</v>
      </c>
      <c r="H570" s="1" t="s">
        <v>3869</v>
      </c>
      <c r="I570" s="1" t="s">
        <v>7</v>
      </c>
      <c r="J570" s="1" t="s">
        <v>3865</v>
      </c>
      <c r="K570" s="1" t="s">
        <v>1970</v>
      </c>
      <c r="L570" s="1" t="s">
        <v>1969</v>
      </c>
      <c r="Q570" s="1">
        <v>1976</v>
      </c>
      <c r="R570" s="1" t="s">
        <v>3766</v>
      </c>
      <c r="S570" s="1" t="s">
        <v>27</v>
      </c>
      <c r="T570" s="38">
        <v>1</v>
      </c>
      <c r="Z570" s="1">
        <v>70.8</v>
      </c>
      <c r="AE570" s="1">
        <v>16.399999999999999</v>
      </c>
      <c r="AJ570" s="1">
        <v>12.8</v>
      </c>
      <c r="AV570" s="1">
        <v>2.4</v>
      </c>
    </row>
    <row r="571" spans="1:48" x14ac:dyDescent="0.2">
      <c r="A571" s="1" t="s">
        <v>3870</v>
      </c>
      <c r="B571" s="1" t="s">
        <v>57</v>
      </c>
      <c r="C571" s="1" t="s">
        <v>3760</v>
      </c>
      <c r="E571" s="1">
        <v>57</v>
      </c>
      <c r="F571" s="1" t="s">
        <v>3871</v>
      </c>
      <c r="H571" s="1" t="s">
        <v>3872</v>
      </c>
      <c r="I571" s="1" t="s">
        <v>7</v>
      </c>
      <c r="J571" s="1" t="s">
        <v>3873</v>
      </c>
      <c r="K571" s="1" t="s">
        <v>3874</v>
      </c>
      <c r="L571" s="1" t="s">
        <v>3875</v>
      </c>
      <c r="Q571" s="1">
        <v>1976</v>
      </c>
      <c r="R571" s="1" t="s">
        <v>3766</v>
      </c>
      <c r="S571" s="1" t="s">
        <v>27</v>
      </c>
      <c r="T571" s="38">
        <v>1</v>
      </c>
      <c r="Z571" s="1">
        <v>84.9</v>
      </c>
      <c r="AE571" s="1">
        <v>13.2</v>
      </c>
      <c r="AJ571" s="1">
        <v>0.83</v>
      </c>
      <c r="AV571" s="1">
        <v>1.58</v>
      </c>
    </row>
    <row r="572" spans="1:48" x14ac:dyDescent="0.2">
      <c r="A572" s="1" t="s">
        <v>3876</v>
      </c>
      <c r="B572" s="1" t="s">
        <v>57</v>
      </c>
      <c r="C572" s="1" t="s">
        <v>3877</v>
      </c>
      <c r="E572" s="1">
        <v>53</v>
      </c>
      <c r="F572" s="1" t="s">
        <v>3878</v>
      </c>
      <c r="H572" s="1" t="s">
        <v>3879</v>
      </c>
      <c r="I572" s="1" t="s">
        <v>7</v>
      </c>
      <c r="J572" s="1" t="s">
        <v>3880</v>
      </c>
      <c r="K572" s="1" t="s">
        <v>3881</v>
      </c>
      <c r="L572" s="1" t="s">
        <v>3880</v>
      </c>
      <c r="Q572" s="1">
        <v>1976</v>
      </c>
      <c r="R572" s="1" t="s">
        <v>3766</v>
      </c>
      <c r="S572" s="1" t="s">
        <v>27</v>
      </c>
      <c r="T572" s="38">
        <v>1</v>
      </c>
      <c r="Z572" s="1">
        <v>80.5</v>
      </c>
      <c r="AE572" s="1">
        <v>10.4</v>
      </c>
      <c r="AJ572" s="1">
        <v>1.26</v>
      </c>
      <c r="AV572" s="1">
        <v>1.43</v>
      </c>
    </row>
    <row r="573" spans="1:48" x14ac:dyDescent="0.2">
      <c r="A573" s="1" t="s">
        <v>3882</v>
      </c>
      <c r="B573" s="1" t="s">
        <v>57</v>
      </c>
      <c r="C573" s="1" t="s">
        <v>3760</v>
      </c>
      <c r="E573" s="1">
        <v>53</v>
      </c>
      <c r="F573" s="1" t="s">
        <v>3883</v>
      </c>
      <c r="H573" s="1" t="s">
        <v>3884</v>
      </c>
      <c r="I573" s="1" t="s">
        <v>7</v>
      </c>
      <c r="J573" s="1" t="s">
        <v>3885</v>
      </c>
      <c r="K573" s="1" t="s">
        <v>3886</v>
      </c>
      <c r="L573" s="1" t="s">
        <v>3885</v>
      </c>
      <c r="Q573" s="1">
        <v>1976</v>
      </c>
      <c r="R573" s="1" t="s">
        <v>3766</v>
      </c>
      <c r="S573" s="1" t="s">
        <v>27</v>
      </c>
      <c r="T573" s="38">
        <v>1</v>
      </c>
      <c r="Z573" s="1">
        <v>86.3</v>
      </c>
      <c r="AE573" s="1">
        <v>10.6</v>
      </c>
      <c r="AJ573" s="1">
        <v>0.5</v>
      </c>
      <c r="AV573" s="1">
        <v>1.9</v>
      </c>
    </row>
    <row r="574" spans="1:48" x14ac:dyDescent="0.2">
      <c r="A574" s="1" t="s">
        <v>3887</v>
      </c>
      <c r="B574" s="1" t="s">
        <v>55</v>
      </c>
      <c r="C574" s="1" t="s">
        <v>3888</v>
      </c>
      <c r="E574" s="1">
        <v>32</v>
      </c>
      <c r="F574" s="1" t="s">
        <v>3889</v>
      </c>
      <c r="H574" s="1" t="s">
        <v>3890</v>
      </c>
      <c r="I574" s="1" t="s">
        <v>7</v>
      </c>
      <c r="J574" s="1" t="s">
        <v>3891</v>
      </c>
      <c r="K574" s="1" t="s">
        <v>3892</v>
      </c>
      <c r="L574" s="1" t="s">
        <v>3891</v>
      </c>
      <c r="Q574" s="1">
        <v>1976</v>
      </c>
      <c r="R574" s="1" t="s">
        <v>3766</v>
      </c>
      <c r="S574" s="1" t="s">
        <v>27</v>
      </c>
      <c r="T574" s="38">
        <v>1</v>
      </c>
      <c r="Z574" s="1">
        <v>81.5</v>
      </c>
      <c r="AE574" s="1">
        <v>18.899999999999999</v>
      </c>
      <c r="AJ574" s="1">
        <v>0.98</v>
      </c>
      <c r="AV574" s="1">
        <v>1.34</v>
      </c>
    </row>
    <row r="575" spans="1:48" x14ac:dyDescent="0.2">
      <c r="A575" s="1" t="s">
        <v>3893</v>
      </c>
      <c r="B575" s="1" t="s">
        <v>55</v>
      </c>
      <c r="C575" s="1" t="s">
        <v>3760</v>
      </c>
      <c r="E575" s="1">
        <v>38</v>
      </c>
      <c r="F575" s="1" t="s">
        <v>3894</v>
      </c>
      <c r="H575" s="1" t="s">
        <v>3895</v>
      </c>
      <c r="I575" s="1" t="s">
        <v>7</v>
      </c>
      <c r="J575" s="1" t="s">
        <v>3896</v>
      </c>
      <c r="K575" s="1" t="s">
        <v>3897</v>
      </c>
      <c r="L575" s="1" t="s">
        <v>3896</v>
      </c>
      <c r="Q575" s="1">
        <v>1976</v>
      </c>
      <c r="R575" s="1" t="s">
        <v>3766</v>
      </c>
      <c r="S575" s="1" t="s">
        <v>27</v>
      </c>
      <c r="T575" s="38">
        <v>1</v>
      </c>
      <c r="Z575" s="1">
        <v>75.3</v>
      </c>
      <c r="AE575" s="1">
        <v>15.1</v>
      </c>
      <c r="AJ575" s="1">
        <v>10.7</v>
      </c>
      <c r="AV575" s="1">
        <v>1.6</v>
      </c>
    </row>
    <row r="576" spans="1:48" x14ac:dyDescent="0.2">
      <c r="A576" s="1" t="s">
        <v>3898</v>
      </c>
      <c r="B576" s="1" t="s">
        <v>55</v>
      </c>
      <c r="C576" s="1" t="s">
        <v>3760</v>
      </c>
      <c r="E576" s="1">
        <v>34</v>
      </c>
      <c r="F576" s="1" t="s">
        <v>3899</v>
      </c>
      <c r="H576" s="1" t="s">
        <v>3900</v>
      </c>
      <c r="I576" s="1" t="s">
        <v>7</v>
      </c>
      <c r="J576" s="1" t="s">
        <v>3901</v>
      </c>
      <c r="K576" s="1" t="s">
        <v>3902</v>
      </c>
      <c r="L576" s="1" t="s">
        <v>3901</v>
      </c>
      <c r="Q576" s="1">
        <v>1976</v>
      </c>
      <c r="R576" s="1" t="s">
        <v>3766</v>
      </c>
      <c r="S576" s="1" t="s">
        <v>27</v>
      </c>
      <c r="T576" s="38">
        <v>1</v>
      </c>
      <c r="Z576" s="1">
        <v>81</v>
      </c>
      <c r="AE576" s="1">
        <v>18.7</v>
      </c>
      <c r="AJ576" s="1">
        <v>1.84</v>
      </c>
      <c r="AV576" s="1">
        <v>1.17</v>
      </c>
    </row>
    <row r="577" spans="1:48" x14ac:dyDescent="0.2">
      <c r="A577" s="1" t="s">
        <v>3903</v>
      </c>
      <c r="B577" s="1" t="s">
        <v>55</v>
      </c>
      <c r="C577" s="1" t="s">
        <v>3760</v>
      </c>
      <c r="E577" s="1">
        <v>34</v>
      </c>
      <c r="F577" s="1" t="s">
        <v>3904</v>
      </c>
      <c r="H577" s="1" t="s">
        <v>3905</v>
      </c>
      <c r="I577" s="1" t="s">
        <v>7</v>
      </c>
      <c r="J577" s="1" t="s">
        <v>3906</v>
      </c>
      <c r="K577" s="1" t="s">
        <v>3907</v>
      </c>
      <c r="L577" s="1" t="s">
        <v>3906</v>
      </c>
      <c r="Q577" s="1">
        <v>1976</v>
      </c>
      <c r="R577" s="1" t="s">
        <v>3766</v>
      </c>
      <c r="S577" s="1" t="s">
        <v>27</v>
      </c>
      <c r="T577" s="38">
        <v>1</v>
      </c>
      <c r="Z577" s="1">
        <v>77.099999999999994</v>
      </c>
      <c r="AE577" s="1">
        <v>19.8</v>
      </c>
      <c r="AJ577" s="1">
        <v>2.19</v>
      </c>
      <c r="AV577" s="1">
        <v>1.23</v>
      </c>
    </row>
    <row r="578" spans="1:48" x14ac:dyDescent="0.2">
      <c r="A578" s="1" t="s">
        <v>3908</v>
      </c>
      <c r="B578" s="1" t="s">
        <v>55</v>
      </c>
      <c r="C578" s="1" t="s">
        <v>3760</v>
      </c>
      <c r="E578" s="1">
        <v>34</v>
      </c>
      <c r="F578" s="1" t="s">
        <v>3909</v>
      </c>
      <c r="H578" s="1" t="s">
        <v>3910</v>
      </c>
      <c r="I578" s="1" t="s">
        <v>7</v>
      </c>
      <c r="J578" s="1" t="s">
        <v>3911</v>
      </c>
      <c r="K578" s="1" t="s">
        <v>3912</v>
      </c>
      <c r="L578" s="1" t="s">
        <v>3911</v>
      </c>
      <c r="Q578" s="1">
        <v>1976</v>
      </c>
      <c r="R578" s="1" t="s">
        <v>3766</v>
      </c>
      <c r="S578" s="1" t="s">
        <v>27</v>
      </c>
      <c r="T578" s="38">
        <v>1</v>
      </c>
      <c r="Z578" s="1">
        <v>79.599999999999994</v>
      </c>
      <c r="AE578" s="1">
        <v>19.3</v>
      </c>
      <c r="AJ578" s="1">
        <v>1.27</v>
      </c>
      <c r="AV578" s="1">
        <v>1.63</v>
      </c>
    </row>
    <row r="579" spans="1:48" x14ac:dyDescent="0.2">
      <c r="A579" s="1" t="s">
        <v>3913</v>
      </c>
      <c r="B579" s="1" t="s">
        <v>55</v>
      </c>
      <c r="C579" s="1" t="s">
        <v>3914</v>
      </c>
      <c r="E579" s="1">
        <v>34</v>
      </c>
      <c r="F579" s="1" t="s">
        <v>3915</v>
      </c>
      <c r="H579" s="1" t="s">
        <v>3916</v>
      </c>
      <c r="I579" s="1" t="s">
        <v>7</v>
      </c>
      <c r="J579" s="1" t="s">
        <v>3917</v>
      </c>
      <c r="K579" s="1" t="s">
        <v>3918</v>
      </c>
      <c r="L579" s="1" t="s">
        <v>3917</v>
      </c>
      <c r="Q579" s="1">
        <v>1976</v>
      </c>
      <c r="R579" s="1" t="s">
        <v>3766</v>
      </c>
      <c r="S579" s="1" t="s">
        <v>27</v>
      </c>
      <c r="T579" s="38">
        <v>1</v>
      </c>
      <c r="Z579" s="1">
        <v>80</v>
      </c>
      <c r="AE579" s="1">
        <v>18.600000000000001</v>
      </c>
      <c r="AJ579" s="1">
        <v>1.04</v>
      </c>
      <c r="AV579" s="1">
        <v>1.2</v>
      </c>
    </row>
    <row r="580" spans="1:48" x14ac:dyDescent="0.2">
      <c r="A580" s="1" t="s">
        <v>3919</v>
      </c>
      <c r="B580" s="1" t="s">
        <v>55</v>
      </c>
      <c r="C580" s="1" t="s">
        <v>3920</v>
      </c>
      <c r="E580" s="1">
        <v>34</v>
      </c>
      <c r="F580" s="1" t="s">
        <v>3921</v>
      </c>
      <c r="H580" s="1" t="s">
        <v>3922</v>
      </c>
      <c r="I580" s="1" t="s">
        <v>7</v>
      </c>
      <c r="J580" s="1" t="s">
        <v>3923</v>
      </c>
      <c r="K580" s="1" t="s">
        <v>3924</v>
      </c>
      <c r="L580" s="1" t="s">
        <v>3923</v>
      </c>
      <c r="Q580" s="1">
        <v>1976</v>
      </c>
      <c r="R580" s="1" t="s">
        <v>3766</v>
      </c>
      <c r="S580" s="1" t="s">
        <v>27</v>
      </c>
      <c r="T580" s="38">
        <v>1</v>
      </c>
      <c r="Z580" s="1">
        <v>76.5</v>
      </c>
      <c r="AE580" s="1">
        <v>20.8</v>
      </c>
      <c r="AJ580" s="1">
        <v>2.35</v>
      </c>
      <c r="AV580" s="1">
        <v>1.1000000000000001</v>
      </c>
    </row>
    <row r="581" spans="1:48" x14ac:dyDescent="0.2">
      <c r="A581" s="1" t="s">
        <v>3925</v>
      </c>
      <c r="B581" s="1" t="s">
        <v>55</v>
      </c>
      <c r="C581" s="1" t="s">
        <v>3914</v>
      </c>
      <c r="E581" s="1">
        <v>34</v>
      </c>
      <c r="F581" s="1" t="s">
        <v>3926</v>
      </c>
      <c r="H581" s="1" t="s">
        <v>3927</v>
      </c>
      <c r="I581" s="1" t="s">
        <v>7</v>
      </c>
      <c r="J581" s="1" t="s">
        <v>3928</v>
      </c>
      <c r="K581" s="1" t="s">
        <v>3929</v>
      </c>
      <c r="L581" s="1" t="s">
        <v>3930</v>
      </c>
      <c r="Q581" s="1">
        <v>1976</v>
      </c>
      <c r="R581" s="1" t="s">
        <v>3766</v>
      </c>
      <c r="S581" s="1" t="s">
        <v>27</v>
      </c>
      <c r="T581" s="38">
        <v>1</v>
      </c>
      <c r="Z581" s="1">
        <v>78.900000000000006</v>
      </c>
      <c r="AE581" s="1">
        <v>18.2</v>
      </c>
      <c r="AJ581" s="1">
        <v>1.78</v>
      </c>
      <c r="AV581" s="1">
        <v>1.1000000000000001</v>
      </c>
    </row>
    <row r="582" spans="1:48" x14ac:dyDescent="0.2">
      <c r="A582" s="1" t="s">
        <v>3931</v>
      </c>
      <c r="B582" s="1" t="s">
        <v>55</v>
      </c>
      <c r="C582" s="1" t="s">
        <v>3790</v>
      </c>
      <c r="E582" s="1">
        <v>34</v>
      </c>
      <c r="F582" s="1" t="s">
        <v>3932</v>
      </c>
      <c r="H582" s="1" t="s">
        <v>3933</v>
      </c>
      <c r="I582" s="1" t="s">
        <v>7</v>
      </c>
      <c r="J582" s="1" t="s">
        <v>3934</v>
      </c>
      <c r="K582" s="1" t="s">
        <v>3935</v>
      </c>
      <c r="L582" s="1" t="s">
        <v>3934</v>
      </c>
      <c r="Q582" s="1">
        <v>1976</v>
      </c>
      <c r="R582" s="1" t="s">
        <v>3766</v>
      </c>
      <c r="S582" s="1" t="s">
        <v>27</v>
      </c>
      <c r="T582" s="38">
        <v>1</v>
      </c>
      <c r="Z582" s="1">
        <v>78.5</v>
      </c>
      <c r="AE582" s="1">
        <v>20.3</v>
      </c>
      <c r="AJ582" s="1">
        <v>0.73</v>
      </c>
      <c r="AV582" s="1">
        <v>1.21</v>
      </c>
    </row>
    <row r="583" spans="1:48" x14ac:dyDescent="0.2">
      <c r="A583" s="1" t="s">
        <v>3936</v>
      </c>
      <c r="B583" s="1" t="s">
        <v>55</v>
      </c>
      <c r="C583" s="1" t="s">
        <v>3790</v>
      </c>
      <c r="E583" s="1">
        <v>34</v>
      </c>
      <c r="F583" s="1" t="s">
        <v>3926</v>
      </c>
      <c r="H583" s="1" t="s">
        <v>3937</v>
      </c>
      <c r="I583" s="1" t="s">
        <v>7</v>
      </c>
      <c r="J583" s="1" t="s">
        <v>3938</v>
      </c>
      <c r="K583" s="1" t="s">
        <v>3929</v>
      </c>
      <c r="L583" s="1" t="s">
        <v>3930</v>
      </c>
      <c r="Q583" s="1">
        <v>1976</v>
      </c>
      <c r="R583" s="1" t="s">
        <v>3766</v>
      </c>
      <c r="S583" s="1" t="s">
        <v>27</v>
      </c>
      <c r="T583" s="38">
        <v>1</v>
      </c>
      <c r="Z583" s="1">
        <v>80.7</v>
      </c>
      <c r="AE583" s="1">
        <v>17.3</v>
      </c>
      <c r="AJ583" s="1">
        <v>1.67</v>
      </c>
      <c r="AV583" s="1">
        <v>1.07</v>
      </c>
    </row>
    <row r="584" spans="1:48" x14ac:dyDescent="0.2">
      <c r="A584" s="1" t="s">
        <v>3939</v>
      </c>
      <c r="B584" s="1" t="s">
        <v>55</v>
      </c>
      <c r="C584" s="1" t="s">
        <v>3836</v>
      </c>
      <c r="E584" s="1">
        <v>34</v>
      </c>
      <c r="F584" s="1" t="s">
        <v>3940</v>
      </c>
      <c r="H584" s="1" t="s">
        <v>3941</v>
      </c>
      <c r="I584" s="1" t="s">
        <v>7</v>
      </c>
      <c r="J584" s="1" t="s">
        <v>3942</v>
      </c>
      <c r="K584" s="1" t="s">
        <v>3943</v>
      </c>
      <c r="L584" s="1" t="s">
        <v>3944</v>
      </c>
      <c r="Q584" s="1">
        <v>1976</v>
      </c>
      <c r="R584" s="1" t="s">
        <v>3766</v>
      </c>
      <c r="S584" s="1" t="s">
        <v>27</v>
      </c>
      <c r="T584" s="38">
        <v>1</v>
      </c>
      <c r="Z584" s="1">
        <v>79.599999999999994</v>
      </c>
      <c r="AE584" s="1">
        <v>18.7</v>
      </c>
      <c r="AJ584" s="1">
        <v>1.39</v>
      </c>
      <c r="AV584" s="1">
        <v>1.1499999999999999</v>
      </c>
    </row>
    <row r="585" spans="1:48" x14ac:dyDescent="0.2">
      <c r="A585" s="1" t="s">
        <v>3945</v>
      </c>
      <c r="B585" s="1" t="s">
        <v>55</v>
      </c>
      <c r="C585" s="1" t="s">
        <v>3946</v>
      </c>
      <c r="E585" s="1">
        <v>34</v>
      </c>
      <c r="F585" s="1" t="s">
        <v>3947</v>
      </c>
      <c r="H585" s="1" t="s">
        <v>3948</v>
      </c>
      <c r="I585" s="1" t="s">
        <v>7</v>
      </c>
      <c r="J585" s="1" t="s">
        <v>3949</v>
      </c>
      <c r="K585" s="1" t="s">
        <v>3950</v>
      </c>
      <c r="L585" s="1" t="s">
        <v>3949</v>
      </c>
      <c r="Q585" s="1">
        <v>1976</v>
      </c>
      <c r="R585" s="1" t="s">
        <v>3766</v>
      </c>
      <c r="S585" s="1" t="s">
        <v>27</v>
      </c>
      <c r="T585" s="38">
        <v>1</v>
      </c>
      <c r="Z585" s="1">
        <v>79.2</v>
      </c>
      <c r="AE585" s="1">
        <v>19</v>
      </c>
      <c r="AJ585" s="1">
        <v>1.43</v>
      </c>
      <c r="AV585" s="1">
        <v>1.1599999999999999</v>
      </c>
    </row>
    <row r="586" spans="1:48" x14ac:dyDescent="0.2">
      <c r="A586" s="1" t="s">
        <v>3951</v>
      </c>
      <c r="B586" s="1" t="s">
        <v>55</v>
      </c>
      <c r="C586" s="1" t="s">
        <v>3952</v>
      </c>
      <c r="E586" s="1">
        <v>34</v>
      </c>
      <c r="F586" s="1" t="s">
        <v>3953</v>
      </c>
      <c r="H586" s="1" t="s">
        <v>3954</v>
      </c>
      <c r="I586" s="1" t="s">
        <v>7</v>
      </c>
      <c r="J586" s="1" t="s">
        <v>3955</v>
      </c>
      <c r="K586" s="1" t="s">
        <v>3956</v>
      </c>
      <c r="L586" s="1" t="s">
        <v>3955</v>
      </c>
      <c r="Q586" s="1">
        <v>1976</v>
      </c>
      <c r="R586" s="1" t="s">
        <v>3766</v>
      </c>
      <c r="S586" s="1" t="s">
        <v>27</v>
      </c>
      <c r="T586" s="38">
        <v>1</v>
      </c>
      <c r="Z586" s="1">
        <v>81.400000000000006</v>
      </c>
      <c r="AE586" s="1">
        <v>17.2</v>
      </c>
      <c r="AJ586" s="1">
        <v>0.2</v>
      </c>
      <c r="AV586" s="1">
        <v>1.02</v>
      </c>
    </row>
    <row r="587" spans="1:48" x14ac:dyDescent="0.2">
      <c r="A587" s="1" t="s">
        <v>3957</v>
      </c>
      <c r="B587" s="1" t="s">
        <v>55</v>
      </c>
      <c r="C587" s="1" t="s">
        <v>3914</v>
      </c>
      <c r="E587" s="1">
        <v>34</v>
      </c>
      <c r="F587" s="1" t="s">
        <v>3958</v>
      </c>
      <c r="H587" s="1" t="s">
        <v>3959</v>
      </c>
      <c r="I587" s="1" t="s">
        <v>7</v>
      </c>
      <c r="J587" s="1" t="s">
        <v>3960</v>
      </c>
      <c r="K587" s="1" t="s">
        <v>3961</v>
      </c>
      <c r="L587" s="1" t="s">
        <v>3960</v>
      </c>
      <c r="Q587" s="1">
        <v>1976</v>
      </c>
      <c r="R587" s="1" t="s">
        <v>3766</v>
      </c>
      <c r="S587" s="1" t="s">
        <v>27</v>
      </c>
      <c r="T587" s="38">
        <v>1</v>
      </c>
      <c r="Z587" s="1">
        <v>79.099999999999994</v>
      </c>
      <c r="AE587" s="1">
        <v>19.3</v>
      </c>
      <c r="AJ587" s="1">
        <v>0.84</v>
      </c>
      <c r="AV587" s="1">
        <v>1.0900000000000001</v>
      </c>
    </row>
    <row r="588" spans="1:48" x14ac:dyDescent="0.2">
      <c r="A588" s="1" t="s">
        <v>3962</v>
      </c>
      <c r="B588" s="1" t="s">
        <v>55</v>
      </c>
      <c r="C588" s="1" t="s">
        <v>3790</v>
      </c>
      <c r="E588" s="1">
        <v>34</v>
      </c>
      <c r="F588" s="1" t="s">
        <v>3963</v>
      </c>
      <c r="H588" s="1" t="s">
        <v>3964</v>
      </c>
      <c r="I588" s="1" t="s">
        <v>7</v>
      </c>
      <c r="J588" s="1" t="s">
        <v>3965</v>
      </c>
      <c r="K588" s="1" t="s">
        <v>3966</v>
      </c>
      <c r="L588" s="1" t="s">
        <v>3965</v>
      </c>
      <c r="Q588" s="1">
        <v>1976</v>
      </c>
      <c r="R588" s="1" t="s">
        <v>3766</v>
      </c>
      <c r="S588" s="1" t="s">
        <v>27</v>
      </c>
      <c r="T588" s="38">
        <v>1</v>
      </c>
      <c r="Z588" s="1">
        <v>79.3</v>
      </c>
      <c r="AE588" s="1">
        <v>18.899999999999999</v>
      </c>
      <c r="AJ588" s="1">
        <v>1.56</v>
      </c>
      <c r="AV588" s="1">
        <v>1.19</v>
      </c>
    </row>
    <row r="589" spans="1:48" x14ac:dyDescent="0.2">
      <c r="A589" s="1" t="s">
        <v>3967</v>
      </c>
      <c r="B589" s="1" t="s">
        <v>55</v>
      </c>
      <c r="C589" s="1" t="s">
        <v>3760</v>
      </c>
      <c r="E589" s="1">
        <v>34</v>
      </c>
      <c r="F589" s="1" t="s">
        <v>3968</v>
      </c>
      <c r="H589" s="1" t="s">
        <v>3969</v>
      </c>
      <c r="I589" s="1" t="s">
        <v>7</v>
      </c>
      <c r="J589" s="1" t="s">
        <v>3970</v>
      </c>
      <c r="K589" s="1" t="s">
        <v>3971</v>
      </c>
      <c r="L589" s="1" t="s">
        <v>3970</v>
      </c>
      <c r="Q589" s="1">
        <v>1976</v>
      </c>
      <c r="R589" s="1" t="s">
        <v>3766</v>
      </c>
      <c r="S589" s="1" t="s">
        <v>27</v>
      </c>
      <c r="T589" s="38">
        <v>1</v>
      </c>
      <c r="Z589" s="1">
        <v>78.7</v>
      </c>
      <c r="AE589" s="1">
        <v>19.600000000000001</v>
      </c>
      <c r="AJ589" s="1">
        <v>1.6</v>
      </c>
      <c r="AV589" s="1">
        <v>1.1599999999999999</v>
      </c>
    </row>
    <row r="590" spans="1:48" x14ac:dyDescent="0.2">
      <c r="A590" s="1" t="s">
        <v>3972</v>
      </c>
      <c r="B590" s="1" t="s">
        <v>55</v>
      </c>
      <c r="C590" s="1" t="s">
        <v>3836</v>
      </c>
      <c r="E590" s="1">
        <v>34</v>
      </c>
      <c r="F590" s="1" t="s">
        <v>3973</v>
      </c>
      <c r="H590" s="1" t="s">
        <v>3974</v>
      </c>
      <c r="I590" s="1" t="s">
        <v>7</v>
      </c>
      <c r="J590" s="1" t="s">
        <v>3975</v>
      </c>
      <c r="K590" s="1" t="s">
        <v>3976</v>
      </c>
      <c r="L590" s="1" t="s">
        <v>3975</v>
      </c>
      <c r="Q590" s="1">
        <v>1976</v>
      </c>
      <c r="R590" s="1" t="s">
        <v>3766</v>
      </c>
      <c r="S590" s="1" t="s">
        <v>27</v>
      </c>
      <c r="T590" s="38">
        <v>1</v>
      </c>
      <c r="Z590" s="1">
        <v>70.7</v>
      </c>
      <c r="AE590" s="1">
        <v>13.8</v>
      </c>
      <c r="AJ590" s="1">
        <v>15.1</v>
      </c>
      <c r="AV590" s="1">
        <v>1.0900000000000001</v>
      </c>
    </row>
    <row r="591" spans="1:48" x14ac:dyDescent="0.2">
      <c r="A591" s="1" t="s">
        <v>3977</v>
      </c>
      <c r="B591" s="1" t="s">
        <v>55</v>
      </c>
      <c r="C591" s="1" t="s">
        <v>3978</v>
      </c>
      <c r="E591" s="1">
        <v>23</v>
      </c>
      <c r="F591" s="1" t="s">
        <v>3979</v>
      </c>
      <c r="H591" s="1" t="s">
        <v>3980</v>
      </c>
      <c r="I591" s="1" t="s">
        <v>7</v>
      </c>
      <c r="J591" s="1" t="s">
        <v>3981</v>
      </c>
      <c r="K591" s="1" t="s">
        <v>3982</v>
      </c>
      <c r="L591" s="1" t="s">
        <v>3981</v>
      </c>
      <c r="Q591" s="1">
        <v>1976</v>
      </c>
      <c r="R591" s="1" t="s">
        <v>3766</v>
      </c>
      <c r="S591" s="1" t="s">
        <v>27</v>
      </c>
      <c r="T591" s="38">
        <v>1</v>
      </c>
      <c r="Z591" s="1">
        <v>74.099999999999994</v>
      </c>
      <c r="AE591" s="1">
        <v>21.3</v>
      </c>
      <c r="AJ591" s="1">
        <v>3.86</v>
      </c>
      <c r="AV591" s="1">
        <v>1.18</v>
      </c>
    </row>
    <row r="592" spans="1:48" x14ac:dyDescent="0.2">
      <c r="A592" s="1" t="s">
        <v>3983</v>
      </c>
      <c r="B592" s="1" t="s">
        <v>55</v>
      </c>
      <c r="C592" s="1" t="s">
        <v>3856</v>
      </c>
      <c r="E592" s="1">
        <v>23</v>
      </c>
      <c r="F592" s="1" t="s">
        <v>1710</v>
      </c>
      <c r="H592" s="1" t="s">
        <v>3984</v>
      </c>
      <c r="I592" s="1" t="s">
        <v>7</v>
      </c>
      <c r="J592" s="1" t="s">
        <v>1712</v>
      </c>
      <c r="K592" s="1" t="s">
        <v>3985</v>
      </c>
      <c r="L592" s="1" t="s">
        <v>1712</v>
      </c>
      <c r="Q592" s="1">
        <v>1976</v>
      </c>
      <c r="R592" s="1" t="s">
        <v>3766</v>
      </c>
      <c r="S592" s="1" t="s">
        <v>27</v>
      </c>
      <c r="T592" s="38">
        <v>1</v>
      </c>
      <c r="Z592" s="1">
        <v>73.099999999999994</v>
      </c>
      <c r="AE592" s="1">
        <v>19.5</v>
      </c>
      <c r="AJ592" s="1">
        <v>11.5</v>
      </c>
      <c r="AV592" s="1">
        <v>1.28</v>
      </c>
    </row>
    <row r="593" spans="1:48" x14ac:dyDescent="0.2">
      <c r="A593" s="1" t="s">
        <v>3986</v>
      </c>
      <c r="B593" s="1" t="s">
        <v>55</v>
      </c>
      <c r="C593" s="1" t="s">
        <v>3952</v>
      </c>
      <c r="E593" s="1">
        <v>23</v>
      </c>
      <c r="F593" s="1" t="s">
        <v>3987</v>
      </c>
      <c r="H593" s="1" t="s">
        <v>3988</v>
      </c>
      <c r="I593" s="1" t="s">
        <v>7</v>
      </c>
      <c r="J593" s="1" t="s">
        <v>3989</v>
      </c>
      <c r="K593" s="1" t="s">
        <v>3990</v>
      </c>
      <c r="L593" s="1" t="s">
        <v>3989</v>
      </c>
      <c r="Q593" s="1">
        <v>1976</v>
      </c>
      <c r="R593" s="1" t="s">
        <v>3766</v>
      </c>
      <c r="S593" s="1" t="s">
        <v>27</v>
      </c>
      <c r="T593" s="38">
        <v>1</v>
      </c>
      <c r="Z593" s="1">
        <v>75.599999999999994</v>
      </c>
      <c r="AE593" s="1">
        <v>19</v>
      </c>
      <c r="AJ593" s="1">
        <v>4.76</v>
      </c>
      <c r="AV593" s="1">
        <v>1.2</v>
      </c>
    </row>
    <row r="594" spans="1:48" x14ac:dyDescent="0.2">
      <c r="A594" s="1" t="s">
        <v>3991</v>
      </c>
      <c r="B594" s="1" t="s">
        <v>55</v>
      </c>
      <c r="C594" s="1" t="s">
        <v>3992</v>
      </c>
      <c r="E594" s="1">
        <v>23</v>
      </c>
      <c r="F594" s="1" t="s">
        <v>2833</v>
      </c>
      <c r="H594" s="1" t="s">
        <v>3993</v>
      </c>
      <c r="I594" s="1" t="s">
        <v>7</v>
      </c>
      <c r="J594" s="1" t="s">
        <v>2835</v>
      </c>
      <c r="K594" s="1" t="s">
        <v>2836</v>
      </c>
      <c r="L594" s="1" t="s">
        <v>2835</v>
      </c>
      <c r="Q594" s="1">
        <v>1976</v>
      </c>
      <c r="R594" s="1" t="s">
        <v>3766</v>
      </c>
      <c r="S594" s="1" t="s">
        <v>27</v>
      </c>
      <c r="T594" s="38">
        <v>1</v>
      </c>
      <c r="Z594" s="1">
        <v>72.599999999999994</v>
      </c>
      <c r="AE594" s="1">
        <v>21.7</v>
      </c>
      <c r="AJ594" s="1">
        <v>5.31</v>
      </c>
      <c r="AV594" s="1">
        <v>1.21</v>
      </c>
    </row>
    <row r="595" spans="1:48" x14ac:dyDescent="0.2">
      <c r="A595" s="1" t="s">
        <v>3994</v>
      </c>
      <c r="B595" s="1" t="s">
        <v>55</v>
      </c>
      <c r="C595" s="1" t="s">
        <v>3995</v>
      </c>
      <c r="E595" s="1">
        <v>23</v>
      </c>
      <c r="F595" s="1" t="s">
        <v>3996</v>
      </c>
      <c r="H595" s="1" t="s">
        <v>3997</v>
      </c>
      <c r="I595" s="1" t="s">
        <v>7</v>
      </c>
      <c r="J595" s="1" t="s">
        <v>3998</v>
      </c>
      <c r="K595" s="1" t="s">
        <v>3999</v>
      </c>
      <c r="L595" s="1" t="s">
        <v>3998</v>
      </c>
      <c r="Q595" s="1">
        <v>1976</v>
      </c>
      <c r="R595" s="1" t="s">
        <v>3766</v>
      </c>
      <c r="S595" s="1" t="s">
        <v>27</v>
      </c>
      <c r="T595" s="38">
        <v>1</v>
      </c>
      <c r="Z595" s="1">
        <v>70</v>
      </c>
      <c r="AE595" s="1">
        <v>21.3</v>
      </c>
      <c r="AJ595" s="1">
        <v>8.5500000000000007</v>
      </c>
      <c r="AV595" s="1">
        <v>1.18</v>
      </c>
    </row>
    <row r="596" spans="1:48" x14ac:dyDescent="0.2">
      <c r="A596" s="1" t="s">
        <v>4000</v>
      </c>
      <c r="B596" s="1" t="s">
        <v>55</v>
      </c>
      <c r="C596" s="1" t="s">
        <v>3856</v>
      </c>
      <c r="E596" s="1">
        <v>24</v>
      </c>
      <c r="F596" s="1" t="s">
        <v>4001</v>
      </c>
      <c r="H596" s="1" t="s">
        <v>4002</v>
      </c>
      <c r="I596" s="1" t="s">
        <v>7</v>
      </c>
      <c r="J596" s="1" t="s">
        <v>4003</v>
      </c>
      <c r="K596" s="1" t="s">
        <v>4004</v>
      </c>
      <c r="L596" s="1" t="s">
        <v>4003</v>
      </c>
      <c r="Q596" s="1">
        <v>1976</v>
      </c>
      <c r="R596" s="1" t="s">
        <v>3766</v>
      </c>
      <c r="S596" s="1" t="s">
        <v>27</v>
      </c>
      <c r="T596" s="38">
        <v>1</v>
      </c>
      <c r="Z596" s="1">
        <v>71.400000000000006</v>
      </c>
      <c r="AE596" s="1">
        <v>18.8</v>
      </c>
      <c r="AJ596" s="1">
        <v>7.9</v>
      </c>
      <c r="AV596" s="1">
        <v>1.48</v>
      </c>
    </row>
    <row r="597" spans="1:48" x14ac:dyDescent="0.2">
      <c r="A597" s="1" t="s">
        <v>4005</v>
      </c>
      <c r="B597" s="1" t="s">
        <v>1911</v>
      </c>
      <c r="C597" s="1" t="s">
        <v>3952</v>
      </c>
      <c r="E597" s="1">
        <v>45</v>
      </c>
      <c r="F597" s="1" t="s">
        <v>4006</v>
      </c>
      <c r="H597" s="1" t="s">
        <v>4007</v>
      </c>
      <c r="I597" s="1" t="s">
        <v>7</v>
      </c>
      <c r="J597" s="1" t="s">
        <v>4008</v>
      </c>
      <c r="K597" s="1" t="s">
        <v>4009</v>
      </c>
      <c r="L597" s="1" t="s">
        <v>4008</v>
      </c>
      <c r="Q597" s="1">
        <v>1976</v>
      </c>
      <c r="R597" s="1" t="s">
        <v>3766</v>
      </c>
      <c r="S597" s="1" t="s">
        <v>27</v>
      </c>
      <c r="T597" s="38">
        <v>1</v>
      </c>
      <c r="Z597" s="1">
        <v>80.099999999999994</v>
      </c>
      <c r="AE597" s="1">
        <v>18.100000000000001</v>
      </c>
      <c r="AJ597" s="1">
        <v>0.95</v>
      </c>
      <c r="AV597" s="1">
        <v>1.25</v>
      </c>
    </row>
    <row r="598" spans="1:48" x14ac:dyDescent="0.2">
      <c r="A598" s="1" t="s">
        <v>4010</v>
      </c>
      <c r="B598" s="1" t="s">
        <v>55</v>
      </c>
      <c r="C598" s="1" t="s">
        <v>1029</v>
      </c>
      <c r="E598" s="1">
        <v>38</v>
      </c>
      <c r="F598" s="1" t="s">
        <v>1876</v>
      </c>
      <c r="H598" s="1" t="s">
        <v>4011</v>
      </c>
      <c r="I598" s="1" t="s">
        <v>7</v>
      </c>
      <c r="J598" s="1" t="s">
        <v>4012</v>
      </c>
      <c r="K598" s="1" t="s">
        <v>1879</v>
      </c>
      <c r="L598" s="1" t="s">
        <v>1880</v>
      </c>
      <c r="Q598" s="1">
        <v>1976</v>
      </c>
      <c r="R598" s="1" t="s">
        <v>3766</v>
      </c>
      <c r="S598" s="1" t="s">
        <v>27</v>
      </c>
      <c r="T598" s="38">
        <v>1</v>
      </c>
      <c r="Z598" s="1">
        <v>81.8</v>
      </c>
      <c r="AE598" s="1">
        <v>16.3</v>
      </c>
      <c r="AJ598" s="1">
        <v>6.05</v>
      </c>
      <c r="AV598" s="1">
        <v>1.68</v>
      </c>
    </row>
    <row r="599" spans="1:48" x14ac:dyDescent="0.2">
      <c r="A599" s="1" t="s">
        <v>4013</v>
      </c>
      <c r="B599" s="1" t="s">
        <v>55</v>
      </c>
      <c r="C599" s="1" t="s">
        <v>3796</v>
      </c>
      <c r="E599" s="1">
        <v>31</v>
      </c>
      <c r="F599" s="1" t="s">
        <v>4014</v>
      </c>
      <c r="H599" s="1" t="s">
        <v>4015</v>
      </c>
      <c r="I599" s="1" t="s">
        <v>7</v>
      </c>
      <c r="J599" s="1" t="s">
        <v>4016</v>
      </c>
      <c r="K599" s="1" t="s">
        <v>4017</v>
      </c>
      <c r="L599" s="1" t="s">
        <v>4016</v>
      </c>
      <c r="Q599" s="1">
        <v>1976</v>
      </c>
      <c r="R599" s="1" t="s">
        <v>3766</v>
      </c>
      <c r="S599" s="1" t="s">
        <v>27</v>
      </c>
      <c r="T599" s="38">
        <v>1</v>
      </c>
      <c r="Z599" s="1">
        <v>85.4</v>
      </c>
      <c r="AE599" s="1">
        <v>16.8</v>
      </c>
      <c r="AJ599" s="1">
        <v>0.95</v>
      </c>
      <c r="AV599" s="1">
        <v>1.1100000000000001</v>
      </c>
    </row>
    <row r="600" spans="1:48" x14ac:dyDescent="0.2">
      <c r="A600" s="1" t="s">
        <v>4018</v>
      </c>
      <c r="B600" s="1" t="s">
        <v>55</v>
      </c>
      <c r="C600" s="1" t="s">
        <v>4019</v>
      </c>
      <c r="E600" s="1">
        <v>31</v>
      </c>
      <c r="F600" s="1" t="s">
        <v>4020</v>
      </c>
      <c r="H600" s="1" t="s">
        <v>4021</v>
      </c>
      <c r="I600" s="1" t="s">
        <v>7</v>
      </c>
      <c r="J600" s="1" t="s">
        <v>4022</v>
      </c>
      <c r="K600" s="1" t="s">
        <v>4023</v>
      </c>
      <c r="L600" s="1" t="s">
        <v>4024</v>
      </c>
      <c r="Q600" s="1">
        <v>1976</v>
      </c>
      <c r="R600" s="1" t="s">
        <v>3766</v>
      </c>
      <c r="S600" s="1" t="s">
        <v>27</v>
      </c>
      <c r="T600" s="38">
        <v>1</v>
      </c>
      <c r="Z600" s="1">
        <v>81.400000000000006</v>
      </c>
      <c r="AE600" s="1">
        <v>16.8</v>
      </c>
      <c r="AJ600" s="1">
        <v>1.36</v>
      </c>
      <c r="AV600" s="1">
        <v>1.1200000000000001</v>
      </c>
    </row>
    <row r="601" spans="1:48" x14ac:dyDescent="0.2">
      <c r="A601" s="1" t="s">
        <v>4025</v>
      </c>
      <c r="B601" s="1" t="s">
        <v>55</v>
      </c>
      <c r="C601" s="1" t="s">
        <v>4019</v>
      </c>
      <c r="E601" s="1">
        <v>31</v>
      </c>
      <c r="F601" s="1" t="s">
        <v>4026</v>
      </c>
      <c r="H601" s="1" t="s">
        <v>4027</v>
      </c>
      <c r="I601" s="1" t="s">
        <v>7</v>
      </c>
      <c r="J601" s="1" t="s">
        <v>4028</v>
      </c>
      <c r="K601" s="1" t="s">
        <v>4029</v>
      </c>
      <c r="L601" s="1" t="s">
        <v>4028</v>
      </c>
      <c r="Q601" s="1">
        <v>1976</v>
      </c>
      <c r="R601" s="1" t="s">
        <v>3766</v>
      </c>
      <c r="S601" s="1" t="s">
        <v>27</v>
      </c>
      <c r="T601" s="38">
        <v>1</v>
      </c>
      <c r="Z601" s="1">
        <v>81</v>
      </c>
      <c r="AE601" s="1">
        <v>19.2</v>
      </c>
      <c r="AJ601" s="1">
        <v>1.1000000000000001</v>
      </c>
      <c r="AV601" s="1">
        <v>1.1299999999999999</v>
      </c>
    </row>
    <row r="602" spans="1:48" x14ac:dyDescent="0.2">
      <c r="A602" s="1" t="s">
        <v>4030</v>
      </c>
      <c r="B602" s="1" t="s">
        <v>55</v>
      </c>
      <c r="C602" s="1" t="s">
        <v>4031</v>
      </c>
      <c r="E602" s="1">
        <v>31</v>
      </c>
      <c r="F602" s="1" t="s">
        <v>4032</v>
      </c>
      <c r="H602" s="1" t="s">
        <v>4033</v>
      </c>
      <c r="I602" s="1" t="s">
        <v>7</v>
      </c>
      <c r="J602" s="1" t="s">
        <v>4034</v>
      </c>
      <c r="K602" s="1" t="s">
        <v>4035</v>
      </c>
      <c r="L602" s="1" t="s">
        <v>4034</v>
      </c>
      <c r="Q602" s="1">
        <v>1976</v>
      </c>
      <c r="R602" s="1" t="s">
        <v>3766</v>
      </c>
      <c r="S602" s="1" t="s">
        <v>27</v>
      </c>
      <c r="T602" s="38">
        <v>1</v>
      </c>
      <c r="Z602" s="1">
        <v>80</v>
      </c>
      <c r="AE602" s="1">
        <v>17.600000000000001</v>
      </c>
      <c r="AJ602" s="1">
        <v>0.8</v>
      </c>
      <c r="AV602" s="1">
        <v>1.19</v>
      </c>
    </row>
    <row r="603" spans="1:48" x14ac:dyDescent="0.2">
      <c r="A603" s="1" t="s">
        <v>4036</v>
      </c>
      <c r="B603" s="1" t="s">
        <v>55</v>
      </c>
      <c r="C603" s="1" t="s">
        <v>3790</v>
      </c>
      <c r="E603" s="1">
        <v>31</v>
      </c>
      <c r="F603" s="1" t="s">
        <v>4037</v>
      </c>
      <c r="H603" s="1" t="s">
        <v>4038</v>
      </c>
      <c r="I603" s="1" t="s">
        <v>7</v>
      </c>
      <c r="J603" s="1" t="s">
        <v>4039</v>
      </c>
      <c r="K603" s="1" t="s">
        <v>4040</v>
      </c>
      <c r="L603" s="1" t="s">
        <v>4041</v>
      </c>
      <c r="Q603" s="1">
        <v>1976</v>
      </c>
      <c r="R603" s="1" t="s">
        <v>3766</v>
      </c>
      <c r="S603" s="1" t="s">
        <v>27</v>
      </c>
      <c r="T603" s="38">
        <v>1</v>
      </c>
      <c r="Z603" s="1">
        <v>82.3</v>
      </c>
      <c r="AE603" s="1">
        <v>16.7</v>
      </c>
      <c r="AJ603" s="1">
        <v>0.71</v>
      </c>
      <c r="AV603" s="1">
        <v>1.1000000000000001</v>
      </c>
    </row>
    <row r="604" spans="1:48" x14ac:dyDescent="0.2">
      <c r="A604" s="1" t="s">
        <v>4042</v>
      </c>
      <c r="B604" s="1" t="s">
        <v>55</v>
      </c>
      <c r="C604" s="1" t="s">
        <v>4043</v>
      </c>
      <c r="E604" s="1">
        <v>31</v>
      </c>
      <c r="F604" s="1" t="s">
        <v>4044</v>
      </c>
      <c r="H604" s="1" t="s">
        <v>4045</v>
      </c>
      <c r="I604" s="1" t="s">
        <v>7</v>
      </c>
      <c r="J604" s="1" t="s">
        <v>4046</v>
      </c>
      <c r="K604" s="1" t="s">
        <v>4047</v>
      </c>
      <c r="L604" s="1" t="s">
        <v>4046</v>
      </c>
      <c r="Q604" s="1">
        <v>1976</v>
      </c>
      <c r="R604" s="1" t="s">
        <v>3766</v>
      </c>
      <c r="S604" s="1" t="s">
        <v>27</v>
      </c>
      <c r="T604" s="38">
        <v>1</v>
      </c>
      <c r="Z604" s="1">
        <v>80.7</v>
      </c>
      <c r="AE604" s="1">
        <v>19.2</v>
      </c>
      <c r="AJ604" s="1">
        <v>0.77</v>
      </c>
      <c r="AV604" s="1">
        <v>1.1499999999999999</v>
      </c>
    </row>
    <row r="605" spans="1:48" x14ac:dyDescent="0.2">
      <c r="A605" s="1" t="s">
        <v>4048</v>
      </c>
      <c r="B605" s="1" t="s">
        <v>55</v>
      </c>
      <c r="C605" s="1" t="s">
        <v>3978</v>
      </c>
      <c r="E605" s="1">
        <v>31</v>
      </c>
      <c r="F605" s="1" t="s">
        <v>4049</v>
      </c>
      <c r="H605" s="1" t="s">
        <v>4050</v>
      </c>
      <c r="I605" s="1" t="s">
        <v>7</v>
      </c>
      <c r="J605" s="1" t="s">
        <v>4051</v>
      </c>
      <c r="K605" s="1" t="s">
        <v>4052</v>
      </c>
      <c r="L605" s="1" t="s">
        <v>4051</v>
      </c>
      <c r="Q605" s="1">
        <v>1976</v>
      </c>
      <c r="R605" s="1" t="s">
        <v>3766</v>
      </c>
      <c r="S605" s="1" t="s">
        <v>27</v>
      </c>
      <c r="T605" s="38">
        <v>1</v>
      </c>
      <c r="Z605" s="1">
        <v>83.4</v>
      </c>
      <c r="AE605" s="1">
        <v>16.100000000000001</v>
      </c>
      <c r="AJ605" s="1">
        <v>0.44</v>
      </c>
      <c r="AV605" s="1">
        <v>1.07</v>
      </c>
    </row>
    <row r="606" spans="1:48" x14ac:dyDescent="0.2">
      <c r="A606" s="1" t="s">
        <v>4053</v>
      </c>
      <c r="B606" s="1" t="s">
        <v>55</v>
      </c>
      <c r="C606" s="1" t="s">
        <v>4054</v>
      </c>
      <c r="E606" s="1">
        <v>31</v>
      </c>
      <c r="F606" s="1" t="s">
        <v>4055</v>
      </c>
      <c r="H606" s="1" t="s">
        <v>4056</v>
      </c>
      <c r="I606" s="1" t="s">
        <v>7</v>
      </c>
      <c r="J606" s="1" t="s">
        <v>4057</v>
      </c>
      <c r="K606" s="1" t="s">
        <v>4058</v>
      </c>
      <c r="L606" s="1" t="s">
        <v>4057</v>
      </c>
      <c r="Q606" s="1">
        <v>1976</v>
      </c>
      <c r="R606" s="1" t="s">
        <v>3766</v>
      </c>
      <c r="S606" s="1" t="s">
        <v>27</v>
      </c>
      <c r="T606" s="38">
        <v>1</v>
      </c>
      <c r="Z606" s="1">
        <v>82.66</v>
      </c>
      <c r="AE606" s="1">
        <v>17</v>
      </c>
      <c r="AJ606" s="1">
        <v>1.25</v>
      </c>
      <c r="AV606" s="1">
        <v>1.46</v>
      </c>
    </row>
    <row r="607" spans="1:48" x14ac:dyDescent="0.2">
      <c r="A607" s="1" t="s">
        <v>4059</v>
      </c>
      <c r="B607" s="1" t="s">
        <v>57</v>
      </c>
      <c r="C607" s="1" t="s">
        <v>3760</v>
      </c>
      <c r="E607" s="1">
        <v>76</v>
      </c>
      <c r="F607" s="1" t="s">
        <v>4060</v>
      </c>
      <c r="H607" s="1" t="s">
        <v>4061</v>
      </c>
      <c r="I607" s="1" t="s">
        <v>7</v>
      </c>
      <c r="J607" s="1" t="s">
        <v>4062</v>
      </c>
      <c r="K607" s="1" t="s">
        <v>4063</v>
      </c>
      <c r="L607" s="1" t="s">
        <v>4064</v>
      </c>
      <c r="Q607" s="1">
        <v>1976</v>
      </c>
      <c r="R607" s="1" t="s">
        <v>3766</v>
      </c>
      <c r="S607" s="1" t="s">
        <v>27</v>
      </c>
      <c r="T607" s="38">
        <v>1</v>
      </c>
      <c r="Z607" s="1">
        <v>70.599999999999994</v>
      </c>
      <c r="AE607" s="1">
        <v>11.8</v>
      </c>
      <c r="AJ607" s="1">
        <v>1.2</v>
      </c>
      <c r="AV607" s="1">
        <v>15.9</v>
      </c>
    </row>
    <row r="608" spans="1:48" x14ac:dyDescent="0.2">
      <c r="A608" s="1" t="s">
        <v>4065</v>
      </c>
      <c r="B608" s="1" t="s">
        <v>57</v>
      </c>
      <c r="C608" s="1" t="s">
        <v>3760</v>
      </c>
      <c r="E608" s="1">
        <v>76</v>
      </c>
      <c r="F608" s="1" t="s">
        <v>4060</v>
      </c>
      <c r="H608" s="1" t="s">
        <v>4066</v>
      </c>
      <c r="I608" s="1" t="s">
        <v>7</v>
      </c>
      <c r="J608" s="1" t="s">
        <v>4067</v>
      </c>
      <c r="K608" s="1" t="s">
        <v>4063</v>
      </c>
      <c r="L608" s="1" t="s">
        <v>4064</v>
      </c>
      <c r="Q608" s="1">
        <v>1976</v>
      </c>
      <c r="R608" s="1" t="s">
        <v>3766</v>
      </c>
      <c r="S608" s="1" t="s">
        <v>27</v>
      </c>
      <c r="T608" s="38">
        <v>1</v>
      </c>
      <c r="Z608" s="1">
        <v>71.400000000000006</v>
      </c>
      <c r="AE608" s="1">
        <v>10</v>
      </c>
      <c r="AJ608" s="1">
        <v>1.5</v>
      </c>
      <c r="AV608" s="1">
        <v>16.600000000000001</v>
      </c>
    </row>
    <row r="609" spans="1:155" x14ac:dyDescent="0.2">
      <c r="A609" s="1" t="s">
        <v>4068</v>
      </c>
      <c r="B609" s="1" t="s">
        <v>57</v>
      </c>
      <c r="C609" s="1" t="s">
        <v>3760</v>
      </c>
      <c r="E609" s="1">
        <v>76</v>
      </c>
      <c r="F609" s="1" t="s">
        <v>4060</v>
      </c>
      <c r="H609" s="1" t="s">
        <v>4069</v>
      </c>
      <c r="I609" s="1" t="s">
        <v>7</v>
      </c>
      <c r="J609" s="1" t="s">
        <v>4070</v>
      </c>
      <c r="K609" s="1" t="s">
        <v>4063</v>
      </c>
      <c r="L609" s="1" t="s">
        <v>4064</v>
      </c>
      <c r="Q609" s="1">
        <v>1976</v>
      </c>
      <c r="R609" s="1" t="s">
        <v>3766</v>
      </c>
      <c r="S609" s="1" t="s">
        <v>27</v>
      </c>
      <c r="T609" s="38">
        <v>1</v>
      </c>
      <c r="Z609" s="1">
        <v>87.6</v>
      </c>
      <c r="AE609" s="1">
        <v>5.7</v>
      </c>
      <c r="AJ609" s="1">
        <v>0.7</v>
      </c>
      <c r="AV609" s="1">
        <v>5</v>
      </c>
    </row>
    <row r="610" spans="1:155" x14ac:dyDescent="0.2">
      <c r="A610" s="1" t="s">
        <v>4071</v>
      </c>
      <c r="B610" s="1" t="s">
        <v>55</v>
      </c>
      <c r="C610" s="1" t="s">
        <v>4072</v>
      </c>
      <c r="E610" s="1">
        <v>23</v>
      </c>
      <c r="F610" s="1" t="s">
        <v>4073</v>
      </c>
      <c r="H610" s="1" t="s">
        <v>4074</v>
      </c>
      <c r="I610" s="1" t="s">
        <v>7</v>
      </c>
      <c r="J610" s="1" t="s">
        <v>4075</v>
      </c>
      <c r="K610" s="1" t="s">
        <v>4076</v>
      </c>
      <c r="L610" s="1" t="s">
        <v>4075</v>
      </c>
      <c r="Q610" s="1">
        <v>1976</v>
      </c>
      <c r="R610" s="1" t="s">
        <v>3766</v>
      </c>
      <c r="S610" s="1" t="s">
        <v>27</v>
      </c>
      <c r="T610" s="38">
        <v>1</v>
      </c>
      <c r="Z610" s="1">
        <v>78.2</v>
      </c>
      <c r="AE610" s="1">
        <v>19.899999999999999</v>
      </c>
      <c r="AJ610" s="1">
        <v>1.8</v>
      </c>
      <c r="AV610" s="1">
        <v>1.4</v>
      </c>
    </row>
    <row r="611" spans="1:155" x14ac:dyDescent="0.2">
      <c r="A611" s="1" t="s">
        <v>4077</v>
      </c>
      <c r="B611" s="1" t="s">
        <v>55</v>
      </c>
      <c r="C611" s="1" t="s">
        <v>4078</v>
      </c>
      <c r="E611" s="1">
        <v>23</v>
      </c>
      <c r="F611" s="1" t="s">
        <v>4079</v>
      </c>
      <c r="H611" s="1" t="s">
        <v>4080</v>
      </c>
      <c r="I611" s="1" t="s">
        <v>7</v>
      </c>
      <c r="J611" s="1" t="s">
        <v>4081</v>
      </c>
      <c r="K611" s="1" t="s">
        <v>4082</v>
      </c>
      <c r="L611" s="1" t="s">
        <v>4081</v>
      </c>
      <c r="Q611" s="1">
        <v>1976</v>
      </c>
      <c r="R611" s="1" t="s">
        <v>3766</v>
      </c>
      <c r="S611" s="1" t="s">
        <v>27</v>
      </c>
      <c r="T611" s="38">
        <v>1</v>
      </c>
      <c r="Z611" s="1">
        <v>74.099999999999994</v>
      </c>
      <c r="AE611" s="1">
        <v>19.8</v>
      </c>
      <c r="AJ611" s="1">
        <v>5.4</v>
      </c>
      <c r="AV611" s="1">
        <v>1.2</v>
      </c>
    </row>
    <row r="612" spans="1:155" x14ac:dyDescent="0.2">
      <c r="A612" s="1" t="s">
        <v>4083</v>
      </c>
      <c r="B612" s="1" t="s">
        <v>55</v>
      </c>
      <c r="C612" s="1" t="s">
        <v>3760</v>
      </c>
      <c r="E612" s="1">
        <v>23</v>
      </c>
      <c r="F612" s="1" t="s">
        <v>1471</v>
      </c>
      <c r="H612" s="1" t="s">
        <v>4084</v>
      </c>
      <c r="I612" s="1" t="s">
        <v>7</v>
      </c>
      <c r="J612" s="1" t="s">
        <v>2844</v>
      </c>
      <c r="K612" s="1" t="s">
        <v>1474</v>
      </c>
      <c r="L612" s="1" t="s">
        <v>1473</v>
      </c>
      <c r="Q612" s="1">
        <v>1976</v>
      </c>
      <c r="R612" s="1" t="s">
        <v>3766</v>
      </c>
      <c r="S612" s="1" t="s">
        <v>27</v>
      </c>
      <c r="T612" s="38">
        <v>1</v>
      </c>
      <c r="Z612" s="1">
        <v>68.900000000000006</v>
      </c>
      <c r="AE612" s="1">
        <v>21.1</v>
      </c>
      <c r="AJ612" s="1">
        <v>9.02</v>
      </c>
      <c r="AV612" s="1">
        <v>1.31</v>
      </c>
    </row>
    <row r="613" spans="1:155" x14ac:dyDescent="0.2">
      <c r="A613" s="1" t="s">
        <v>4085</v>
      </c>
      <c r="B613" s="1" t="s">
        <v>55</v>
      </c>
      <c r="C613" s="1" t="s">
        <v>3790</v>
      </c>
      <c r="E613" s="1">
        <v>36</v>
      </c>
      <c r="F613" s="1" t="s">
        <v>3093</v>
      </c>
      <c r="H613" s="1" t="s">
        <v>4086</v>
      </c>
      <c r="I613" s="1" t="s">
        <v>7</v>
      </c>
      <c r="J613" s="1" t="s">
        <v>3096</v>
      </c>
      <c r="K613" s="1" t="s">
        <v>3097</v>
      </c>
      <c r="L613" s="1" t="s">
        <v>3096</v>
      </c>
      <c r="Q613" s="1">
        <v>1976</v>
      </c>
      <c r="R613" s="1" t="s">
        <v>3766</v>
      </c>
      <c r="S613" s="1" t="s">
        <v>27</v>
      </c>
      <c r="T613" s="38">
        <v>1</v>
      </c>
      <c r="Z613" s="1">
        <v>64.900000000000006</v>
      </c>
      <c r="AE613" s="1">
        <v>25</v>
      </c>
      <c r="AJ613" s="1">
        <v>10.3</v>
      </c>
      <c r="AV613" s="1">
        <v>1.26</v>
      </c>
    </row>
    <row r="614" spans="1:155" x14ac:dyDescent="0.2">
      <c r="A614" s="1" t="s">
        <v>4087</v>
      </c>
      <c r="B614" s="1" t="s">
        <v>55</v>
      </c>
      <c r="C614" s="1" t="s">
        <v>3790</v>
      </c>
      <c r="E614" s="1">
        <v>36</v>
      </c>
      <c r="F614" s="1" t="s">
        <v>3093</v>
      </c>
      <c r="H614" s="1" t="s">
        <v>4088</v>
      </c>
      <c r="I614" s="1" t="s">
        <v>7</v>
      </c>
      <c r="J614" s="1" t="s">
        <v>3096</v>
      </c>
      <c r="K614" s="1" t="s">
        <v>3097</v>
      </c>
      <c r="L614" s="1" t="s">
        <v>3096</v>
      </c>
      <c r="Q614" s="1">
        <v>1976</v>
      </c>
      <c r="R614" s="1" t="s">
        <v>3766</v>
      </c>
      <c r="S614" s="1" t="s">
        <v>27</v>
      </c>
      <c r="T614" s="38">
        <v>1</v>
      </c>
      <c r="Z614" s="1">
        <v>68.599999999999994</v>
      </c>
      <c r="AE614" s="1">
        <v>22.8</v>
      </c>
      <c r="AJ614" s="1">
        <v>8.25</v>
      </c>
      <c r="AV614" s="1">
        <v>1.18</v>
      </c>
    </row>
    <row r="615" spans="1:155" x14ac:dyDescent="0.2">
      <c r="A615" s="1" t="s">
        <v>4089</v>
      </c>
      <c r="B615" s="1" t="s">
        <v>55</v>
      </c>
      <c r="C615" s="1" t="s">
        <v>4090</v>
      </c>
      <c r="E615" s="1">
        <v>33</v>
      </c>
      <c r="F615" s="1" t="s">
        <v>4091</v>
      </c>
      <c r="G615" s="1" t="s">
        <v>4092</v>
      </c>
      <c r="H615" s="1" t="s">
        <v>4093</v>
      </c>
      <c r="I615" s="1" t="s">
        <v>7</v>
      </c>
      <c r="J615" s="1" t="s">
        <v>4094</v>
      </c>
      <c r="K615" s="1" t="s">
        <v>4095</v>
      </c>
      <c r="L615" s="1" t="s">
        <v>4094</v>
      </c>
      <c r="M615" s="1" t="s">
        <v>4096</v>
      </c>
      <c r="P615" s="1" t="s">
        <v>4097</v>
      </c>
      <c r="Q615" s="1">
        <v>2008</v>
      </c>
      <c r="R615" s="1" t="s">
        <v>4098</v>
      </c>
      <c r="S615" s="1" t="s">
        <v>27</v>
      </c>
      <c r="T615" s="38">
        <v>1</v>
      </c>
      <c r="Z615" s="1">
        <v>80.7</v>
      </c>
      <c r="AA615" s="1">
        <v>6.25</v>
      </c>
      <c r="AC615" s="1">
        <v>18.399999999999999</v>
      </c>
      <c r="AH615" s="1">
        <v>1</v>
      </c>
      <c r="AQ615" s="1">
        <v>0.5</v>
      </c>
      <c r="AV615" s="1">
        <v>0.7</v>
      </c>
      <c r="EY615" s="1">
        <v>33.5</v>
      </c>
    </row>
    <row r="616" spans="1:155" x14ac:dyDescent="0.2">
      <c r="A616" s="1" t="s">
        <v>4099</v>
      </c>
      <c r="B616" s="1" t="s">
        <v>55</v>
      </c>
      <c r="C616" s="1" t="s">
        <v>4090</v>
      </c>
      <c r="E616" s="1">
        <v>12</v>
      </c>
      <c r="F616" s="1" t="s">
        <v>1373</v>
      </c>
      <c r="G616" s="1" t="s">
        <v>4100</v>
      </c>
      <c r="H616" s="1" t="s">
        <v>4101</v>
      </c>
      <c r="I616" s="1" t="s">
        <v>7</v>
      </c>
      <c r="J616" s="1" t="s">
        <v>1375</v>
      </c>
      <c r="K616" s="1" t="s">
        <v>1376</v>
      </c>
      <c r="L616" s="1" t="s">
        <v>1375</v>
      </c>
      <c r="M616" s="1" t="s">
        <v>4096</v>
      </c>
      <c r="P616" s="1" t="s">
        <v>4097</v>
      </c>
      <c r="Q616" s="1">
        <v>2008</v>
      </c>
      <c r="R616" s="1" t="s">
        <v>4098</v>
      </c>
      <c r="S616" s="1" t="s">
        <v>27</v>
      </c>
      <c r="T616" s="38">
        <v>1</v>
      </c>
      <c r="Z616" s="1">
        <v>80.2</v>
      </c>
      <c r="AA616" s="1">
        <v>6.25</v>
      </c>
      <c r="AC616" s="1">
        <v>17.7</v>
      </c>
      <c r="AH616" s="1">
        <v>1.2</v>
      </c>
      <c r="AQ616" s="1">
        <v>0.6</v>
      </c>
      <c r="AV616" s="1">
        <v>0.8</v>
      </c>
      <c r="EY616" s="1">
        <v>28.4</v>
      </c>
    </row>
    <row r="617" spans="1:155" x14ac:dyDescent="0.2">
      <c r="A617" s="1" t="s">
        <v>4102</v>
      </c>
      <c r="B617" s="1" t="s">
        <v>55</v>
      </c>
      <c r="C617" s="1" t="s">
        <v>4090</v>
      </c>
      <c r="E617" s="1">
        <v>13</v>
      </c>
      <c r="F617" s="1" t="s">
        <v>4103</v>
      </c>
      <c r="G617" s="1" t="s">
        <v>4104</v>
      </c>
      <c r="H617" s="1" t="s">
        <v>4105</v>
      </c>
      <c r="I617" s="1" t="s">
        <v>7</v>
      </c>
      <c r="J617" s="1" t="s">
        <v>4106</v>
      </c>
      <c r="K617" s="1" t="s">
        <v>4107</v>
      </c>
      <c r="L617" s="1" t="s">
        <v>4108</v>
      </c>
      <c r="M617" s="1" t="s">
        <v>4096</v>
      </c>
      <c r="P617" s="1" t="s">
        <v>4097</v>
      </c>
      <c r="Q617" s="1">
        <v>2008</v>
      </c>
      <c r="R617" s="1" t="s">
        <v>4098</v>
      </c>
      <c r="S617" s="1" t="s">
        <v>27</v>
      </c>
      <c r="T617" s="38">
        <v>1</v>
      </c>
      <c r="Z617" s="1">
        <v>76.400000000000006</v>
      </c>
      <c r="AA617" s="1">
        <v>6.25</v>
      </c>
      <c r="AC617" s="1">
        <v>18.7</v>
      </c>
      <c r="AH617" s="1">
        <v>3.2</v>
      </c>
      <c r="AQ617" s="1">
        <v>2</v>
      </c>
      <c r="AV617" s="1">
        <v>0.8</v>
      </c>
      <c r="EY617" s="1">
        <v>93.8</v>
      </c>
    </row>
    <row r="618" spans="1:155" x14ac:dyDescent="0.2">
      <c r="A618" s="1" t="s">
        <v>4109</v>
      </c>
      <c r="B618" s="1" t="s">
        <v>55</v>
      </c>
      <c r="C618" s="1" t="s">
        <v>4090</v>
      </c>
      <c r="E618" s="1">
        <v>13</v>
      </c>
      <c r="F618" s="1" t="s">
        <v>4110</v>
      </c>
      <c r="G618" s="1" t="s">
        <v>4111</v>
      </c>
      <c r="H618" s="1" t="s">
        <v>4112</v>
      </c>
      <c r="I618" s="1" t="s">
        <v>7</v>
      </c>
      <c r="J618" s="1" t="s">
        <v>4113</v>
      </c>
      <c r="L618" s="1" t="s">
        <v>4113</v>
      </c>
      <c r="M618" s="1" t="s">
        <v>4096</v>
      </c>
      <c r="P618" s="1" t="s">
        <v>4097</v>
      </c>
      <c r="Q618" s="1">
        <v>2008</v>
      </c>
      <c r="R618" s="1" t="s">
        <v>4098</v>
      </c>
      <c r="S618" s="1" t="s">
        <v>27</v>
      </c>
      <c r="T618" s="38">
        <v>1</v>
      </c>
      <c r="Z618" s="1">
        <v>77.2</v>
      </c>
      <c r="AA618" s="1">
        <v>6.25</v>
      </c>
      <c r="AC618" s="1">
        <v>17.600000000000001</v>
      </c>
      <c r="AH618" s="1">
        <v>4.5999999999999996</v>
      </c>
      <c r="AQ618" s="1">
        <v>0.3</v>
      </c>
      <c r="AV618" s="1">
        <v>1</v>
      </c>
      <c r="EY618" s="1">
        <v>61.2</v>
      </c>
    </row>
    <row r="619" spans="1:155" x14ac:dyDescent="0.2">
      <c r="A619" s="1" t="s">
        <v>4114</v>
      </c>
      <c r="B619" s="1" t="s">
        <v>1911</v>
      </c>
      <c r="C619" s="1" t="s">
        <v>4115</v>
      </c>
      <c r="E619" s="1">
        <v>43</v>
      </c>
      <c r="F619" s="1" t="s">
        <v>4116</v>
      </c>
      <c r="H619" s="1" t="s">
        <v>4117</v>
      </c>
      <c r="I619" s="1" t="s">
        <v>7</v>
      </c>
      <c r="J619" s="1" t="s">
        <v>4118</v>
      </c>
      <c r="K619" s="1" t="s">
        <v>4119</v>
      </c>
      <c r="L619" s="1" t="s">
        <v>4118</v>
      </c>
      <c r="N619" s="1" t="s">
        <v>4120</v>
      </c>
      <c r="Q619" s="1">
        <v>2008</v>
      </c>
      <c r="R619" s="1" t="s">
        <v>4121</v>
      </c>
      <c r="S619" s="1" t="s">
        <v>27</v>
      </c>
      <c r="T619" s="38">
        <v>1</v>
      </c>
      <c r="AX619" s="1">
        <v>2300</v>
      </c>
      <c r="AY619" s="1">
        <v>47.3</v>
      </c>
      <c r="AZ619" s="1">
        <v>441.9</v>
      </c>
      <c r="BD619" s="1">
        <v>1</v>
      </c>
      <c r="BF619" s="1">
        <v>0.23</v>
      </c>
      <c r="BH619" s="1">
        <v>262.89999999999998</v>
      </c>
      <c r="BJ619" s="1">
        <v>25.2</v>
      </c>
      <c r="BK619" s="1">
        <v>6.0999999999999999E-2</v>
      </c>
      <c r="BM619" s="1">
        <v>322.8</v>
      </c>
      <c r="BR619" s="1">
        <v>171.6</v>
      </c>
      <c r="BS619" s="1">
        <v>85</v>
      </c>
      <c r="BW619" s="1">
        <v>2.9</v>
      </c>
      <c r="BY619" s="1">
        <v>1100</v>
      </c>
      <c r="CA619" s="1">
        <v>2</v>
      </c>
      <c r="CB619" s="1">
        <v>1</v>
      </c>
      <c r="CC619" s="1">
        <v>10</v>
      </c>
      <c r="CE619" s="1">
        <v>3400</v>
      </c>
    </row>
    <row r="620" spans="1:155" x14ac:dyDescent="0.2">
      <c r="A620" s="1" t="s">
        <v>4122</v>
      </c>
      <c r="B620" s="1" t="s">
        <v>1911</v>
      </c>
      <c r="C620" s="1" t="s">
        <v>4115</v>
      </c>
      <c r="E620" s="1">
        <v>43</v>
      </c>
      <c r="F620" s="1" t="s">
        <v>4116</v>
      </c>
      <c r="H620" s="1" t="s">
        <v>4123</v>
      </c>
      <c r="I620" s="1" t="s">
        <v>7</v>
      </c>
      <c r="J620" s="1" t="s">
        <v>4118</v>
      </c>
      <c r="K620" s="1" t="s">
        <v>4119</v>
      </c>
      <c r="L620" s="1" t="s">
        <v>4118</v>
      </c>
      <c r="N620" s="1" t="s">
        <v>4120</v>
      </c>
      <c r="Q620" s="1">
        <v>2008</v>
      </c>
      <c r="R620" s="1" t="s">
        <v>4121</v>
      </c>
      <c r="S620" s="1" t="s">
        <v>27</v>
      </c>
      <c r="T620" s="38">
        <v>1</v>
      </c>
      <c r="AX620" s="1">
        <v>4800</v>
      </c>
      <c r="AY620" s="1">
        <v>29.3</v>
      </c>
      <c r="AZ620" s="1">
        <v>468.1</v>
      </c>
      <c r="BD620" s="1">
        <v>12.7</v>
      </c>
      <c r="BF620" s="1">
        <v>2.9</v>
      </c>
      <c r="BH620" s="1">
        <v>269.39999999999998</v>
      </c>
      <c r="BJ620" s="1">
        <v>15.8</v>
      </c>
      <c r="BK620" s="1">
        <v>0.27</v>
      </c>
      <c r="BM620" s="1">
        <v>284.2</v>
      </c>
      <c r="BR620" s="1">
        <v>195.5</v>
      </c>
      <c r="BS620" s="1">
        <v>180</v>
      </c>
      <c r="BW620" s="1">
        <v>3.1</v>
      </c>
      <c r="BY620" s="1">
        <v>2000</v>
      </c>
      <c r="CA620" s="1">
        <v>1100</v>
      </c>
      <c r="CB620" s="1">
        <v>13</v>
      </c>
      <c r="CC620" s="1">
        <v>11</v>
      </c>
      <c r="CE620" s="1">
        <v>1400</v>
      </c>
    </row>
    <row r="621" spans="1:155" x14ac:dyDescent="0.2">
      <c r="A621" s="1" t="s">
        <v>4124</v>
      </c>
      <c r="B621" s="1" t="s">
        <v>1911</v>
      </c>
      <c r="C621" s="1" t="s">
        <v>4115</v>
      </c>
      <c r="E621" s="1">
        <v>43</v>
      </c>
      <c r="F621" s="1" t="s">
        <v>4116</v>
      </c>
      <c r="H621" s="1" t="s">
        <v>4125</v>
      </c>
      <c r="I621" s="1" t="s">
        <v>7</v>
      </c>
      <c r="J621" s="1" t="s">
        <v>4118</v>
      </c>
      <c r="K621" s="1" t="s">
        <v>4119</v>
      </c>
      <c r="L621" s="1" t="s">
        <v>4118</v>
      </c>
      <c r="N621" s="1" t="s">
        <v>4120</v>
      </c>
      <c r="Q621" s="1">
        <v>2008</v>
      </c>
      <c r="R621" s="1" t="s">
        <v>4121</v>
      </c>
      <c r="S621" s="1" t="s">
        <v>27</v>
      </c>
      <c r="T621" s="38">
        <v>1</v>
      </c>
      <c r="AX621" s="1">
        <v>2500</v>
      </c>
      <c r="AY621" s="1">
        <v>17.3</v>
      </c>
      <c r="AZ621" s="1">
        <v>231.6</v>
      </c>
      <c r="BD621" s="1">
        <v>1.5</v>
      </c>
      <c r="BF621" s="1">
        <v>1.2</v>
      </c>
      <c r="BH621" s="1">
        <v>213.5</v>
      </c>
      <c r="BJ621" s="1">
        <v>11.2</v>
      </c>
      <c r="BK621" s="1">
        <v>0.21</v>
      </c>
      <c r="BM621" s="1">
        <v>149.80000000000001</v>
      </c>
      <c r="BR621" s="1">
        <v>132</v>
      </c>
      <c r="BS621" s="1">
        <v>330</v>
      </c>
      <c r="BW621" s="1">
        <v>1.7</v>
      </c>
      <c r="BY621" s="1">
        <v>1200</v>
      </c>
      <c r="CB621" s="1">
        <v>1</v>
      </c>
      <c r="CE621" s="1">
        <v>1200</v>
      </c>
    </row>
    <row r="622" spans="1:155" x14ac:dyDescent="0.2">
      <c r="A622" s="1" t="s">
        <v>4126</v>
      </c>
      <c r="B622" s="1" t="s">
        <v>1911</v>
      </c>
      <c r="C622" s="1" t="s">
        <v>2594</v>
      </c>
      <c r="E622" s="1">
        <v>43</v>
      </c>
      <c r="F622" s="1" t="s">
        <v>1912</v>
      </c>
      <c r="H622" s="1" t="s">
        <v>4127</v>
      </c>
      <c r="I622" s="1" t="s">
        <v>7</v>
      </c>
      <c r="J622" s="1" t="s">
        <v>1914</v>
      </c>
      <c r="K622" s="1" t="s">
        <v>1915</v>
      </c>
      <c r="L622" s="1" t="s">
        <v>1914</v>
      </c>
      <c r="N622" s="1" t="s">
        <v>4128</v>
      </c>
      <c r="Q622" s="1">
        <v>2008</v>
      </c>
      <c r="R622" s="1" t="s">
        <v>4121</v>
      </c>
      <c r="S622" s="1" t="s">
        <v>27</v>
      </c>
      <c r="T622" s="38">
        <v>1</v>
      </c>
      <c r="AX622" s="1">
        <v>2200</v>
      </c>
      <c r="AY622" s="1">
        <v>45.6</v>
      </c>
      <c r="AZ622" s="1">
        <v>404.3</v>
      </c>
      <c r="BD622" s="1">
        <v>0.96</v>
      </c>
      <c r="BF622" s="1">
        <v>0.18</v>
      </c>
      <c r="BH622" s="1">
        <v>261.3</v>
      </c>
      <c r="BJ622" s="1">
        <v>22.2</v>
      </c>
      <c r="BK622" s="1">
        <v>0.04</v>
      </c>
      <c r="BM622" s="1">
        <v>196.2</v>
      </c>
      <c r="BR622" s="1">
        <v>169.5</v>
      </c>
      <c r="BS622" s="1">
        <v>56</v>
      </c>
      <c r="BW622" s="1">
        <v>2.6</v>
      </c>
      <c r="BY622" s="1">
        <v>1700</v>
      </c>
      <c r="CA622" s="1">
        <v>2</v>
      </c>
      <c r="CB622" s="1">
        <v>15</v>
      </c>
      <c r="CC622" s="1">
        <v>10</v>
      </c>
      <c r="CE622" s="1">
        <v>3500</v>
      </c>
    </row>
    <row r="623" spans="1:155" x14ac:dyDescent="0.2">
      <c r="A623" s="1" t="s">
        <v>4129</v>
      </c>
      <c r="B623" s="1" t="s">
        <v>1911</v>
      </c>
      <c r="C623" s="1" t="s">
        <v>2594</v>
      </c>
      <c r="E623" s="1">
        <v>43</v>
      </c>
      <c r="F623" s="1" t="s">
        <v>1912</v>
      </c>
      <c r="H623" s="1" t="s">
        <v>4130</v>
      </c>
      <c r="I623" s="1" t="s">
        <v>7</v>
      </c>
      <c r="J623" s="1" t="s">
        <v>1914</v>
      </c>
      <c r="K623" s="1" t="s">
        <v>1915</v>
      </c>
      <c r="L623" s="1" t="s">
        <v>1914</v>
      </c>
      <c r="N623" s="1" t="s">
        <v>4128</v>
      </c>
      <c r="Q623" s="1">
        <v>2008</v>
      </c>
      <c r="R623" s="1" t="s">
        <v>4121</v>
      </c>
      <c r="S623" s="1" t="s">
        <v>27</v>
      </c>
      <c r="T623" s="38">
        <v>1</v>
      </c>
      <c r="AX623" s="1">
        <v>7400</v>
      </c>
      <c r="AY623" s="1">
        <v>33.5</v>
      </c>
      <c r="AZ623" s="1">
        <v>475.6</v>
      </c>
      <c r="BD623" s="1">
        <v>27</v>
      </c>
      <c r="BF623" s="1">
        <v>1.6</v>
      </c>
      <c r="BH623" s="1">
        <v>253.4</v>
      </c>
      <c r="BJ623" s="1">
        <v>8.1999999999999993</v>
      </c>
      <c r="BK623" s="1">
        <v>0.19</v>
      </c>
      <c r="BM623" s="1">
        <v>160.80000000000001</v>
      </c>
      <c r="BR623" s="1">
        <v>202.9</v>
      </c>
      <c r="BS623" s="1">
        <v>110</v>
      </c>
      <c r="BW623" s="1">
        <v>4.0999999999999996</v>
      </c>
      <c r="BY623" s="1">
        <v>2400</v>
      </c>
      <c r="CA623" s="1">
        <v>1100</v>
      </c>
      <c r="CB623" s="1">
        <v>9</v>
      </c>
      <c r="CC623" s="1">
        <v>10</v>
      </c>
      <c r="CE623" s="1">
        <v>2000</v>
      </c>
    </row>
    <row r="624" spans="1:155" x14ac:dyDescent="0.2">
      <c r="A624" s="1" t="s">
        <v>4131</v>
      </c>
      <c r="B624" s="1" t="s">
        <v>1911</v>
      </c>
      <c r="C624" s="1" t="s">
        <v>2594</v>
      </c>
      <c r="E624" s="1">
        <v>43</v>
      </c>
      <c r="F624" s="1" t="s">
        <v>1912</v>
      </c>
      <c r="H624" s="1" t="s">
        <v>4132</v>
      </c>
      <c r="I624" s="1" t="s">
        <v>7</v>
      </c>
      <c r="J624" s="1" t="s">
        <v>1914</v>
      </c>
      <c r="K624" s="1" t="s">
        <v>1915</v>
      </c>
      <c r="L624" s="1" t="s">
        <v>1914</v>
      </c>
      <c r="N624" s="1" t="s">
        <v>4128</v>
      </c>
      <c r="Q624" s="1">
        <v>2008</v>
      </c>
      <c r="R624" s="1" t="s">
        <v>4121</v>
      </c>
      <c r="S624" s="1" t="s">
        <v>27</v>
      </c>
      <c r="T624" s="38">
        <v>1</v>
      </c>
      <c r="AX624" s="1">
        <v>2600</v>
      </c>
      <c r="AY624" s="1">
        <v>17.3</v>
      </c>
      <c r="AZ624" s="1">
        <v>245.5</v>
      </c>
      <c r="BD624" s="1">
        <v>1.4</v>
      </c>
      <c r="BF624" s="1">
        <v>1.6</v>
      </c>
      <c r="BH624" s="1">
        <v>231.4</v>
      </c>
      <c r="BJ624" s="1">
        <v>9.1999999999999993</v>
      </c>
      <c r="BK624" s="1">
        <v>0.22</v>
      </c>
      <c r="BM624" s="1">
        <v>150.6</v>
      </c>
      <c r="BR624" s="1">
        <v>216.8</v>
      </c>
      <c r="BS624" s="1">
        <v>260</v>
      </c>
      <c r="BW624" s="1">
        <v>3</v>
      </c>
      <c r="BY624" s="1">
        <v>1700</v>
      </c>
      <c r="CB624" s="1">
        <v>1</v>
      </c>
      <c r="CE624" s="1">
        <v>1200</v>
      </c>
    </row>
    <row r="625" spans="1:163" x14ac:dyDescent="0.2">
      <c r="A625" s="1" t="s">
        <v>4133</v>
      </c>
      <c r="B625" s="1" t="s">
        <v>1911</v>
      </c>
      <c r="C625" s="1" t="s">
        <v>2594</v>
      </c>
      <c r="E625" s="1">
        <v>43</v>
      </c>
      <c r="F625" s="1" t="s">
        <v>1912</v>
      </c>
      <c r="H625" s="1" t="s">
        <v>4134</v>
      </c>
      <c r="I625" s="1" t="s">
        <v>7</v>
      </c>
      <c r="J625" s="1" t="s">
        <v>1914</v>
      </c>
      <c r="K625" s="1" t="s">
        <v>1915</v>
      </c>
      <c r="L625" s="1" t="s">
        <v>1914</v>
      </c>
      <c r="N625" s="1" t="s">
        <v>4128</v>
      </c>
      <c r="Q625" s="1">
        <v>2008</v>
      </c>
      <c r="R625" s="1" t="s">
        <v>4121</v>
      </c>
      <c r="S625" s="1" t="s">
        <v>27</v>
      </c>
      <c r="T625" s="38">
        <v>1</v>
      </c>
      <c r="AX625" s="1">
        <v>11400</v>
      </c>
      <c r="AY625" s="1">
        <v>44.6</v>
      </c>
      <c r="AZ625" s="1">
        <v>480.3</v>
      </c>
      <c r="BD625" s="1">
        <v>3.4</v>
      </c>
      <c r="BF625" s="1">
        <v>0.7</v>
      </c>
      <c r="BH625" s="1">
        <v>64.400000000000006</v>
      </c>
      <c r="BJ625" s="1">
        <v>39.6</v>
      </c>
      <c r="BK625" s="1">
        <v>0.08</v>
      </c>
      <c r="BM625" s="1">
        <v>400.6</v>
      </c>
      <c r="BR625" s="1">
        <v>169.6</v>
      </c>
      <c r="BS625" s="1">
        <v>100</v>
      </c>
      <c r="BW625" s="1">
        <v>3.5</v>
      </c>
      <c r="BY625" s="1">
        <v>11</v>
      </c>
      <c r="CB625" s="1">
        <v>1</v>
      </c>
      <c r="CE625" s="1">
        <v>2000</v>
      </c>
    </row>
    <row r="626" spans="1:163" x14ac:dyDescent="0.2">
      <c r="A626" s="1" t="s">
        <v>4135</v>
      </c>
      <c r="B626" s="1" t="s">
        <v>1911</v>
      </c>
      <c r="C626" s="1" t="s">
        <v>4136</v>
      </c>
      <c r="D626" s="1" t="s">
        <v>2</v>
      </c>
      <c r="E626" s="1">
        <v>41</v>
      </c>
      <c r="F626" s="1" t="s">
        <v>4137</v>
      </c>
      <c r="H626" s="1" t="s">
        <v>4138</v>
      </c>
      <c r="I626" s="1" t="s">
        <v>11</v>
      </c>
      <c r="J626" s="1" t="s">
        <v>4139</v>
      </c>
      <c r="K626" s="1" t="s">
        <v>4140</v>
      </c>
      <c r="L626" s="1" t="s">
        <v>4139</v>
      </c>
      <c r="M626" s="1" t="s">
        <v>4141</v>
      </c>
      <c r="N626" s="1" t="s">
        <v>4142</v>
      </c>
      <c r="P626" s="1" t="s">
        <v>1269</v>
      </c>
      <c r="Q626" s="1">
        <v>2007</v>
      </c>
      <c r="R626" s="1" t="s">
        <v>4143</v>
      </c>
      <c r="S626" s="1" t="s">
        <v>27</v>
      </c>
      <c r="T626" s="38">
        <v>1</v>
      </c>
      <c r="U626" s="1">
        <v>0.24199999999999999</v>
      </c>
      <c r="Z626" s="1">
        <v>78.8</v>
      </c>
      <c r="AA626" s="1">
        <v>6.25</v>
      </c>
      <c r="AC626" s="1">
        <v>18.899999999999999</v>
      </c>
      <c r="AI626" s="1">
        <v>0.9</v>
      </c>
      <c r="AK626" s="1">
        <v>0.14632133999999999</v>
      </c>
      <c r="AL626" s="1">
        <v>0.29258393999999999</v>
      </c>
      <c r="AM626" s="1">
        <v>0.14021238</v>
      </c>
      <c r="AN626" s="1">
        <v>8.2235999999999993E-3</v>
      </c>
      <c r="AV626" s="1">
        <v>1.39</v>
      </c>
      <c r="DU626" s="1">
        <v>1250</v>
      </c>
      <c r="DV626" s="1">
        <v>1780</v>
      </c>
      <c r="DX626" s="1">
        <v>1790</v>
      </c>
      <c r="DY626" s="1">
        <v>180</v>
      </c>
      <c r="EA626" s="1">
        <v>2740</v>
      </c>
      <c r="EB626" s="1">
        <v>1160</v>
      </c>
      <c r="EC626" s="1">
        <v>430</v>
      </c>
      <c r="EF626" s="1">
        <v>780</v>
      </c>
      <c r="EG626" s="1">
        <v>1390</v>
      </c>
      <c r="EH626" s="1">
        <v>1460</v>
      </c>
      <c r="EI626" s="1">
        <v>230</v>
      </c>
      <c r="EK626" s="1">
        <v>780</v>
      </c>
      <c r="EL626" s="1">
        <v>520</v>
      </c>
      <c r="EM626" s="1">
        <v>750</v>
      </c>
      <c r="EO626" s="1">
        <v>860</v>
      </c>
      <c r="EP626" s="1">
        <v>510</v>
      </c>
      <c r="EQ626" s="1">
        <v>630</v>
      </c>
      <c r="ER626" s="1">
        <v>860</v>
      </c>
    </row>
    <row r="627" spans="1:163" x14ac:dyDescent="0.2">
      <c r="A627" s="1" t="s">
        <v>4144</v>
      </c>
      <c r="B627" s="1" t="s">
        <v>1911</v>
      </c>
      <c r="C627" s="1" t="s">
        <v>4136</v>
      </c>
      <c r="D627" s="1" t="s">
        <v>2</v>
      </c>
      <c r="E627" s="1">
        <v>41</v>
      </c>
      <c r="F627" s="1" t="s">
        <v>4137</v>
      </c>
      <c r="H627" s="1" t="s">
        <v>4145</v>
      </c>
      <c r="I627" s="1" t="s">
        <v>11</v>
      </c>
      <c r="J627" s="1" t="s">
        <v>4139</v>
      </c>
      <c r="K627" s="1" t="s">
        <v>4140</v>
      </c>
      <c r="L627" s="1" t="s">
        <v>4139</v>
      </c>
      <c r="M627" s="1" t="s">
        <v>4141</v>
      </c>
      <c r="N627" s="1" t="s">
        <v>4142</v>
      </c>
      <c r="Q627" s="1">
        <v>2007</v>
      </c>
      <c r="R627" s="1" t="s">
        <v>4143</v>
      </c>
      <c r="S627" s="1" t="s">
        <v>27</v>
      </c>
      <c r="T627" s="38">
        <v>1</v>
      </c>
      <c r="U627" s="1">
        <v>9.1999999999999998E-2</v>
      </c>
      <c r="Z627" s="1" t="s">
        <v>4146</v>
      </c>
      <c r="AA627" s="1">
        <v>6.25</v>
      </c>
      <c r="AC627" s="1" t="s">
        <v>4147</v>
      </c>
      <c r="AI627" s="1" t="s">
        <v>4148</v>
      </c>
      <c r="AV627" s="1" t="s">
        <v>4149</v>
      </c>
    </row>
    <row r="628" spans="1:163" x14ac:dyDescent="0.2">
      <c r="A628" s="1" t="s">
        <v>4150</v>
      </c>
      <c r="B628" s="1" t="s">
        <v>57</v>
      </c>
      <c r="C628" s="1" t="s">
        <v>4151</v>
      </c>
      <c r="D628" s="1" t="s">
        <v>2</v>
      </c>
      <c r="E628" s="1">
        <v>54</v>
      </c>
      <c r="F628" s="1" t="s">
        <v>4152</v>
      </c>
      <c r="H628" s="1" t="s">
        <v>4153</v>
      </c>
      <c r="I628" s="1" t="s">
        <v>7</v>
      </c>
      <c r="J628" s="1" t="s">
        <v>4154</v>
      </c>
      <c r="K628" s="1" t="s">
        <v>4155</v>
      </c>
      <c r="L628" s="1" t="s">
        <v>4154</v>
      </c>
      <c r="M628" s="1" t="s">
        <v>4156</v>
      </c>
      <c r="P628" s="1" t="s">
        <v>1269</v>
      </c>
      <c r="Q628" s="1">
        <v>2009</v>
      </c>
      <c r="R628" s="1" t="s">
        <v>4157</v>
      </c>
      <c r="S628" s="1" t="s">
        <v>27</v>
      </c>
      <c r="T628" s="38">
        <v>1</v>
      </c>
      <c r="U628" s="1">
        <v>0.26</v>
      </c>
      <c r="Z628" s="1" t="s">
        <v>4158</v>
      </c>
      <c r="AC628" s="1" t="s">
        <v>4159</v>
      </c>
      <c r="AI628" s="1" t="s">
        <v>1567</v>
      </c>
      <c r="AK628" s="1">
        <v>0.37843653199999999</v>
      </c>
      <c r="AL628" s="1">
        <v>0.26165302000000001</v>
      </c>
      <c r="AM628" s="1">
        <v>0.33834786</v>
      </c>
      <c r="AV628" s="1" t="s">
        <v>4160</v>
      </c>
      <c r="AY628" s="1">
        <v>37</v>
      </c>
      <c r="BD628" s="1">
        <v>0.1</v>
      </c>
      <c r="BF628" s="1">
        <v>2.1</v>
      </c>
      <c r="BH628" s="1">
        <v>111</v>
      </c>
      <c r="BJ628" s="1">
        <v>41</v>
      </c>
      <c r="BK628" s="1">
        <v>0.17</v>
      </c>
      <c r="BM628" s="1">
        <v>415</v>
      </c>
      <c r="BP628" s="1">
        <v>149</v>
      </c>
      <c r="BW628" s="1">
        <v>2</v>
      </c>
    </row>
    <row r="629" spans="1:163" x14ac:dyDescent="0.2">
      <c r="A629" s="1" t="s">
        <v>4161</v>
      </c>
      <c r="B629" s="1" t="s">
        <v>57</v>
      </c>
      <c r="C629" s="1" t="s">
        <v>4162</v>
      </c>
      <c r="D629" s="1" t="s">
        <v>2</v>
      </c>
      <c r="E629" s="1">
        <v>54</v>
      </c>
      <c r="F629" s="1" t="s">
        <v>4152</v>
      </c>
      <c r="H629" s="1" t="s">
        <v>4153</v>
      </c>
      <c r="I629" s="1" t="s">
        <v>7</v>
      </c>
      <c r="J629" s="1" t="s">
        <v>4154</v>
      </c>
      <c r="K629" s="1" t="s">
        <v>4155</v>
      </c>
      <c r="L629" s="1" t="s">
        <v>4154</v>
      </c>
      <c r="M629" s="1" t="s">
        <v>4156</v>
      </c>
      <c r="P629" s="1" t="s">
        <v>1269</v>
      </c>
      <c r="Q629" s="1">
        <v>2009</v>
      </c>
      <c r="R629" s="1" t="s">
        <v>4157</v>
      </c>
      <c r="S629" s="1" t="s">
        <v>27</v>
      </c>
      <c r="T629" s="38">
        <v>1</v>
      </c>
      <c r="U629" s="1">
        <v>0.34</v>
      </c>
      <c r="Z629" s="1" t="s">
        <v>4163</v>
      </c>
      <c r="AC629" s="1" t="s">
        <v>4164</v>
      </c>
      <c r="AI629" s="1" t="s">
        <v>4165</v>
      </c>
      <c r="AK629" s="1">
        <v>0.67224801599999995</v>
      </c>
      <c r="AL629" s="1">
        <v>0.315755968</v>
      </c>
      <c r="AM629" s="1">
        <v>0.53963324800000001</v>
      </c>
      <c r="AV629" s="1" t="s">
        <v>4166</v>
      </c>
      <c r="AY629" s="1">
        <v>82</v>
      </c>
      <c r="BD629" s="1">
        <v>0.12</v>
      </c>
      <c r="BF629" s="1">
        <v>2.9</v>
      </c>
      <c r="BH629" s="1">
        <v>139</v>
      </c>
      <c r="BJ629" s="1">
        <v>91</v>
      </c>
      <c r="BK629" s="1">
        <v>0.17</v>
      </c>
      <c r="BM629" s="1">
        <v>449</v>
      </c>
      <c r="BP629" s="1">
        <v>239</v>
      </c>
      <c r="BW629" s="1">
        <v>1.76</v>
      </c>
    </row>
    <row r="630" spans="1:163" x14ac:dyDescent="0.2">
      <c r="A630" s="1" t="s">
        <v>4167</v>
      </c>
      <c r="B630" s="1" t="s">
        <v>1911</v>
      </c>
      <c r="C630" s="1" t="s">
        <v>4168</v>
      </c>
      <c r="D630" s="1" t="s">
        <v>2</v>
      </c>
      <c r="E630" s="1">
        <v>45</v>
      </c>
      <c r="F630" s="1" t="s">
        <v>3695</v>
      </c>
      <c r="H630" s="1" t="s">
        <v>4169</v>
      </c>
      <c r="I630" s="1" t="s">
        <v>7</v>
      </c>
      <c r="J630" s="1" t="s">
        <v>3697</v>
      </c>
      <c r="K630" s="1" t="s">
        <v>3698</v>
      </c>
      <c r="L630" s="1" t="s">
        <v>3697</v>
      </c>
      <c r="P630" s="1" t="s">
        <v>4170</v>
      </c>
      <c r="Q630" s="1">
        <v>2007</v>
      </c>
      <c r="R630" s="1" t="s">
        <v>4171</v>
      </c>
      <c r="S630" s="1" t="s">
        <v>27</v>
      </c>
      <c r="T630" s="38">
        <v>1</v>
      </c>
      <c r="Z630" s="1">
        <v>80.47</v>
      </c>
      <c r="AE630" s="1" t="s">
        <v>4172</v>
      </c>
      <c r="AG630" s="1">
        <v>468</v>
      </c>
      <c r="AJ630" s="1">
        <v>1.23</v>
      </c>
      <c r="AK630" s="1">
        <v>0.31961951999999999</v>
      </c>
      <c r="AM630" s="1">
        <v>0.39997584000000003</v>
      </c>
      <c r="AN630" s="1">
        <v>4.9658399999999998E-2</v>
      </c>
      <c r="AV630" s="1">
        <v>0.95</v>
      </c>
      <c r="AY630" s="1">
        <v>25.9</v>
      </c>
      <c r="BD630" s="1">
        <v>0.63100000000000001</v>
      </c>
      <c r="BF630" s="1">
        <v>3.07</v>
      </c>
      <c r="BJ630" s="1">
        <v>43.1</v>
      </c>
      <c r="BK630" s="1">
        <v>0.1</v>
      </c>
      <c r="BO630" s="1">
        <v>60</v>
      </c>
      <c r="BW630" s="1">
        <v>1.73</v>
      </c>
      <c r="DU630" s="1" t="s">
        <v>4173</v>
      </c>
      <c r="DV630" s="1" t="s">
        <v>4174</v>
      </c>
      <c r="DY630" s="1" t="s">
        <v>4175</v>
      </c>
      <c r="EB630" s="1" t="s">
        <v>4176</v>
      </c>
      <c r="EC630" s="1" t="s">
        <v>4177</v>
      </c>
      <c r="ED630" s="1" t="s">
        <v>4178</v>
      </c>
      <c r="EE630" s="1" t="s">
        <v>4179</v>
      </c>
      <c r="EF630" s="1" t="s">
        <v>4180</v>
      </c>
      <c r="EG630" s="1" t="s">
        <v>4181</v>
      </c>
      <c r="EH630" s="1" t="s">
        <v>4182</v>
      </c>
      <c r="EI630" s="1" t="s">
        <v>4183</v>
      </c>
      <c r="EK630" s="1" t="s">
        <v>4184</v>
      </c>
      <c r="EL630" s="1" t="s">
        <v>4185</v>
      </c>
      <c r="EM630" s="1" t="s">
        <v>4186</v>
      </c>
      <c r="EO630" s="1" t="s">
        <v>4187</v>
      </c>
      <c r="EQ630" s="1" t="s">
        <v>4188</v>
      </c>
      <c r="ER630" s="1" t="s">
        <v>4189</v>
      </c>
      <c r="ET630" s="1" t="s">
        <v>4190</v>
      </c>
      <c r="EU630" s="1" t="s">
        <v>4191</v>
      </c>
      <c r="FA630" s="1">
        <v>3.0258E-2</v>
      </c>
      <c r="FB630" s="1">
        <v>0.91635</v>
      </c>
      <c r="FD630" s="1">
        <v>8.2409999999999997E-2</v>
      </c>
      <c r="FE630" s="1">
        <v>0.20049</v>
      </c>
    </row>
    <row r="631" spans="1:163" x14ac:dyDescent="0.2">
      <c r="A631" s="1" t="s">
        <v>4192</v>
      </c>
      <c r="B631" s="1" t="s">
        <v>1911</v>
      </c>
      <c r="C631" s="1" t="s">
        <v>4193</v>
      </c>
      <c r="D631" s="1" t="s">
        <v>2</v>
      </c>
      <c r="E631" s="1">
        <v>45</v>
      </c>
      <c r="F631" s="1" t="s">
        <v>4194</v>
      </c>
      <c r="H631" s="1" t="s">
        <v>4195</v>
      </c>
      <c r="I631" s="1" t="s">
        <v>7</v>
      </c>
      <c r="J631" s="1" t="s">
        <v>4196</v>
      </c>
      <c r="K631" s="1" t="s">
        <v>4197</v>
      </c>
      <c r="L631" s="1" t="s">
        <v>4196</v>
      </c>
      <c r="P631" s="1" t="s">
        <v>4170</v>
      </c>
      <c r="Q631" s="1">
        <v>2007</v>
      </c>
      <c r="R631" s="1" t="s">
        <v>4171</v>
      </c>
      <c r="S631" s="1" t="s">
        <v>27</v>
      </c>
      <c r="T631" s="38">
        <v>1</v>
      </c>
      <c r="Z631" s="1">
        <v>77.209999999999994</v>
      </c>
      <c r="AE631" s="1" t="s">
        <v>4198</v>
      </c>
      <c r="AG631" s="1">
        <v>144</v>
      </c>
      <c r="AJ631" s="1">
        <v>1.3</v>
      </c>
      <c r="AK631" s="1">
        <v>0.34718840000000001</v>
      </c>
      <c r="AM631" s="1">
        <v>0.4092556</v>
      </c>
      <c r="AN631" s="1">
        <v>5.7606119999999997E-2</v>
      </c>
      <c r="AV631" s="1">
        <v>1.47</v>
      </c>
      <c r="AY631" s="1">
        <v>24.7</v>
      </c>
      <c r="BD631" s="1">
        <v>0.40699999999999997</v>
      </c>
      <c r="BF631" s="1">
        <v>1.22</v>
      </c>
      <c r="BJ631" s="1">
        <v>36.1</v>
      </c>
      <c r="BK631" s="1">
        <v>4.8000000000000001E-2</v>
      </c>
      <c r="BO631" s="1">
        <v>36</v>
      </c>
      <c r="BW631" s="1">
        <v>1.47</v>
      </c>
      <c r="DU631" s="1" t="s">
        <v>4199</v>
      </c>
      <c r="DV631" s="1" t="s">
        <v>4200</v>
      </c>
      <c r="DY631" s="1" t="s">
        <v>4201</v>
      </c>
      <c r="EB631" s="1" t="s">
        <v>4202</v>
      </c>
      <c r="EC631" s="1" t="s">
        <v>4203</v>
      </c>
      <c r="EE631" s="1" t="s">
        <v>4204</v>
      </c>
      <c r="EF631" s="1" t="s">
        <v>4205</v>
      </c>
      <c r="EG631" s="1" t="s">
        <v>4206</v>
      </c>
      <c r="EH631" s="1" t="s">
        <v>4207</v>
      </c>
      <c r="EI631" s="1" t="s">
        <v>4208</v>
      </c>
      <c r="EK631" s="1" t="s">
        <v>4209</v>
      </c>
      <c r="EL631" s="1" t="s">
        <v>4210</v>
      </c>
      <c r="EM631" s="1" t="s">
        <v>4211</v>
      </c>
      <c r="EO631" s="1" t="s">
        <v>4212</v>
      </c>
      <c r="EQ631" s="1" t="s">
        <v>4209</v>
      </c>
      <c r="ER631" s="1" t="s">
        <v>4213</v>
      </c>
      <c r="ET631" s="1" t="s">
        <v>4214</v>
      </c>
      <c r="EU631" s="1" t="s">
        <v>4215</v>
      </c>
      <c r="FA631" s="1">
        <v>0.11401</v>
      </c>
      <c r="FB631" s="1">
        <v>0.93989999999999996</v>
      </c>
      <c r="FD631" s="1">
        <v>3.5229999999999997E-2</v>
      </c>
      <c r="FE631" s="1">
        <v>0.21060000000000001</v>
      </c>
    </row>
    <row r="632" spans="1:163" x14ac:dyDescent="0.2">
      <c r="A632" s="1" t="s">
        <v>4216</v>
      </c>
      <c r="B632" s="1" t="s">
        <v>55</v>
      </c>
      <c r="C632" s="1" t="s">
        <v>4217</v>
      </c>
      <c r="E632" s="1">
        <v>37</v>
      </c>
      <c r="F632" s="1" t="s">
        <v>4218</v>
      </c>
      <c r="G632" s="1" t="s">
        <v>4219</v>
      </c>
      <c r="H632" s="1" t="s">
        <v>4220</v>
      </c>
      <c r="I632" s="1" t="s">
        <v>7</v>
      </c>
      <c r="J632" s="1" t="s">
        <v>4221</v>
      </c>
      <c r="K632" s="1" t="s">
        <v>4222</v>
      </c>
      <c r="L632" s="1" t="s">
        <v>4221</v>
      </c>
      <c r="M632" s="1" t="s">
        <v>757</v>
      </c>
      <c r="N632" s="1" t="s">
        <v>4223</v>
      </c>
      <c r="P632" s="1" t="s">
        <v>4224</v>
      </c>
      <c r="Q632" s="1">
        <v>2004</v>
      </c>
      <c r="R632" s="1" t="s">
        <v>4225</v>
      </c>
      <c r="S632" s="1" t="s">
        <v>27</v>
      </c>
      <c r="T632" s="38">
        <v>1</v>
      </c>
      <c r="X632" s="1">
        <v>128.19999999999999</v>
      </c>
      <c r="Z632" s="1">
        <v>76.63</v>
      </c>
      <c r="AA632" s="1">
        <v>6.25</v>
      </c>
      <c r="AC632" s="1">
        <v>17.21</v>
      </c>
      <c r="AH632" s="1">
        <v>2.11</v>
      </c>
      <c r="AK632" s="1">
        <v>0.71528183400000001</v>
      </c>
      <c r="AL632" s="1">
        <v>0.726418177</v>
      </c>
      <c r="AM632" s="1">
        <v>0.35052095999999999</v>
      </c>
      <c r="EW632" s="1">
        <v>45.8</v>
      </c>
      <c r="FG632" s="1">
        <v>1.4</v>
      </c>
    </row>
    <row r="633" spans="1:163" x14ac:dyDescent="0.2">
      <c r="A633" s="1" t="s">
        <v>4226</v>
      </c>
      <c r="B633" s="1" t="s">
        <v>55</v>
      </c>
      <c r="C633" s="1" t="s">
        <v>4217</v>
      </c>
      <c r="E633" s="1">
        <v>37</v>
      </c>
      <c r="F633" s="1" t="s">
        <v>4218</v>
      </c>
      <c r="G633" s="1" t="s">
        <v>4219</v>
      </c>
      <c r="H633" s="1" t="s">
        <v>4227</v>
      </c>
      <c r="I633" s="1" t="s">
        <v>11</v>
      </c>
      <c r="J633" s="1" t="s">
        <v>4221</v>
      </c>
      <c r="K633" s="1" t="s">
        <v>4222</v>
      </c>
      <c r="L633" s="1" t="s">
        <v>4221</v>
      </c>
      <c r="M633" s="1" t="s">
        <v>757</v>
      </c>
      <c r="N633" s="1" t="s">
        <v>4223</v>
      </c>
      <c r="P633" s="1" t="s">
        <v>4224</v>
      </c>
      <c r="Q633" s="1">
        <v>2004</v>
      </c>
      <c r="R633" s="1" t="s">
        <v>4225</v>
      </c>
      <c r="S633" s="1" t="s">
        <v>27</v>
      </c>
      <c r="T633" s="38">
        <v>1</v>
      </c>
      <c r="X633" s="1">
        <v>295.89999999999998</v>
      </c>
      <c r="Z633" s="1">
        <v>57.12</v>
      </c>
      <c r="AA633" s="1">
        <v>6.25</v>
      </c>
      <c r="AC633" s="1">
        <v>20.88</v>
      </c>
      <c r="AH633" s="1">
        <v>14.23</v>
      </c>
      <c r="AK633" s="1">
        <v>2.8959565949999999</v>
      </c>
      <c r="AL633" s="1">
        <v>7.9077345389999998</v>
      </c>
      <c r="AM633" s="1">
        <v>2.1289549390000002</v>
      </c>
      <c r="EW633" s="1">
        <v>70.8</v>
      </c>
      <c r="FG633" s="1">
        <v>3.64</v>
      </c>
    </row>
    <row r="634" spans="1:163" x14ac:dyDescent="0.2">
      <c r="A634" s="1" t="s">
        <v>4228</v>
      </c>
      <c r="B634" s="1" t="s">
        <v>55</v>
      </c>
      <c r="C634" s="1" t="s">
        <v>4217</v>
      </c>
      <c r="E634" s="1">
        <v>35</v>
      </c>
      <c r="F634" s="1" t="s">
        <v>1740</v>
      </c>
      <c r="G634" s="1" t="s">
        <v>4229</v>
      </c>
      <c r="H634" s="1" t="s">
        <v>4230</v>
      </c>
      <c r="I634" s="1" t="s">
        <v>7</v>
      </c>
      <c r="J634" s="1" t="s">
        <v>1742</v>
      </c>
      <c r="K634" s="1" t="s">
        <v>1743</v>
      </c>
      <c r="L634" s="1" t="s">
        <v>1742</v>
      </c>
      <c r="M634" s="1" t="s">
        <v>748</v>
      </c>
      <c r="N634" s="1" t="s">
        <v>4231</v>
      </c>
      <c r="P634" s="1" t="s">
        <v>4224</v>
      </c>
      <c r="Q634" s="1">
        <v>2004</v>
      </c>
      <c r="R634" s="1" t="s">
        <v>4225</v>
      </c>
      <c r="S634" s="1" t="s">
        <v>27</v>
      </c>
      <c r="T634" s="38">
        <v>1</v>
      </c>
      <c r="X634" s="1">
        <v>147.30000000000001</v>
      </c>
      <c r="Z634" s="1">
        <v>74.53</v>
      </c>
      <c r="AA634" s="1">
        <v>6.25</v>
      </c>
      <c r="AC634" s="1">
        <v>20.47</v>
      </c>
      <c r="AH634" s="1">
        <v>2.0699999999999998</v>
      </c>
      <c r="AK634" s="1">
        <v>0.72301373300000005</v>
      </c>
      <c r="AL634" s="1">
        <v>0.50823770199999996</v>
      </c>
      <c r="AM634" s="1">
        <v>0.52522664699999999</v>
      </c>
      <c r="EW634" s="1">
        <v>34.5</v>
      </c>
      <c r="FG634" s="1">
        <v>1.2</v>
      </c>
    </row>
    <row r="635" spans="1:163" x14ac:dyDescent="0.2">
      <c r="A635" s="1" t="s">
        <v>4232</v>
      </c>
      <c r="B635" s="1" t="s">
        <v>55</v>
      </c>
      <c r="C635" s="1" t="s">
        <v>4217</v>
      </c>
      <c r="E635" s="1">
        <v>35</v>
      </c>
      <c r="F635" s="1" t="s">
        <v>1740</v>
      </c>
      <c r="G635" s="1" t="s">
        <v>4229</v>
      </c>
      <c r="H635" s="1" t="s">
        <v>4233</v>
      </c>
      <c r="I635" s="1" t="s">
        <v>11</v>
      </c>
      <c r="J635" s="1" t="s">
        <v>1742</v>
      </c>
      <c r="K635" s="1" t="s">
        <v>1743</v>
      </c>
      <c r="L635" s="1" t="s">
        <v>1742</v>
      </c>
      <c r="M635" s="1" t="s">
        <v>748</v>
      </c>
      <c r="N635" s="1" t="s">
        <v>4231</v>
      </c>
      <c r="P635" s="1" t="s">
        <v>4224</v>
      </c>
      <c r="Q635" s="1">
        <v>2004</v>
      </c>
      <c r="R635" s="1" t="s">
        <v>4225</v>
      </c>
      <c r="S635" s="1" t="s">
        <v>27</v>
      </c>
      <c r="T635" s="38">
        <v>1</v>
      </c>
      <c r="X635" s="1">
        <v>345.8</v>
      </c>
      <c r="Z635" s="1">
        <v>49.38</v>
      </c>
      <c r="AA635" s="1">
        <v>6.25</v>
      </c>
      <c r="AC635" s="1">
        <v>26.83</v>
      </c>
      <c r="AH635" s="1">
        <v>18.28</v>
      </c>
      <c r="AK635" s="1">
        <v>3.3418586239999999</v>
      </c>
      <c r="AL635" s="1">
        <v>10.842437064</v>
      </c>
      <c r="AM635" s="1">
        <v>2.4387450080000002</v>
      </c>
      <c r="EW635" s="1">
        <v>50.1</v>
      </c>
      <c r="FG635" s="1">
        <v>94.1</v>
      </c>
    </row>
    <row r="636" spans="1:163" x14ac:dyDescent="0.2">
      <c r="A636" s="1" t="s">
        <v>4234</v>
      </c>
      <c r="B636" s="1" t="s">
        <v>55</v>
      </c>
      <c r="C636" s="1" t="s">
        <v>4217</v>
      </c>
      <c r="E636" s="1">
        <v>33</v>
      </c>
      <c r="F636" s="1" t="s">
        <v>4235</v>
      </c>
      <c r="G636" s="1" t="s">
        <v>4236</v>
      </c>
      <c r="H636" s="1" t="s">
        <v>4237</v>
      </c>
      <c r="I636" s="1" t="s">
        <v>7</v>
      </c>
      <c r="J636" s="1" t="s">
        <v>4238</v>
      </c>
      <c r="K636" s="1" t="s">
        <v>4239</v>
      </c>
      <c r="L636" s="1" t="s">
        <v>4238</v>
      </c>
      <c r="M636" s="1" t="s">
        <v>757</v>
      </c>
      <c r="N636" s="1" t="s">
        <v>4240</v>
      </c>
      <c r="P636" s="1" t="s">
        <v>4224</v>
      </c>
      <c r="Q636" s="1">
        <v>2004</v>
      </c>
      <c r="R636" s="1" t="s">
        <v>4225</v>
      </c>
      <c r="S636" s="1" t="s">
        <v>27</v>
      </c>
      <c r="T636" s="38">
        <v>1</v>
      </c>
      <c r="X636" s="1">
        <v>120.7</v>
      </c>
      <c r="Z636" s="1">
        <v>78.790000000000006</v>
      </c>
      <c r="AA636" s="1">
        <v>6.25</v>
      </c>
      <c r="AC636" s="1">
        <v>18.22</v>
      </c>
      <c r="AH636" s="1">
        <v>1.31</v>
      </c>
      <c r="AK636" s="1">
        <v>0.48867534400000001</v>
      </c>
      <c r="AL636" s="1">
        <v>0.31848077299999999</v>
      </c>
      <c r="AM636" s="1">
        <v>0.24498521000000001</v>
      </c>
      <c r="EW636" s="1">
        <v>25.3</v>
      </c>
      <c r="FG636" s="1">
        <v>1</v>
      </c>
    </row>
    <row r="637" spans="1:163" x14ac:dyDescent="0.2">
      <c r="A637" s="1" t="s">
        <v>4241</v>
      </c>
      <c r="B637" s="1" t="s">
        <v>55</v>
      </c>
      <c r="C637" s="1" t="s">
        <v>4217</v>
      </c>
      <c r="E637" s="1">
        <v>33</v>
      </c>
      <c r="F637" s="1" t="s">
        <v>4235</v>
      </c>
      <c r="G637" s="1" t="s">
        <v>4236</v>
      </c>
      <c r="H637" s="1" t="s">
        <v>4242</v>
      </c>
      <c r="I637" s="1" t="s">
        <v>11</v>
      </c>
      <c r="J637" s="1" t="s">
        <v>4238</v>
      </c>
      <c r="K637" s="1" t="s">
        <v>4239</v>
      </c>
      <c r="L637" s="1" t="s">
        <v>4238</v>
      </c>
      <c r="M637" s="1" t="s">
        <v>757</v>
      </c>
      <c r="N637" s="1" t="s">
        <v>4240</v>
      </c>
      <c r="P637" s="1" t="s">
        <v>4224</v>
      </c>
      <c r="Q637" s="1">
        <v>2004</v>
      </c>
      <c r="R637" s="1" t="s">
        <v>4225</v>
      </c>
      <c r="S637" s="1" t="s">
        <v>27</v>
      </c>
      <c r="T637" s="38">
        <v>1</v>
      </c>
      <c r="X637" s="1">
        <v>226.6</v>
      </c>
      <c r="Z637" s="1">
        <v>64.83</v>
      </c>
      <c r="AA637" s="1">
        <v>6.25</v>
      </c>
      <c r="AC637" s="1">
        <v>24.73</v>
      </c>
      <c r="AH637" s="1">
        <v>8.59</v>
      </c>
      <c r="AK637" s="1">
        <v>1.6915789029999999</v>
      </c>
      <c r="AL637" s="1">
        <v>4.6000870679999997</v>
      </c>
      <c r="AM637" s="1">
        <v>1.4821978010000001</v>
      </c>
      <c r="EW637" s="1">
        <v>32.9</v>
      </c>
      <c r="FG637" s="1">
        <v>27.3</v>
      </c>
    </row>
    <row r="638" spans="1:163" x14ac:dyDescent="0.2">
      <c r="A638" s="1" t="s">
        <v>4243</v>
      </c>
      <c r="B638" s="1" t="s">
        <v>55</v>
      </c>
      <c r="C638" s="1" t="s">
        <v>4217</v>
      </c>
      <c r="E638" s="1">
        <v>33</v>
      </c>
      <c r="F638" s="1" t="s">
        <v>4244</v>
      </c>
      <c r="G638" s="1" t="s">
        <v>4245</v>
      </c>
      <c r="H638" s="1" t="s">
        <v>4246</v>
      </c>
      <c r="I638" s="1" t="s">
        <v>7</v>
      </c>
      <c r="J638" s="1" t="s">
        <v>4247</v>
      </c>
      <c r="K638" s="1" t="s">
        <v>4248</v>
      </c>
      <c r="L638" s="1" t="s">
        <v>4247</v>
      </c>
      <c r="M638" s="1" t="s">
        <v>748</v>
      </c>
      <c r="N638" s="1" t="s">
        <v>4249</v>
      </c>
      <c r="P638" s="1" t="s">
        <v>4224</v>
      </c>
      <c r="Q638" s="1">
        <v>2004</v>
      </c>
      <c r="R638" s="1" t="s">
        <v>4225</v>
      </c>
      <c r="S638" s="1" t="s">
        <v>27</v>
      </c>
      <c r="T638" s="38">
        <v>1</v>
      </c>
      <c r="X638" s="1">
        <v>123.1</v>
      </c>
      <c r="Z638" s="1">
        <v>79.709999999999994</v>
      </c>
      <c r="AA638" s="1">
        <v>6.25</v>
      </c>
      <c r="AC638" s="1">
        <v>14.79</v>
      </c>
      <c r="AH638" s="1">
        <v>3.52</v>
      </c>
      <c r="AK638" s="1">
        <v>1.2492393319999999</v>
      </c>
      <c r="AL638" s="1">
        <v>1.3312236079999999</v>
      </c>
      <c r="AM638" s="1">
        <v>0.49253388799999998</v>
      </c>
      <c r="EW638" s="1">
        <v>27.4</v>
      </c>
      <c r="FG638" s="1">
        <v>1</v>
      </c>
    </row>
    <row r="639" spans="1:163" x14ac:dyDescent="0.2">
      <c r="A639" s="1" t="s">
        <v>4250</v>
      </c>
      <c r="B639" s="1" t="s">
        <v>55</v>
      </c>
      <c r="C639" s="1" t="s">
        <v>4217</v>
      </c>
      <c r="E639" s="1">
        <v>33</v>
      </c>
      <c r="F639" s="1" t="s">
        <v>4244</v>
      </c>
      <c r="G639" s="1" t="s">
        <v>4245</v>
      </c>
      <c r="H639" s="1" t="s">
        <v>4251</v>
      </c>
      <c r="I639" s="1" t="s">
        <v>11</v>
      </c>
      <c r="J639" s="1" t="s">
        <v>4247</v>
      </c>
      <c r="K639" s="1" t="s">
        <v>4248</v>
      </c>
      <c r="L639" s="1" t="s">
        <v>4247</v>
      </c>
      <c r="M639" s="1" t="s">
        <v>748</v>
      </c>
      <c r="N639" s="1" t="s">
        <v>4249</v>
      </c>
      <c r="P639" s="1" t="s">
        <v>4224</v>
      </c>
      <c r="Q639" s="1">
        <v>2004</v>
      </c>
      <c r="R639" s="1" t="s">
        <v>4225</v>
      </c>
      <c r="S639" s="1" t="s">
        <v>27</v>
      </c>
      <c r="T639" s="38">
        <v>1</v>
      </c>
      <c r="X639" s="1">
        <v>269.3</v>
      </c>
      <c r="Z639" s="1">
        <v>59.86</v>
      </c>
      <c r="AA639" s="1">
        <v>6.25</v>
      </c>
      <c r="AC639" s="1">
        <v>24.42</v>
      </c>
      <c r="AH639" s="1">
        <v>12.05</v>
      </c>
      <c r="AK639" s="1">
        <v>2.716084355</v>
      </c>
      <c r="AL639" s="1">
        <v>6.5010650050000001</v>
      </c>
      <c r="AM639" s="1">
        <v>1.65384785</v>
      </c>
      <c r="EW639" s="1">
        <v>42.9</v>
      </c>
      <c r="FG639" s="1">
        <v>38.9</v>
      </c>
    </row>
    <row r="640" spans="1:163" x14ac:dyDescent="0.2">
      <c r="A640" s="1" t="s">
        <v>4252</v>
      </c>
      <c r="B640" s="1" t="s">
        <v>55</v>
      </c>
      <c r="C640" s="1" t="s">
        <v>4217</v>
      </c>
      <c r="E640" s="1">
        <v>33</v>
      </c>
      <c r="F640" s="1" t="s">
        <v>4253</v>
      </c>
      <c r="G640" s="1" t="s">
        <v>4254</v>
      </c>
      <c r="H640" s="1" t="s">
        <v>4255</v>
      </c>
      <c r="I640" s="1" t="s">
        <v>7</v>
      </c>
      <c r="J640" s="1" t="s">
        <v>4256</v>
      </c>
      <c r="K640" s="1" t="s">
        <v>4257</v>
      </c>
      <c r="L640" s="1" t="s">
        <v>4256</v>
      </c>
      <c r="M640" s="1" t="s">
        <v>757</v>
      </c>
      <c r="N640" s="1" t="s">
        <v>4258</v>
      </c>
      <c r="P640" s="1" t="s">
        <v>4224</v>
      </c>
      <c r="Q640" s="1">
        <v>2004</v>
      </c>
      <c r="R640" s="1" t="s">
        <v>4225</v>
      </c>
      <c r="S640" s="1" t="s">
        <v>27</v>
      </c>
      <c r="T640" s="38">
        <v>1</v>
      </c>
      <c r="X640" s="1">
        <v>166.7</v>
      </c>
      <c r="Z640" s="1">
        <v>71.180000000000007</v>
      </c>
      <c r="AA640" s="1">
        <v>6.25</v>
      </c>
      <c r="AC640" s="1">
        <v>19.03</v>
      </c>
      <c r="AH640" s="1">
        <v>3.87</v>
      </c>
      <c r="AK640" s="1">
        <v>1.62635599</v>
      </c>
      <c r="AL640" s="1">
        <v>1.0576515500000001</v>
      </c>
      <c r="AM640" s="1">
        <v>0.70706606900000002</v>
      </c>
      <c r="EW640" s="1">
        <v>41.3</v>
      </c>
      <c r="FG640" s="1">
        <v>1.3</v>
      </c>
    </row>
    <row r="641" spans="1:163" x14ac:dyDescent="0.2">
      <c r="A641" s="1" t="s">
        <v>4259</v>
      </c>
      <c r="B641" s="1" t="s">
        <v>55</v>
      </c>
      <c r="C641" s="1" t="s">
        <v>4217</v>
      </c>
      <c r="E641" s="1">
        <v>37</v>
      </c>
      <c r="F641" s="1" t="s">
        <v>1249</v>
      </c>
      <c r="G641" s="1" t="s">
        <v>4260</v>
      </c>
      <c r="H641" s="1" t="s">
        <v>4261</v>
      </c>
      <c r="I641" s="1" t="s">
        <v>7</v>
      </c>
      <c r="J641" s="1" t="s">
        <v>1251</v>
      </c>
      <c r="K641" s="1" t="s">
        <v>1252</v>
      </c>
      <c r="L641" s="1" t="s">
        <v>1251</v>
      </c>
      <c r="M641" s="1" t="s">
        <v>748</v>
      </c>
      <c r="N641" s="1" t="s">
        <v>4262</v>
      </c>
      <c r="P641" s="1" t="s">
        <v>4224</v>
      </c>
      <c r="Q641" s="1">
        <v>2004</v>
      </c>
      <c r="R641" s="1" t="s">
        <v>4225</v>
      </c>
      <c r="S641" s="1" t="s">
        <v>27</v>
      </c>
      <c r="T641" s="38">
        <v>1</v>
      </c>
      <c r="X641" s="1">
        <v>138.9</v>
      </c>
      <c r="Z641" s="1">
        <v>77.900000000000006</v>
      </c>
      <c r="AA641" s="1">
        <v>6.25</v>
      </c>
      <c r="AC641" s="1">
        <v>16.04</v>
      </c>
      <c r="AH641" s="1">
        <v>3.81</v>
      </c>
      <c r="AK641" s="1">
        <v>1.1872820399999999</v>
      </c>
      <c r="AL641" s="1">
        <v>1.3196571640000001</v>
      </c>
      <c r="AM641" s="1">
        <v>0.85532071099999996</v>
      </c>
      <c r="EW641" s="1">
        <v>34.200000000000003</v>
      </c>
      <c r="FG641" s="1">
        <v>1.1000000000000001</v>
      </c>
    </row>
    <row r="642" spans="1:163" x14ac:dyDescent="0.2">
      <c r="A642" s="1" t="s">
        <v>4263</v>
      </c>
      <c r="B642" s="1" t="s">
        <v>57</v>
      </c>
      <c r="C642" s="1" t="s">
        <v>4264</v>
      </c>
      <c r="D642" s="1" t="s">
        <v>2</v>
      </c>
      <c r="E642" s="1">
        <v>53</v>
      </c>
      <c r="F642" s="1" t="s">
        <v>3878</v>
      </c>
      <c r="H642" s="1" t="s">
        <v>4265</v>
      </c>
      <c r="I642" s="1" t="s">
        <v>7</v>
      </c>
      <c r="J642" s="1" t="s">
        <v>3880</v>
      </c>
      <c r="K642" s="1" t="s">
        <v>3881</v>
      </c>
      <c r="L642" s="1" t="s">
        <v>3880</v>
      </c>
      <c r="M642" s="1" t="s">
        <v>2889</v>
      </c>
      <c r="O642" s="1">
        <v>1</v>
      </c>
      <c r="P642" s="1" t="s">
        <v>4266</v>
      </c>
      <c r="Q642" s="1">
        <v>1999</v>
      </c>
      <c r="R642" s="1" t="s">
        <v>4267</v>
      </c>
      <c r="S642" s="1" t="s">
        <v>27</v>
      </c>
      <c r="T642" s="38">
        <v>1</v>
      </c>
      <c r="Z642" s="1">
        <v>74.3</v>
      </c>
      <c r="AA642" s="1">
        <v>6.25</v>
      </c>
      <c r="AC642" s="1">
        <v>11.076700000000001</v>
      </c>
      <c r="AH642" s="1">
        <v>2.1074000000000002</v>
      </c>
      <c r="AS642" s="1">
        <v>8.1469000000000005</v>
      </c>
      <c r="AV642" s="1">
        <v>1.7476</v>
      </c>
    </row>
    <row r="643" spans="1:163" x14ac:dyDescent="0.2">
      <c r="A643" s="1" t="s">
        <v>4268</v>
      </c>
      <c r="B643" s="1" t="s">
        <v>57</v>
      </c>
      <c r="C643" s="1" t="s">
        <v>4264</v>
      </c>
      <c r="D643" s="1" t="s">
        <v>2</v>
      </c>
      <c r="E643" s="1">
        <v>53</v>
      </c>
      <c r="F643" s="1" t="s">
        <v>3878</v>
      </c>
      <c r="H643" s="1" t="s">
        <v>4265</v>
      </c>
      <c r="I643" s="1" t="s">
        <v>7</v>
      </c>
      <c r="J643" s="1" t="s">
        <v>3880</v>
      </c>
      <c r="K643" s="1" t="s">
        <v>3881</v>
      </c>
      <c r="L643" s="1" t="s">
        <v>3880</v>
      </c>
      <c r="M643" s="1" t="s">
        <v>4269</v>
      </c>
      <c r="O643" s="1">
        <v>1</v>
      </c>
      <c r="P643" s="1" t="s">
        <v>4266</v>
      </c>
      <c r="Q643" s="1">
        <v>1999</v>
      </c>
      <c r="R643" s="1" t="s">
        <v>4267</v>
      </c>
      <c r="S643" s="1" t="s">
        <v>27</v>
      </c>
      <c r="T643" s="38">
        <v>1</v>
      </c>
      <c r="Z643" s="1">
        <v>74.099999999999994</v>
      </c>
      <c r="AA643" s="1">
        <v>6.25</v>
      </c>
      <c r="AC643" s="1">
        <v>10.8262</v>
      </c>
      <c r="AH643" s="1">
        <v>2.0461</v>
      </c>
      <c r="AS643" s="1">
        <v>8.9872999999999994</v>
      </c>
      <c r="AV643" s="1">
        <v>1.7870999999999999</v>
      </c>
    </row>
    <row r="644" spans="1:163" x14ac:dyDescent="0.2">
      <c r="A644" s="1" t="s">
        <v>4270</v>
      </c>
      <c r="B644" s="1" t="s">
        <v>57</v>
      </c>
      <c r="C644" s="1" t="s">
        <v>4264</v>
      </c>
      <c r="D644" s="1" t="s">
        <v>2</v>
      </c>
      <c r="E644" s="1">
        <v>53</v>
      </c>
      <c r="F644" s="1" t="s">
        <v>3878</v>
      </c>
      <c r="H644" s="1" t="s">
        <v>4265</v>
      </c>
      <c r="I644" s="1" t="s">
        <v>7</v>
      </c>
      <c r="J644" s="1" t="s">
        <v>3880</v>
      </c>
      <c r="K644" s="1" t="s">
        <v>3881</v>
      </c>
      <c r="L644" s="1" t="s">
        <v>3880</v>
      </c>
      <c r="M644" s="1" t="s">
        <v>748</v>
      </c>
      <c r="O644" s="1">
        <v>1</v>
      </c>
      <c r="P644" s="1" t="s">
        <v>4266</v>
      </c>
      <c r="Q644" s="1">
        <v>1999</v>
      </c>
      <c r="R644" s="1" t="s">
        <v>4267</v>
      </c>
      <c r="S644" s="1" t="s">
        <v>27</v>
      </c>
      <c r="T644" s="38">
        <v>1</v>
      </c>
      <c r="Z644" s="1">
        <v>74</v>
      </c>
      <c r="AA644" s="1">
        <v>6.25</v>
      </c>
      <c r="AC644" s="1">
        <v>10.166</v>
      </c>
      <c r="AH644" s="1">
        <v>2.1320000000000001</v>
      </c>
      <c r="AS644" s="1">
        <v>10.114000000000001</v>
      </c>
      <c r="AV644" s="1">
        <v>1.04</v>
      </c>
    </row>
    <row r="645" spans="1:163" x14ac:dyDescent="0.2">
      <c r="A645" s="1" t="s">
        <v>4271</v>
      </c>
      <c r="B645" s="1" t="s">
        <v>57</v>
      </c>
      <c r="C645" s="1" t="s">
        <v>4264</v>
      </c>
      <c r="D645" s="1" t="s">
        <v>2</v>
      </c>
      <c r="E645" s="1">
        <v>53</v>
      </c>
      <c r="F645" s="1" t="s">
        <v>3878</v>
      </c>
      <c r="H645" s="1" t="s">
        <v>4265</v>
      </c>
      <c r="I645" s="1" t="s">
        <v>7</v>
      </c>
      <c r="J645" s="1" t="s">
        <v>3880</v>
      </c>
      <c r="K645" s="1" t="s">
        <v>3881</v>
      </c>
      <c r="L645" s="1" t="s">
        <v>3880</v>
      </c>
      <c r="M645" s="1" t="s">
        <v>757</v>
      </c>
      <c r="O645" s="1">
        <v>1</v>
      </c>
      <c r="P645" s="1" t="s">
        <v>4266</v>
      </c>
      <c r="Q645" s="1">
        <v>1999</v>
      </c>
      <c r="R645" s="1" t="s">
        <v>4267</v>
      </c>
      <c r="S645" s="1" t="s">
        <v>27</v>
      </c>
      <c r="T645" s="38">
        <v>1</v>
      </c>
      <c r="Z645" s="1">
        <v>74.5</v>
      </c>
      <c r="AA645" s="1">
        <v>6.25</v>
      </c>
      <c r="AC645" s="1">
        <v>10.531499999999999</v>
      </c>
      <c r="AH645" s="1">
        <v>2.0655000000000001</v>
      </c>
      <c r="AS645" s="1">
        <v>9.4350000000000005</v>
      </c>
      <c r="AV645" s="1">
        <v>1.1984999999999999</v>
      </c>
    </row>
    <row r="646" spans="1:163" x14ac:dyDescent="0.2">
      <c r="A646" s="1" t="s">
        <v>4272</v>
      </c>
      <c r="B646" s="1" t="s">
        <v>57</v>
      </c>
      <c r="C646" s="1" t="s">
        <v>4264</v>
      </c>
      <c r="D646" s="1" t="s">
        <v>2</v>
      </c>
      <c r="E646" s="1">
        <v>53</v>
      </c>
      <c r="F646" s="1" t="s">
        <v>3878</v>
      </c>
      <c r="H646" s="1" t="s">
        <v>4265</v>
      </c>
      <c r="I646" s="1" t="s">
        <v>7</v>
      </c>
      <c r="J646" s="1" t="s">
        <v>3880</v>
      </c>
      <c r="K646" s="1" t="s">
        <v>3881</v>
      </c>
      <c r="L646" s="1" t="s">
        <v>3880</v>
      </c>
      <c r="M646" s="1" t="s">
        <v>3225</v>
      </c>
      <c r="O646" s="1">
        <v>1</v>
      </c>
      <c r="P646" s="1" t="s">
        <v>4266</v>
      </c>
      <c r="Q646" s="1">
        <v>1999</v>
      </c>
      <c r="R646" s="1" t="s">
        <v>4267</v>
      </c>
      <c r="S646" s="1" t="s">
        <v>27</v>
      </c>
      <c r="T646" s="38">
        <v>1</v>
      </c>
      <c r="Z646" s="1">
        <v>74.099999999999994</v>
      </c>
      <c r="AA646" s="1">
        <v>6.25</v>
      </c>
      <c r="AC646" s="1">
        <v>12.794600000000001</v>
      </c>
      <c r="AH646" s="1">
        <v>2.0720000000000001</v>
      </c>
      <c r="AS646" s="1">
        <v>7.3815</v>
      </c>
      <c r="AV646" s="1">
        <v>1.7870999999999999</v>
      </c>
    </row>
    <row r="647" spans="1:163" x14ac:dyDescent="0.2">
      <c r="A647" s="1" t="s">
        <v>4273</v>
      </c>
      <c r="B647" s="1" t="s">
        <v>57</v>
      </c>
      <c r="C647" s="1" t="s">
        <v>4264</v>
      </c>
      <c r="D647" s="1" t="s">
        <v>2</v>
      </c>
      <c r="E647" s="1">
        <v>53</v>
      </c>
      <c r="F647" s="1" t="s">
        <v>3878</v>
      </c>
      <c r="H647" s="1" t="s">
        <v>4265</v>
      </c>
      <c r="I647" s="1" t="s">
        <v>7</v>
      </c>
      <c r="J647" s="1" t="s">
        <v>3880</v>
      </c>
      <c r="K647" s="1" t="s">
        <v>3881</v>
      </c>
      <c r="L647" s="1" t="s">
        <v>3880</v>
      </c>
      <c r="M647" s="1" t="s">
        <v>2973</v>
      </c>
      <c r="O647" s="1">
        <v>1</v>
      </c>
      <c r="P647" s="1" t="s">
        <v>4266</v>
      </c>
      <c r="Q647" s="1">
        <v>1999</v>
      </c>
      <c r="R647" s="1" t="s">
        <v>4267</v>
      </c>
      <c r="S647" s="1" t="s">
        <v>27</v>
      </c>
      <c r="T647" s="38">
        <v>1</v>
      </c>
      <c r="Z647" s="1">
        <v>73</v>
      </c>
      <c r="AA647" s="1">
        <v>6.25</v>
      </c>
      <c r="AC647" s="1">
        <v>14.337</v>
      </c>
      <c r="AH647" s="1">
        <v>2.2949999999999999</v>
      </c>
      <c r="AS647" s="1">
        <v>6.21</v>
      </c>
      <c r="AV647" s="1">
        <v>2.1869999999999998</v>
      </c>
    </row>
    <row r="648" spans="1:163" x14ac:dyDescent="0.2">
      <c r="A648" s="1" t="s">
        <v>4274</v>
      </c>
      <c r="B648" s="1" t="s">
        <v>57</v>
      </c>
      <c r="C648" s="1" t="s">
        <v>4264</v>
      </c>
      <c r="D648" s="1" t="s">
        <v>2</v>
      </c>
      <c r="E648" s="1">
        <v>53</v>
      </c>
      <c r="F648" s="1" t="s">
        <v>3878</v>
      </c>
      <c r="H648" s="1" t="s">
        <v>4265</v>
      </c>
      <c r="I648" s="1" t="s">
        <v>7</v>
      </c>
      <c r="J648" s="1" t="s">
        <v>3880</v>
      </c>
      <c r="K648" s="1" t="s">
        <v>3881</v>
      </c>
      <c r="L648" s="1" t="s">
        <v>3880</v>
      </c>
      <c r="M648" s="1" t="s">
        <v>1292</v>
      </c>
      <c r="O648" s="1">
        <v>1</v>
      </c>
      <c r="P648" s="1" t="s">
        <v>4266</v>
      </c>
      <c r="Q648" s="1">
        <v>1999</v>
      </c>
      <c r="R648" s="1" t="s">
        <v>4267</v>
      </c>
      <c r="S648" s="1" t="s">
        <v>27</v>
      </c>
      <c r="T648" s="38">
        <v>1</v>
      </c>
      <c r="Z648" s="1" t="s">
        <v>4275</v>
      </c>
      <c r="AA648" s="1">
        <v>6.25</v>
      </c>
      <c r="AC648" s="1" t="s">
        <v>4276</v>
      </c>
      <c r="AH648" s="1" t="s">
        <v>4277</v>
      </c>
      <c r="AS648" s="1">
        <v>5.8564999999999996</v>
      </c>
      <c r="AV648" s="1">
        <v>1.9079999999999999</v>
      </c>
    </row>
    <row r="649" spans="1:163" x14ac:dyDescent="0.2">
      <c r="A649" s="1" t="s">
        <v>4278</v>
      </c>
      <c r="B649" s="1" t="s">
        <v>57</v>
      </c>
      <c r="C649" s="1" t="s">
        <v>4264</v>
      </c>
      <c r="D649" s="1" t="s">
        <v>2</v>
      </c>
      <c r="E649" s="1">
        <v>53</v>
      </c>
      <c r="F649" s="1" t="s">
        <v>3878</v>
      </c>
      <c r="H649" s="1" t="s">
        <v>4265</v>
      </c>
      <c r="I649" s="1" t="s">
        <v>7</v>
      </c>
      <c r="J649" s="1" t="s">
        <v>3880</v>
      </c>
      <c r="K649" s="1" t="s">
        <v>3881</v>
      </c>
      <c r="L649" s="1" t="s">
        <v>3880</v>
      </c>
      <c r="M649" s="1" t="s">
        <v>480</v>
      </c>
      <c r="O649" s="1">
        <v>1</v>
      </c>
      <c r="P649" s="1" t="s">
        <v>4266</v>
      </c>
      <c r="Q649" s="1">
        <v>1999</v>
      </c>
      <c r="R649" s="1" t="s">
        <v>4267</v>
      </c>
      <c r="S649" s="1" t="s">
        <v>27</v>
      </c>
      <c r="T649" s="38">
        <v>1</v>
      </c>
      <c r="Z649" s="1">
        <v>75</v>
      </c>
      <c r="AA649" s="1">
        <v>6.25</v>
      </c>
      <c r="AC649" s="1">
        <v>12.3</v>
      </c>
      <c r="AH649" s="1">
        <v>1.9750000000000001</v>
      </c>
      <c r="AS649" s="1">
        <v>5.45</v>
      </c>
      <c r="AV649" s="1">
        <v>3.0249999999999999</v>
      </c>
    </row>
    <row r="650" spans="1:163" x14ac:dyDescent="0.2">
      <c r="A650" s="1" t="s">
        <v>4279</v>
      </c>
      <c r="B650" s="1" t="s">
        <v>57</v>
      </c>
      <c r="C650" s="1" t="s">
        <v>4264</v>
      </c>
      <c r="D650" s="1" t="s">
        <v>2</v>
      </c>
      <c r="E650" s="1">
        <v>53</v>
      </c>
      <c r="F650" s="1" t="s">
        <v>3878</v>
      </c>
      <c r="H650" s="1" t="s">
        <v>4265</v>
      </c>
      <c r="I650" s="1" t="s">
        <v>7</v>
      </c>
      <c r="J650" s="1" t="s">
        <v>3880</v>
      </c>
      <c r="K650" s="1" t="s">
        <v>3881</v>
      </c>
      <c r="L650" s="1" t="s">
        <v>3880</v>
      </c>
      <c r="M650" s="1" t="s">
        <v>1283</v>
      </c>
      <c r="O650" s="1">
        <v>1</v>
      </c>
      <c r="P650" s="1" t="s">
        <v>4266</v>
      </c>
      <c r="Q650" s="1">
        <v>1999</v>
      </c>
      <c r="R650" s="1" t="s">
        <v>4267</v>
      </c>
      <c r="S650" s="1" t="s">
        <v>27</v>
      </c>
      <c r="T650" s="38">
        <v>1</v>
      </c>
      <c r="Z650" s="1" t="s">
        <v>4280</v>
      </c>
      <c r="AA650" s="1">
        <v>6.25</v>
      </c>
      <c r="AC650" s="1" t="s">
        <v>4281</v>
      </c>
      <c r="AH650" s="1" t="s">
        <v>4282</v>
      </c>
      <c r="AS650" s="1">
        <v>5.5448000000000004</v>
      </c>
      <c r="AV650" s="1">
        <v>1.8096000000000001</v>
      </c>
    </row>
    <row r="651" spans="1:163" x14ac:dyDescent="0.2">
      <c r="A651" s="1" t="s">
        <v>4283</v>
      </c>
      <c r="B651" s="1" t="s">
        <v>57</v>
      </c>
      <c r="C651" s="1" t="s">
        <v>4264</v>
      </c>
      <c r="D651" s="1" t="s">
        <v>2</v>
      </c>
      <c r="E651" s="1">
        <v>53</v>
      </c>
      <c r="F651" s="1" t="s">
        <v>3878</v>
      </c>
      <c r="H651" s="1" t="s">
        <v>4265</v>
      </c>
      <c r="I651" s="1" t="s">
        <v>7</v>
      </c>
      <c r="J651" s="1" t="s">
        <v>3880</v>
      </c>
      <c r="K651" s="1" t="s">
        <v>3881</v>
      </c>
      <c r="L651" s="1" t="s">
        <v>3880</v>
      </c>
      <c r="M651" s="1" t="s">
        <v>3315</v>
      </c>
      <c r="O651" s="1">
        <v>1</v>
      </c>
      <c r="P651" s="1" t="s">
        <v>4266</v>
      </c>
      <c r="Q651" s="1">
        <v>1999</v>
      </c>
      <c r="R651" s="1" t="s">
        <v>4267</v>
      </c>
      <c r="S651" s="1" t="s">
        <v>27</v>
      </c>
      <c r="T651" s="38">
        <v>1</v>
      </c>
      <c r="Z651" s="1" t="s">
        <v>4284</v>
      </c>
      <c r="AA651" s="1">
        <v>6.25</v>
      </c>
      <c r="AC651" s="1" t="s">
        <v>4285</v>
      </c>
      <c r="AH651" s="1" t="s">
        <v>4286</v>
      </c>
      <c r="AS651" s="1">
        <v>5.1407999999999996</v>
      </c>
      <c r="AV651" s="1">
        <v>1.6184000000000001</v>
      </c>
    </row>
    <row r="652" spans="1:163" x14ac:dyDescent="0.2">
      <c r="A652" s="1" t="s">
        <v>4287</v>
      </c>
      <c r="B652" s="1" t="s">
        <v>57</v>
      </c>
      <c r="C652" s="1" t="s">
        <v>4264</v>
      </c>
      <c r="D652" s="1" t="s">
        <v>2</v>
      </c>
      <c r="E652" s="1">
        <v>53</v>
      </c>
      <c r="F652" s="1" t="s">
        <v>3878</v>
      </c>
      <c r="H652" s="1" t="s">
        <v>4265</v>
      </c>
      <c r="I652" s="1" t="s">
        <v>7</v>
      </c>
      <c r="J652" s="1" t="s">
        <v>3880</v>
      </c>
      <c r="K652" s="1" t="s">
        <v>3881</v>
      </c>
      <c r="L652" s="1" t="s">
        <v>3880</v>
      </c>
      <c r="M652" s="1" t="s">
        <v>2966</v>
      </c>
      <c r="O652" s="1">
        <v>1</v>
      </c>
      <c r="P652" s="1" t="s">
        <v>4266</v>
      </c>
      <c r="Q652" s="1">
        <v>1999</v>
      </c>
      <c r="R652" s="1" t="s">
        <v>4267</v>
      </c>
      <c r="S652" s="1" t="s">
        <v>27</v>
      </c>
      <c r="T652" s="38">
        <v>1</v>
      </c>
      <c r="Z652" s="1">
        <v>79.5</v>
      </c>
      <c r="AA652" s="1">
        <v>6.25</v>
      </c>
      <c r="AC652" s="1">
        <v>9.9425000000000008</v>
      </c>
      <c r="AH652" s="1">
        <v>1.6605000000000001</v>
      </c>
      <c r="AS652" s="1">
        <v>5.7605000000000004</v>
      </c>
      <c r="AV652" s="1">
        <v>1.2915000000000001</v>
      </c>
    </row>
    <row r="653" spans="1:163" x14ac:dyDescent="0.2">
      <c r="A653" s="1" t="s">
        <v>4288</v>
      </c>
      <c r="B653" s="1" t="s">
        <v>57</v>
      </c>
      <c r="C653" s="1" t="s">
        <v>4264</v>
      </c>
      <c r="D653" s="1" t="s">
        <v>2</v>
      </c>
      <c r="E653" s="1">
        <v>53</v>
      </c>
      <c r="F653" s="1" t="s">
        <v>3878</v>
      </c>
      <c r="H653" s="1" t="s">
        <v>4265</v>
      </c>
      <c r="I653" s="1" t="s">
        <v>7</v>
      </c>
      <c r="J653" s="1" t="s">
        <v>3880</v>
      </c>
      <c r="K653" s="1" t="s">
        <v>3881</v>
      </c>
      <c r="L653" s="1" t="s">
        <v>3880</v>
      </c>
      <c r="M653" s="1" t="s">
        <v>816</v>
      </c>
      <c r="O653" s="1">
        <v>1</v>
      </c>
      <c r="P653" s="1" t="s">
        <v>4266</v>
      </c>
      <c r="Q653" s="1">
        <v>1999</v>
      </c>
      <c r="R653" s="1" t="s">
        <v>4267</v>
      </c>
      <c r="S653" s="1" t="s">
        <v>27</v>
      </c>
      <c r="T653" s="38">
        <v>1</v>
      </c>
      <c r="Z653" s="1">
        <v>77.3</v>
      </c>
      <c r="AA653" s="1">
        <v>6.25</v>
      </c>
      <c r="AC653" s="1">
        <v>10.1015</v>
      </c>
      <c r="AH653" s="1">
        <v>1.8613999999999999</v>
      </c>
      <c r="AS653" s="1">
        <v>7.2186000000000003</v>
      </c>
      <c r="AV653" s="1">
        <v>2.3607999999999998</v>
      </c>
    </row>
    <row r="654" spans="1:163" x14ac:dyDescent="0.2">
      <c r="A654" s="1" t="s">
        <v>4289</v>
      </c>
      <c r="B654" s="1" t="s">
        <v>57</v>
      </c>
      <c r="C654" s="1" t="s">
        <v>4264</v>
      </c>
      <c r="D654" s="1" t="s">
        <v>2</v>
      </c>
      <c r="E654" s="1">
        <v>53</v>
      </c>
      <c r="F654" s="1" t="s">
        <v>3878</v>
      </c>
      <c r="H654" s="1" t="s">
        <v>4265</v>
      </c>
      <c r="I654" s="1" t="s">
        <v>7</v>
      </c>
      <c r="J654" s="1" t="s">
        <v>3880</v>
      </c>
      <c r="K654" s="1" t="s">
        <v>3881</v>
      </c>
      <c r="L654" s="1" t="s">
        <v>3880</v>
      </c>
      <c r="M654" s="1" t="s">
        <v>2889</v>
      </c>
      <c r="O654" s="1">
        <v>1</v>
      </c>
      <c r="P654" s="1" t="s">
        <v>4266</v>
      </c>
      <c r="Q654" s="1">
        <v>1999</v>
      </c>
      <c r="R654" s="1" t="s">
        <v>4267</v>
      </c>
      <c r="S654" s="1" t="s">
        <v>27</v>
      </c>
      <c r="T654" s="38">
        <v>1</v>
      </c>
      <c r="Z654" s="1">
        <v>76.099999999999994</v>
      </c>
      <c r="AA654" s="1">
        <v>6.25</v>
      </c>
      <c r="AC654" s="1">
        <v>10.898400000000001</v>
      </c>
      <c r="AH654" s="1">
        <v>2.0554000000000001</v>
      </c>
      <c r="AS654" s="1">
        <v>7.5523999999999996</v>
      </c>
      <c r="AV654" s="1">
        <v>2.4138999999999999</v>
      </c>
    </row>
    <row r="655" spans="1:163" x14ac:dyDescent="0.2">
      <c r="A655" s="1" t="s">
        <v>4290</v>
      </c>
      <c r="B655" s="1" t="s">
        <v>57</v>
      </c>
      <c r="C655" s="1" t="s">
        <v>4291</v>
      </c>
      <c r="E655" s="1">
        <v>53</v>
      </c>
      <c r="F655" s="1" t="s">
        <v>3878</v>
      </c>
      <c r="H655" s="1" t="s">
        <v>4292</v>
      </c>
      <c r="I655" s="1" t="s">
        <v>7</v>
      </c>
      <c r="J655" s="1" t="s">
        <v>4293</v>
      </c>
      <c r="K655" s="1" t="s">
        <v>3881</v>
      </c>
      <c r="L655" s="1" t="s">
        <v>3880</v>
      </c>
      <c r="M655" s="1" t="s">
        <v>4294</v>
      </c>
      <c r="P655" s="1" t="s">
        <v>4295</v>
      </c>
      <c r="Q655" s="1">
        <v>1990</v>
      </c>
      <c r="R655" s="1" t="s">
        <v>4296</v>
      </c>
      <c r="S655" s="1" t="s">
        <v>27</v>
      </c>
      <c r="T655" s="38">
        <v>1</v>
      </c>
      <c r="Z655" s="1">
        <v>87.1</v>
      </c>
      <c r="AJ655" s="1">
        <v>1.46</v>
      </c>
    </row>
    <row r="656" spans="1:163" x14ac:dyDescent="0.2">
      <c r="A656" s="1" t="s">
        <v>4297</v>
      </c>
      <c r="B656" s="1" t="s">
        <v>57</v>
      </c>
      <c r="C656" s="1" t="s">
        <v>4291</v>
      </c>
      <c r="E656" s="1">
        <v>53</v>
      </c>
      <c r="F656" s="1" t="s">
        <v>3878</v>
      </c>
      <c r="H656" s="1" t="s">
        <v>4292</v>
      </c>
      <c r="I656" s="1" t="s">
        <v>7</v>
      </c>
      <c r="J656" s="1" t="s">
        <v>4293</v>
      </c>
      <c r="K656" s="1" t="s">
        <v>3881</v>
      </c>
      <c r="L656" s="1" t="s">
        <v>3880</v>
      </c>
      <c r="M656" s="1" t="s">
        <v>4298</v>
      </c>
      <c r="P656" s="1" t="s">
        <v>4295</v>
      </c>
      <c r="Q656" s="1">
        <v>1990</v>
      </c>
      <c r="R656" s="1" t="s">
        <v>4296</v>
      </c>
      <c r="S656" s="1" t="s">
        <v>27</v>
      </c>
      <c r="T656" s="38">
        <v>1</v>
      </c>
      <c r="Z656" s="1">
        <v>84.7</v>
      </c>
      <c r="AJ656" s="1">
        <v>2.84</v>
      </c>
    </row>
    <row r="657" spans="1:36" x14ac:dyDescent="0.2">
      <c r="A657" s="1" t="s">
        <v>4299</v>
      </c>
      <c r="B657" s="1" t="s">
        <v>57</v>
      </c>
      <c r="C657" s="1" t="s">
        <v>4291</v>
      </c>
      <c r="E657" s="1">
        <v>53</v>
      </c>
      <c r="F657" s="1" t="s">
        <v>3878</v>
      </c>
      <c r="H657" s="1" t="s">
        <v>4292</v>
      </c>
      <c r="I657" s="1" t="s">
        <v>7</v>
      </c>
      <c r="J657" s="1" t="s">
        <v>4293</v>
      </c>
      <c r="K657" s="1" t="s">
        <v>3881</v>
      </c>
      <c r="L657" s="1" t="s">
        <v>3880</v>
      </c>
      <c r="M657" s="1" t="s">
        <v>4300</v>
      </c>
      <c r="P657" s="1" t="s">
        <v>4295</v>
      </c>
      <c r="Q657" s="1">
        <v>1990</v>
      </c>
      <c r="R657" s="1" t="s">
        <v>4296</v>
      </c>
      <c r="S657" s="1" t="s">
        <v>27</v>
      </c>
      <c r="T657" s="38">
        <v>1</v>
      </c>
      <c r="Z657" s="1">
        <v>84.2</v>
      </c>
      <c r="AJ657" s="1">
        <v>2.64</v>
      </c>
    </row>
    <row r="658" spans="1:36" x14ac:dyDescent="0.2">
      <c r="A658" s="1" t="s">
        <v>4301</v>
      </c>
      <c r="B658" s="1" t="s">
        <v>57</v>
      </c>
      <c r="C658" s="1" t="s">
        <v>4302</v>
      </c>
      <c r="E658" s="1">
        <v>54</v>
      </c>
      <c r="F658" s="1" t="s">
        <v>1917</v>
      </c>
      <c r="H658" s="1" t="s">
        <v>4303</v>
      </c>
      <c r="I658" s="1" t="s">
        <v>11</v>
      </c>
      <c r="J658" s="1" t="s">
        <v>1919</v>
      </c>
      <c r="K658" s="1" t="s">
        <v>1920</v>
      </c>
      <c r="L658" s="1" t="s">
        <v>1919</v>
      </c>
      <c r="M658" s="1" t="s">
        <v>4294</v>
      </c>
      <c r="P658" s="1" t="s">
        <v>4295</v>
      </c>
      <c r="Q658" s="1">
        <v>1990</v>
      </c>
      <c r="R658" s="1" t="s">
        <v>4296</v>
      </c>
      <c r="S658" s="1" t="s">
        <v>27</v>
      </c>
      <c r="T658" s="38">
        <v>1</v>
      </c>
      <c r="Z658" s="1">
        <v>74.5</v>
      </c>
      <c r="AJ658" s="1">
        <v>3.64</v>
      </c>
    </row>
    <row r="659" spans="1:36" x14ac:dyDescent="0.2">
      <c r="A659" s="1" t="s">
        <v>4304</v>
      </c>
      <c r="B659" s="1" t="s">
        <v>57</v>
      </c>
      <c r="C659" s="1" t="s">
        <v>4302</v>
      </c>
      <c r="E659" s="1">
        <v>54</v>
      </c>
      <c r="F659" s="1" t="s">
        <v>1917</v>
      </c>
      <c r="H659" s="1" t="s">
        <v>4303</v>
      </c>
      <c r="I659" s="1" t="s">
        <v>11</v>
      </c>
      <c r="J659" s="1" t="s">
        <v>1919</v>
      </c>
      <c r="K659" s="1" t="s">
        <v>1920</v>
      </c>
      <c r="L659" s="1" t="s">
        <v>1919</v>
      </c>
      <c r="M659" s="1" t="s">
        <v>4298</v>
      </c>
      <c r="P659" s="1" t="s">
        <v>4295</v>
      </c>
      <c r="Q659" s="1">
        <v>1990</v>
      </c>
      <c r="R659" s="1" t="s">
        <v>4296</v>
      </c>
      <c r="S659" s="1" t="s">
        <v>27</v>
      </c>
      <c r="T659" s="38">
        <v>1</v>
      </c>
      <c r="Z659" s="1">
        <v>74.2</v>
      </c>
      <c r="AJ659" s="1">
        <v>6.46</v>
      </c>
    </row>
    <row r="660" spans="1:36" x14ac:dyDescent="0.2">
      <c r="A660" s="1" t="s">
        <v>4305</v>
      </c>
      <c r="B660" s="1" t="s">
        <v>57</v>
      </c>
      <c r="C660" s="1" t="s">
        <v>4302</v>
      </c>
      <c r="E660" s="1">
        <v>54</v>
      </c>
      <c r="F660" s="1" t="s">
        <v>1917</v>
      </c>
      <c r="H660" s="1" t="s">
        <v>4303</v>
      </c>
      <c r="I660" s="1" t="s">
        <v>11</v>
      </c>
      <c r="J660" s="1" t="s">
        <v>1919</v>
      </c>
      <c r="K660" s="1" t="s">
        <v>1920</v>
      </c>
      <c r="L660" s="1" t="s">
        <v>1919</v>
      </c>
      <c r="M660" s="1" t="s">
        <v>4306</v>
      </c>
      <c r="P660" s="1" t="s">
        <v>4295</v>
      </c>
      <c r="Q660" s="1">
        <v>1990</v>
      </c>
      <c r="R660" s="1" t="s">
        <v>4296</v>
      </c>
      <c r="S660" s="1" t="s">
        <v>27</v>
      </c>
      <c r="T660" s="38">
        <v>1</v>
      </c>
      <c r="Z660" s="1">
        <v>75.599999999999994</v>
      </c>
      <c r="AJ660" s="1">
        <v>2.17</v>
      </c>
    </row>
    <row r="661" spans="1:36" x14ac:dyDescent="0.2">
      <c r="A661" s="1" t="s">
        <v>4307</v>
      </c>
      <c r="B661" s="1" t="s">
        <v>57</v>
      </c>
      <c r="C661" s="1" t="s">
        <v>4308</v>
      </c>
      <c r="E661" s="1">
        <v>56</v>
      </c>
      <c r="F661" s="1" t="s">
        <v>4309</v>
      </c>
      <c r="H661" s="1" t="s">
        <v>4310</v>
      </c>
      <c r="I661" s="1" t="s">
        <v>11</v>
      </c>
      <c r="J661" s="1" t="s">
        <v>4311</v>
      </c>
      <c r="L661" s="1" t="s">
        <v>4312</v>
      </c>
      <c r="M661" s="1" t="s">
        <v>4298</v>
      </c>
      <c r="P661" s="1" t="s">
        <v>4295</v>
      </c>
      <c r="Q661" s="1">
        <v>1990</v>
      </c>
      <c r="R661" s="1" t="s">
        <v>4296</v>
      </c>
      <c r="S661" s="1" t="s">
        <v>27</v>
      </c>
      <c r="T661" s="38">
        <v>1</v>
      </c>
      <c r="Z661" s="1">
        <v>75</v>
      </c>
      <c r="AJ661" s="1">
        <v>2.29</v>
      </c>
    </row>
    <row r="662" spans="1:36" x14ac:dyDescent="0.2">
      <c r="A662" s="1" t="s">
        <v>4313</v>
      </c>
      <c r="B662" s="1" t="s">
        <v>57</v>
      </c>
      <c r="C662" s="1" t="s">
        <v>4308</v>
      </c>
      <c r="E662" s="1">
        <v>56</v>
      </c>
      <c r="F662" s="1" t="s">
        <v>4309</v>
      </c>
      <c r="H662" s="1" t="s">
        <v>4310</v>
      </c>
      <c r="I662" s="1" t="s">
        <v>11</v>
      </c>
      <c r="J662" s="1" t="s">
        <v>4311</v>
      </c>
      <c r="L662" s="1" t="s">
        <v>4312</v>
      </c>
      <c r="M662" s="1" t="s">
        <v>4300</v>
      </c>
      <c r="P662" s="1" t="s">
        <v>4295</v>
      </c>
      <c r="Q662" s="1">
        <v>1990</v>
      </c>
      <c r="R662" s="1" t="s">
        <v>4296</v>
      </c>
      <c r="S662" s="1" t="s">
        <v>27</v>
      </c>
      <c r="T662" s="38">
        <v>1</v>
      </c>
      <c r="Z662" s="1">
        <v>72.599999999999994</v>
      </c>
      <c r="AJ662" s="1">
        <v>2.21</v>
      </c>
    </row>
    <row r="663" spans="1:36" x14ac:dyDescent="0.2">
      <c r="A663" s="1" t="s">
        <v>4314</v>
      </c>
      <c r="B663" s="1" t="s">
        <v>57</v>
      </c>
      <c r="C663" s="1" t="s">
        <v>4308</v>
      </c>
      <c r="E663" s="1">
        <v>56</v>
      </c>
      <c r="F663" s="1" t="s">
        <v>4309</v>
      </c>
      <c r="H663" s="1" t="s">
        <v>4310</v>
      </c>
      <c r="I663" s="1" t="s">
        <v>11</v>
      </c>
      <c r="J663" s="1" t="s">
        <v>4311</v>
      </c>
      <c r="L663" s="1" t="s">
        <v>4312</v>
      </c>
      <c r="M663" s="1" t="s">
        <v>4306</v>
      </c>
      <c r="P663" s="1" t="s">
        <v>4295</v>
      </c>
      <c r="Q663" s="1">
        <v>1990</v>
      </c>
      <c r="R663" s="1" t="s">
        <v>4296</v>
      </c>
      <c r="S663" s="1" t="s">
        <v>27</v>
      </c>
      <c r="T663" s="38">
        <v>1</v>
      </c>
      <c r="Z663" s="1">
        <v>76.900000000000006</v>
      </c>
      <c r="AJ663" s="1">
        <v>2.1800000000000002</v>
      </c>
    </row>
    <row r="664" spans="1:36" x14ac:dyDescent="0.2">
      <c r="A664" s="1" t="s">
        <v>4315</v>
      </c>
      <c r="B664" s="1" t="s">
        <v>57</v>
      </c>
      <c r="C664" s="1" t="s">
        <v>4308</v>
      </c>
      <c r="E664" s="1">
        <v>56</v>
      </c>
      <c r="F664" s="1" t="s">
        <v>4309</v>
      </c>
      <c r="H664" s="1" t="s">
        <v>4316</v>
      </c>
      <c r="I664" s="1" t="s">
        <v>7</v>
      </c>
      <c r="J664" s="1" t="s">
        <v>4311</v>
      </c>
      <c r="L664" s="1" t="s">
        <v>4312</v>
      </c>
      <c r="M664" s="1" t="s">
        <v>4298</v>
      </c>
      <c r="P664" s="1" t="s">
        <v>4295</v>
      </c>
      <c r="Q664" s="1">
        <v>1990</v>
      </c>
      <c r="R664" s="1" t="s">
        <v>4296</v>
      </c>
      <c r="S664" s="1" t="s">
        <v>27</v>
      </c>
      <c r="T664" s="38">
        <v>1</v>
      </c>
      <c r="Z664" s="1">
        <v>75.900000000000006</v>
      </c>
      <c r="AJ664" s="1">
        <v>1.92</v>
      </c>
    </row>
    <row r="665" spans="1:36" x14ac:dyDescent="0.2">
      <c r="A665" s="1" t="s">
        <v>4317</v>
      </c>
      <c r="B665" s="1" t="s">
        <v>57</v>
      </c>
      <c r="C665" s="1" t="s">
        <v>4308</v>
      </c>
      <c r="E665" s="1">
        <v>56</v>
      </c>
      <c r="F665" s="1" t="s">
        <v>4309</v>
      </c>
      <c r="H665" s="1" t="s">
        <v>4316</v>
      </c>
      <c r="I665" s="1" t="s">
        <v>7</v>
      </c>
      <c r="J665" s="1" t="s">
        <v>4311</v>
      </c>
      <c r="L665" s="1" t="s">
        <v>4312</v>
      </c>
      <c r="M665" s="1" t="s">
        <v>4300</v>
      </c>
      <c r="P665" s="1" t="s">
        <v>4295</v>
      </c>
      <c r="Q665" s="1">
        <v>1990</v>
      </c>
      <c r="R665" s="1" t="s">
        <v>4296</v>
      </c>
      <c r="S665" s="1" t="s">
        <v>27</v>
      </c>
      <c r="T665" s="38">
        <v>1</v>
      </c>
      <c r="Z665" s="1">
        <v>77.2</v>
      </c>
      <c r="AJ665" s="1">
        <v>1.43</v>
      </c>
    </row>
    <row r="666" spans="1:36" x14ac:dyDescent="0.2">
      <c r="A666" s="1" t="s">
        <v>4318</v>
      </c>
      <c r="B666" s="1" t="s">
        <v>57</v>
      </c>
      <c r="C666" s="1" t="s">
        <v>4319</v>
      </c>
      <c r="E666" s="1">
        <v>57</v>
      </c>
      <c r="F666" s="1" t="s">
        <v>4320</v>
      </c>
      <c r="H666" s="1" t="s">
        <v>4321</v>
      </c>
      <c r="I666" s="1" t="s">
        <v>7</v>
      </c>
      <c r="J666" s="1" t="s">
        <v>4322</v>
      </c>
      <c r="K666" s="1" t="s">
        <v>4323</v>
      </c>
      <c r="L666" s="1" t="s">
        <v>4322</v>
      </c>
      <c r="M666" s="1" t="s">
        <v>4298</v>
      </c>
      <c r="P666" s="1" t="s">
        <v>4295</v>
      </c>
      <c r="Q666" s="1">
        <v>1990</v>
      </c>
      <c r="R666" s="1" t="s">
        <v>4296</v>
      </c>
      <c r="S666" s="1" t="s">
        <v>27</v>
      </c>
      <c r="T666" s="38">
        <v>1</v>
      </c>
      <c r="Z666" s="1">
        <v>82.7</v>
      </c>
      <c r="AJ666" s="1">
        <v>1.76</v>
      </c>
    </row>
    <row r="667" spans="1:36" x14ac:dyDescent="0.2">
      <c r="A667" s="1" t="s">
        <v>4324</v>
      </c>
      <c r="B667" s="1" t="s">
        <v>57</v>
      </c>
      <c r="C667" s="1" t="s">
        <v>4319</v>
      </c>
      <c r="E667" s="1">
        <v>57</v>
      </c>
      <c r="F667" s="1" t="s">
        <v>4320</v>
      </c>
      <c r="H667" s="1" t="s">
        <v>4321</v>
      </c>
      <c r="I667" s="1" t="s">
        <v>7</v>
      </c>
      <c r="J667" s="1" t="s">
        <v>4322</v>
      </c>
      <c r="K667" s="1" t="s">
        <v>4323</v>
      </c>
      <c r="L667" s="1" t="s">
        <v>4322</v>
      </c>
      <c r="M667" s="1" t="s">
        <v>4300</v>
      </c>
      <c r="P667" s="1" t="s">
        <v>4295</v>
      </c>
      <c r="Q667" s="1">
        <v>1990</v>
      </c>
      <c r="R667" s="1" t="s">
        <v>4296</v>
      </c>
      <c r="S667" s="1" t="s">
        <v>27</v>
      </c>
      <c r="T667" s="38">
        <v>1</v>
      </c>
      <c r="Z667" s="1">
        <v>76.2</v>
      </c>
      <c r="AJ667" s="1">
        <v>1.24</v>
      </c>
    </row>
    <row r="668" spans="1:36" x14ac:dyDescent="0.2">
      <c r="A668" s="1" t="s">
        <v>4325</v>
      </c>
      <c r="B668" s="1" t="s">
        <v>57</v>
      </c>
      <c r="C668" s="1" t="s">
        <v>4326</v>
      </c>
      <c r="E668" s="1">
        <v>55</v>
      </c>
      <c r="F668" s="1" t="s">
        <v>4327</v>
      </c>
      <c r="H668" s="1" t="s">
        <v>4328</v>
      </c>
      <c r="I668" s="1" t="s">
        <v>7</v>
      </c>
      <c r="J668" s="1" t="s">
        <v>4329</v>
      </c>
      <c r="K668" s="1" t="s">
        <v>4330</v>
      </c>
      <c r="L668" s="1" t="s">
        <v>4331</v>
      </c>
      <c r="M668" s="1" t="s">
        <v>4294</v>
      </c>
      <c r="P668" s="1" t="s">
        <v>4295</v>
      </c>
      <c r="Q668" s="1">
        <v>1990</v>
      </c>
      <c r="R668" s="1" t="s">
        <v>4296</v>
      </c>
      <c r="S668" s="1" t="s">
        <v>27</v>
      </c>
      <c r="T668" s="38">
        <v>1</v>
      </c>
      <c r="Z668" s="1">
        <v>87.8</v>
      </c>
      <c r="AJ668" s="1">
        <v>0.66</v>
      </c>
    </row>
    <row r="669" spans="1:36" x14ac:dyDescent="0.2">
      <c r="A669" s="1" t="s">
        <v>4332</v>
      </c>
      <c r="B669" s="1" t="s">
        <v>57</v>
      </c>
      <c r="C669" s="1" t="s">
        <v>4326</v>
      </c>
      <c r="E669" s="1">
        <v>55</v>
      </c>
      <c r="F669" s="1" t="s">
        <v>4327</v>
      </c>
      <c r="H669" s="1" t="s">
        <v>4328</v>
      </c>
      <c r="I669" s="1" t="s">
        <v>7</v>
      </c>
      <c r="J669" s="1" t="s">
        <v>4329</v>
      </c>
      <c r="K669" s="1" t="s">
        <v>4330</v>
      </c>
      <c r="L669" s="1" t="s">
        <v>4331</v>
      </c>
      <c r="M669" s="1" t="s">
        <v>4306</v>
      </c>
      <c r="P669" s="1" t="s">
        <v>4295</v>
      </c>
      <c r="Q669" s="1">
        <v>1990</v>
      </c>
      <c r="R669" s="1" t="s">
        <v>4296</v>
      </c>
      <c r="S669" s="1" t="s">
        <v>27</v>
      </c>
      <c r="T669" s="38">
        <v>1</v>
      </c>
      <c r="Z669" s="1">
        <v>84.5</v>
      </c>
      <c r="AJ669" s="1">
        <v>0.68</v>
      </c>
    </row>
    <row r="670" spans="1:36" x14ac:dyDescent="0.2">
      <c r="A670" s="1" t="s">
        <v>4333</v>
      </c>
      <c r="B670" s="1" t="s">
        <v>57</v>
      </c>
      <c r="C670" s="1" t="s">
        <v>4334</v>
      </c>
      <c r="E670" s="1">
        <v>55</v>
      </c>
      <c r="F670" s="1" t="s">
        <v>4335</v>
      </c>
      <c r="H670" s="1" t="s">
        <v>4336</v>
      </c>
      <c r="I670" s="1" t="s">
        <v>7</v>
      </c>
      <c r="J670" s="1" t="s">
        <v>4337</v>
      </c>
      <c r="K670" s="1" t="s">
        <v>4338</v>
      </c>
      <c r="L670" s="1" t="s">
        <v>4337</v>
      </c>
      <c r="M670" s="1" t="s">
        <v>4294</v>
      </c>
      <c r="P670" s="1" t="s">
        <v>4295</v>
      </c>
      <c r="Q670" s="1">
        <v>1990</v>
      </c>
      <c r="R670" s="1" t="s">
        <v>4296</v>
      </c>
      <c r="S670" s="1" t="s">
        <v>27</v>
      </c>
      <c r="T670" s="38">
        <v>1</v>
      </c>
      <c r="Z670" s="1">
        <v>77.400000000000006</v>
      </c>
      <c r="AJ670" s="1">
        <v>1.1399999999999999</v>
      </c>
    </row>
    <row r="671" spans="1:36" x14ac:dyDescent="0.2">
      <c r="A671" s="1" t="s">
        <v>4339</v>
      </c>
      <c r="B671" s="1" t="s">
        <v>57</v>
      </c>
      <c r="C671" s="1" t="s">
        <v>4334</v>
      </c>
      <c r="E671" s="1">
        <v>55</v>
      </c>
      <c r="F671" s="1" t="s">
        <v>4335</v>
      </c>
      <c r="H671" s="1" t="s">
        <v>4336</v>
      </c>
      <c r="I671" s="1" t="s">
        <v>7</v>
      </c>
      <c r="J671" s="1" t="s">
        <v>4337</v>
      </c>
      <c r="K671" s="1" t="s">
        <v>4338</v>
      </c>
      <c r="L671" s="1" t="s">
        <v>4337</v>
      </c>
      <c r="M671" s="1" t="s">
        <v>4306</v>
      </c>
      <c r="P671" s="1" t="s">
        <v>4295</v>
      </c>
      <c r="Q671" s="1">
        <v>1990</v>
      </c>
      <c r="R671" s="1" t="s">
        <v>4296</v>
      </c>
      <c r="S671" s="1" t="s">
        <v>27</v>
      </c>
      <c r="T671" s="38">
        <v>1</v>
      </c>
      <c r="Z671" s="1">
        <v>80.099999999999994</v>
      </c>
      <c r="AJ671" s="1">
        <v>0.77</v>
      </c>
    </row>
    <row r="672" spans="1:36" x14ac:dyDescent="0.2">
      <c r="A672" s="1" t="s">
        <v>4340</v>
      </c>
      <c r="B672" s="1" t="s">
        <v>1911</v>
      </c>
      <c r="C672" s="1" t="s">
        <v>4341</v>
      </c>
      <c r="E672" s="1">
        <v>42</v>
      </c>
      <c r="F672" s="1" t="s">
        <v>3797</v>
      </c>
      <c r="H672" s="1" t="s">
        <v>4342</v>
      </c>
      <c r="I672" s="1" t="s">
        <v>11</v>
      </c>
      <c r="J672" s="1" t="s">
        <v>3799</v>
      </c>
      <c r="K672" s="1" t="s">
        <v>3800</v>
      </c>
      <c r="L672" s="1" t="s">
        <v>3799</v>
      </c>
      <c r="M672" s="1" t="s">
        <v>4294</v>
      </c>
      <c r="P672" s="1" t="s">
        <v>4343</v>
      </c>
      <c r="Q672" s="1">
        <v>1990</v>
      </c>
      <c r="R672" s="1" t="s">
        <v>4296</v>
      </c>
      <c r="S672" s="1" t="s">
        <v>27</v>
      </c>
      <c r="T672" s="38">
        <v>1</v>
      </c>
      <c r="Z672" s="1">
        <v>78.8</v>
      </c>
      <c r="AJ672" s="1">
        <v>1.32</v>
      </c>
    </row>
    <row r="673" spans="1:168" x14ac:dyDescent="0.2">
      <c r="A673" s="1" t="s">
        <v>4344</v>
      </c>
      <c r="B673" s="1" t="s">
        <v>1911</v>
      </c>
      <c r="C673" s="1" t="s">
        <v>4341</v>
      </c>
      <c r="E673" s="1">
        <v>42</v>
      </c>
      <c r="F673" s="1" t="s">
        <v>3797</v>
      </c>
      <c r="H673" s="1" t="s">
        <v>4342</v>
      </c>
      <c r="I673" s="1" t="s">
        <v>11</v>
      </c>
      <c r="J673" s="1" t="s">
        <v>3799</v>
      </c>
      <c r="K673" s="1" t="s">
        <v>3800</v>
      </c>
      <c r="L673" s="1" t="s">
        <v>3799</v>
      </c>
      <c r="M673" s="1" t="s">
        <v>4294</v>
      </c>
      <c r="P673" s="1" t="s">
        <v>4343</v>
      </c>
      <c r="Q673" s="1">
        <v>1990</v>
      </c>
      <c r="R673" s="1" t="s">
        <v>4296</v>
      </c>
      <c r="S673" s="1" t="s">
        <v>27</v>
      </c>
      <c r="T673" s="38">
        <v>1</v>
      </c>
      <c r="Z673" s="1">
        <v>78.2</v>
      </c>
      <c r="AJ673" s="1">
        <v>1.31</v>
      </c>
    </row>
    <row r="674" spans="1:168" x14ac:dyDescent="0.2">
      <c r="A674" s="1" t="s">
        <v>4345</v>
      </c>
      <c r="B674" s="1" t="s">
        <v>1911</v>
      </c>
      <c r="C674" s="1" t="s">
        <v>4346</v>
      </c>
      <c r="E674" s="1">
        <v>42</v>
      </c>
      <c r="F674" s="1" t="s">
        <v>3797</v>
      </c>
      <c r="H674" s="1" t="s">
        <v>4342</v>
      </c>
      <c r="I674" s="1" t="s">
        <v>11</v>
      </c>
      <c r="J674" s="1" t="s">
        <v>3799</v>
      </c>
      <c r="K674" s="1" t="s">
        <v>3800</v>
      </c>
      <c r="L674" s="1" t="s">
        <v>3799</v>
      </c>
      <c r="M674" s="1" t="s">
        <v>4306</v>
      </c>
      <c r="P674" s="1" t="s">
        <v>4343</v>
      </c>
      <c r="Q674" s="1">
        <v>1990</v>
      </c>
      <c r="R674" s="1" t="s">
        <v>4296</v>
      </c>
      <c r="S674" s="1" t="s">
        <v>27</v>
      </c>
      <c r="T674" s="38">
        <v>1</v>
      </c>
      <c r="Z674" s="1">
        <v>76</v>
      </c>
      <c r="AJ674" s="1">
        <v>1.04</v>
      </c>
    </row>
    <row r="675" spans="1:168" x14ac:dyDescent="0.2">
      <c r="A675" s="1" t="s">
        <v>4347</v>
      </c>
      <c r="B675" s="1" t="s">
        <v>1911</v>
      </c>
      <c r="C675" s="1" t="s">
        <v>4341</v>
      </c>
      <c r="E675" s="1">
        <v>45</v>
      </c>
      <c r="F675" s="1" t="s">
        <v>4348</v>
      </c>
      <c r="H675" s="1" t="s">
        <v>4349</v>
      </c>
      <c r="I675" s="1" t="s">
        <v>11</v>
      </c>
      <c r="J675" s="1" t="s">
        <v>4350</v>
      </c>
      <c r="K675" s="1" t="s">
        <v>4351</v>
      </c>
      <c r="L675" s="1" t="s">
        <v>4350</v>
      </c>
      <c r="M675" s="1" t="s">
        <v>4298</v>
      </c>
      <c r="P675" s="1" t="s">
        <v>4343</v>
      </c>
      <c r="Q675" s="1">
        <v>1990</v>
      </c>
      <c r="R675" s="1" t="s">
        <v>4296</v>
      </c>
      <c r="S675" s="1" t="s">
        <v>27</v>
      </c>
      <c r="T675" s="38">
        <v>1</v>
      </c>
      <c r="Z675" s="1">
        <v>79.099999999999994</v>
      </c>
      <c r="AJ675" s="1">
        <v>1.19</v>
      </c>
    </row>
    <row r="676" spans="1:168" x14ac:dyDescent="0.2">
      <c r="A676" s="1" t="s">
        <v>4352</v>
      </c>
      <c r="B676" s="1" t="s">
        <v>1911</v>
      </c>
      <c r="C676" s="1" t="s">
        <v>4346</v>
      </c>
      <c r="E676" s="1">
        <v>45</v>
      </c>
      <c r="F676" s="1" t="s">
        <v>4348</v>
      </c>
      <c r="H676" s="1" t="s">
        <v>4349</v>
      </c>
      <c r="I676" s="1" t="s">
        <v>11</v>
      </c>
      <c r="J676" s="1" t="s">
        <v>4350</v>
      </c>
      <c r="K676" s="1" t="s">
        <v>4351</v>
      </c>
      <c r="L676" s="1" t="s">
        <v>4350</v>
      </c>
      <c r="M676" s="1" t="s">
        <v>4306</v>
      </c>
      <c r="P676" s="1" t="s">
        <v>4343</v>
      </c>
      <c r="Q676" s="1">
        <v>1990</v>
      </c>
      <c r="R676" s="1" t="s">
        <v>4296</v>
      </c>
      <c r="S676" s="1" t="s">
        <v>27</v>
      </c>
      <c r="T676" s="38">
        <v>1</v>
      </c>
      <c r="Z676" s="1">
        <v>76.5</v>
      </c>
      <c r="AJ676" s="1">
        <v>1.34</v>
      </c>
    </row>
    <row r="677" spans="1:168" x14ac:dyDescent="0.2">
      <c r="A677" s="1" t="s">
        <v>4353</v>
      </c>
      <c r="B677" s="1" t="s">
        <v>57</v>
      </c>
      <c r="C677" s="1" t="s">
        <v>4291</v>
      </c>
      <c r="E677" s="1">
        <v>53</v>
      </c>
      <c r="F677" s="1" t="s">
        <v>3878</v>
      </c>
      <c r="H677" s="1" t="s">
        <v>4292</v>
      </c>
      <c r="I677" s="1" t="s">
        <v>7</v>
      </c>
      <c r="J677" s="1" t="s">
        <v>4293</v>
      </c>
      <c r="K677" s="1" t="s">
        <v>3881</v>
      </c>
      <c r="L677" s="1" t="s">
        <v>3880</v>
      </c>
      <c r="M677" s="1" t="s">
        <v>4354</v>
      </c>
      <c r="P677" s="1" t="s">
        <v>4295</v>
      </c>
      <c r="Q677" s="1">
        <v>1990</v>
      </c>
      <c r="R677" s="1" t="s">
        <v>4296</v>
      </c>
      <c r="S677" s="1" t="s">
        <v>27</v>
      </c>
      <c r="T677" s="38">
        <v>1</v>
      </c>
      <c r="W677" s="1">
        <v>74</v>
      </c>
      <c r="Z677" s="1" t="s">
        <v>4355</v>
      </c>
      <c r="AE677" s="1" t="s">
        <v>4356</v>
      </c>
      <c r="AJ677" s="1" t="s">
        <v>4357</v>
      </c>
      <c r="AK677" s="1">
        <v>0.504671804</v>
      </c>
      <c r="AL677" s="1">
        <v>0.39222503600000003</v>
      </c>
      <c r="AM677" s="1">
        <v>0.79898400800000002</v>
      </c>
      <c r="AN677" s="1">
        <v>0.21647915200000001</v>
      </c>
      <c r="AQ677" s="1">
        <v>4.0999999999999996</v>
      </c>
      <c r="AV677" s="1" t="s">
        <v>4358</v>
      </c>
      <c r="EW677" s="1">
        <v>48</v>
      </c>
      <c r="FI677" s="1">
        <v>8</v>
      </c>
      <c r="FJ677" s="1">
        <v>6</v>
      </c>
      <c r="FK677" s="1">
        <v>31</v>
      </c>
      <c r="FL677" s="1">
        <v>19</v>
      </c>
    </row>
    <row r="678" spans="1:168" x14ac:dyDescent="0.2">
      <c r="A678" s="1" t="s">
        <v>4359</v>
      </c>
      <c r="B678" s="1" t="s">
        <v>57</v>
      </c>
      <c r="C678" s="1" t="s">
        <v>4319</v>
      </c>
      <c r="E678" s="1">
        <v>57</v>
      </c>
      <c r="F678" s="1" t="s">
        <v>4320</v>
      </c>
      <c r="H678" s="1" t="s">
        <v>4321</v>
      </c>
      <c r="I678" s="1" t="s">
        <v>7</v>
      </c>
      <c r="J678" s="1" t="s">
        <v>4322</v>
      </c>
      <c r="K678" s="1" t="s">
        <v>4323</v>
      </c>
      <c r="L678" s="1" t="s">
        <v>4322</v>
      </c>
      <c r="M678" s="1" t="s">
        <v>4360</v>
      </c>
      <c r="P678" s="1" t="s">
        <v>4295</v>
      </c>
      <c r="Q678" s="1">
        <v>1990</v>
      </c>
      <c r="R678" s="1" t="s">
        <v>4296</v>
      </c>
      <c r="S678" s="1" t="s">
        <v>27</v>
      </c>
      <c r="T678" s="38">
        <v>1</v>
      </c>
      <c r="W678" s="1">
        <v>86</v>
      </c>
      <c r="Z678" s="1">
        <v>79.400000000000006</v>
      </c>
      <c r="AE678" s="1">
        <v>15.3</v>
      </c>
      <c r="AJ678" s="1">
        <v>1.5</v>
      </c>
      <c r="AK678" s="1">
        <v>0.45428960000000002</v>
      </c>
      <c r="AL678" s="1">
        <v>9.2519400000000002E-2</v>
      </c>
      <c r="AM678" s="1">
        <v>0.57412099999999999</v>
      </c>
      <c r="AN678" s="1">
        <v>1.7069999999999998E-2</v>
      </c>
      <c r="AQ678" s="1">
        <v>2.6</v>
      </c>
      <c r="AV678" s="1">
        <v>1.1499999999999999</v>
      </c>
      <c r="EW678" s="1">
        <v>231</v>
      </c>
    </row>
    <row r="679" spans="1:168" x14ac:dyDescent="0.2">
      <c r="A679" s="1" t="s">
        <v>4361</v>
      </c>
      <c r="B679" s="1" t="s">
        <v>57</v>
      </c>
      <c r="C679" s="1" t="s">
        <v>4326</v>
      </c>
      <c r="E679" s="1">
        <v>55</v>
      </c>
      <c r="F679" s="1" t="s">
        <v>4327</v>
      </c>
      <c r="H679" s="1" t="s">
        <v>4328</v>
      </c>
      <c r="I679" s="1" t="s">
        <v>7</v>
      </c>
      <c r="J679" s="1" t="s">
        <v>4329</v>
      </c>
      <c r="K679" s="1" t="s">
        <v>4330</v>
      </c>
      <c r="L679" s="1" t="s">
        <v>4331</v>
      </c>
      <c r="M679" s="1" t="s">
        <v>4362</v>
      </c>
      <c r="P679" s="1" t="s">
        <v>4295</v>
      </c>
      <c r="Q679" s="1">
        <v>1990</v>
      </c>
      <c r="R679" s="1" t="s">
        <v>4296</v>
      </c>
      <c r="S679" s="1" t="s">
        <v>27</v>
      </c>
      <c r="T679" s="38">
        <v>1</v>
      </c>
      <c r="W679" s="1">
        <v>59</v>
      </c>
      <c r="Z679" s="1">
        <v>86.2</v>
      </c>
      <c r="AE679" s="1">
        <v>10.6</v>
      </c>
      <c r="AJ679" s="1">
        <v>0.67</v>
      </c>
      <c r="AK679" s="1">
        <v>9.9841895999999999E-2</v>
      </c>
      <c r="AL679" s="1">
        <v>3.2729399999999999E-2</v>
      </c>
      <c r="AM679" s="1">
        <v>0.20547172799999999</v>
      </c>
      <c r="AN679" s="1">
        <v>6.4769759999999997E-3</v>
      </c>
      <c r="AQ679" s="1">
        <v>1.6</v>
      </c>
      <c r="AV679" s="1">
        <v>0.74</v>
      </c>
      <c r="EW679" s="1">
        <v>37</v>
      </c>
      <c r="FI679" s="1">
        <v>10</v>
      </c>
      <c r="FJ679" s="1">
        <v>4</v>
      </c>
      <c r="FK679" s="1">
        <v>4</v>
      </c>
      <c r="FL679" s="1">
        <v>20</v>
      </c>
    </row>
    <row r="680" spans="1:168" x14ac:dyDescent="0.2">
      <c r="A680" s="1" t="s">
        <v>4363</v>
      </c>
      <c r="B680" s="1" t="s">
        <v>57</v>
      </c>
      <c r="C680" s="1" t="s">
        <v>4334</v>
      </c>
      <c r="E680" s="1">
        <v>55</v>
      </c>
      <c r="F680" s="1" t="s">
        <v>4335</v>
      </c>
      <c r="H680" s="1" t="s">
        <v>4336</v>
      </c>
      <c r="I680" s="1" t="s">
        <v>7</v>
      </c>
      <c r="J680" s="1" t="s">
        <v>4337</v>
      </c>
      <c r="K680" s="1" t="s">
        <v>4338</v>
      </c>
      <c r="L680" s="1" t="s">
        <v>4337</v>
      </c>
      <c r="M680" s="1" t="s">
        <v>4362</v>
      </c>
      <c r="P680" s="1" t="s">
        <v>4295</v>
      </c>
      <c r="Q680" s="1">
        <v>1990</v>
      </c>
      <c r="R680" s="1" t="s">
        <v>4296</v>
      </c>
      <c r="S680" s="1" t="s">
        <v>27</v>
      </c>
      <c r="T680" s="38">
        <v>1</v>
      </c>
      <c r="W680" s="1">
        <v>88</v>
      </c>
      <c r="Z680" s="1">
        <v>78.8</v>
      </c>
      <c r="AE680" s="1">
        <v>15.9</v>
      </c>
      <c r="AJ680" s="1">
        <v>0.96</v>
      </c>
      <c r="AK680" s="1">
        <v>0.19890102400000001</v>
      </c>
      <c r="AL680" s="1">
        <v>7.5668191999999995E-2</v>
      </c>
      <c r="AM680" s="1">
        <v>0.33400947199999997</v>
      </c>
      <c r="AN680" s="1">
        <v>1.3181312000000001E-2</v>
      </c>
      <c r="AQ680" s="1">
        <v>2.9</v>
      </c>
      <c r="AV680" s="1">
        <v>1.5</v>
      </c>
      <c r="EW680" s="1">
        <v>27</v>
      </c>
      <c r="FI680" s="1">
        <v>8</v>
      </c>
      <c r="FK680" s="1">
        <v>4</v>
      </c>
      <c r="FL680" s="1">
        <v>21</v>
      </c>
    </row>
    <row r="681" spans="1:168" x14ac:dyDescent="0.2">
      <c r="A681" s="1" t="s">
        <v>4364</v>
      </c>
      <c r="B681" s="1" t="s">
        <v>1911</v>
      </c>
      <c r="C681" s="1" t="s">
        <v>4346</v>
      </c>
      <c r="E681" s="1">
        <v>42</v>
      </c>
      <c r="F681" s="1" t="s">
        <v>3797</v>
      </c>
      <c r="H681" s="1" t="s">
        <v>4365</v>
      </c>
      <c r="I681" s="1" t="s">
        <v>11</v>
      </c>
      <c r="J681" s="1" t="s">
        <v>3799</v>
      </c>
      <c r="K681" s="1" t="s">
        <v>3800</v>
      </c>
      <c r="L681" s="1" t="s">
        <v>3799</v>
      </c>
      <c r="M681" s="1" t="s">
        <v>4362</v>
      </c>
      <c r="P681" s="1" t="s">
        <v>4343</v>
      </c>
      <c r="Q681" s="1">
        <v>1990</v>
      </c>
      <c r="R681" s="1" t="s">
        <v>4296</v>
      </c>
      <c r="S681" s="1" t="s">
        <v>27</v>
      </c>
      <c r="T681" s="38">
        <v>1</v>
      </c>
      <c r="W681" s="1">
        <v>92</v>
      </c>
      <c r="Z681" s="1">
        <v>77.599999999999994</v>
      </c>
      <c r="AE681" s="1">
        <v>17.8</v>
      </c>
      <c r="AJ681" s="1">
        <v>1.22</v>
      </c>
      <c r="AK681" s="1">
        <v>0.177234688</v>
      </c>
      <c r="AL681" s="1">
        <v>0.19599440800000001</v>
      </c>
      <c r="AM681" s="1">
        <v>0.49945521199999998</v>
      </c>
      <c r="AN681" s="1">
        <v>2.0635692000000001E-2</v>
      </c>
      <c r="AQ681" s="1">
        <v>1.4</v>
      </c>
      <c r="AV681" s="1">
        <v>2.57</v>
      </c>
      <c r="EW681" s="1">
        <v>72</v>
      </c>
      <c r="FL681" s="1">
        <v>6</v>
      </c>
    </row>
    <row r="682" spans="1:168" x14ac:dyDescent="0.2">
      <c r="A682" s="1" t="s">
        <v>4366</v>
      </c>
      <c r="B682" s="1" t="s">
        <v>1911</v>
      </c>
      <c r="C682" s="1" t="s">
        <v>4341</v>
      </c>
      <c r="E682" s="1">
        <v>45</v>
      </c>
      <c r="F682" s="1" t="s">
        <v>4348</v>
      </c>
      <c r="H682" s="1" t="s">
        <v>4349</v>
      </c>
      <c r="I682" s="1" t="s">
        <v>11</v>
      </c>
      <c r="J682" s="1" t="s">
        <v>4350</v>
      </c>
      <c r="K682" s="1" t="s">
        <v>4351</v>
      </c>
      <c r="L682" s="1" t="s">
        <v>4350</v>
      </c>
      <c r="M682" s="1" t="s">
        <v>4362</v>
      </c>
      <c r="P682" s="1" t="s">
        <v>4343</v>
      </c>
      <c r="Q682" s="1">
        <v>1990</v>
      </c>
      <c r="R682" s="1" t="s">
        <v>4296</v>
      </c>
      <c r="S682" s="1" t="s">
        <v>27</v>
      </c>
      <c r="T682" s="38">
        <v>1</v>
      </c>
      <c r="W682" s="1">
        <v>89</v>
      </c>
      <c r="Z682" s="1">
        <v>77.8</v>
      </c>
      <c r="AE682" s="1">
        <v>17.3</v>
      </c>
      <c r="AJ682" s="1">
        <v>1.26</v>
      </c>
      <c r="AK682" s="1">
        <v>0.223015464</v>
      </c>
      <c r="AL682" s="1">
        <v>0.24649077599999999</v>
      </c>
      <c r="AM682" s="1">
        <v>6.1482960000000001E-3</v>
      </c>
      <c r="AN682" s="1">
        <v>3.0368856E-2</v>
      </c>
      <c r="AQ682" s="1">
        <v>2</v>
      </c>
      <c r="AV682" s="1">
        <v>1.57</v>
      </c>
      <c r="EW682" s="1">
        <v>147</v>
      </c>
      <c r="FL682" s="1">
        <v>10</v>
      </c>
    </row>
    <row r="683" spans="1:168" x14ac:dyDescent="0.2">
      <c r="A683" s="1" t="s">
        <v>4367</v>
      </c>
      <c r="B683" s="1" t="s">
        <v>57</v>
      </c>
      <c r="C683" s="1" t="s">
        <v>4368</v>
      </c>
      <c r="D683" s="1" t="s">
        <v>4</v>
      </c>
      <c r="E683" s="1">
        <v>57</v>
      </c>
      <c r="F683" s="1" t="s">
        <v>1922</v>
      </c>
      <c r="H683" s="1" t="s">
        <v>4369</v>
      </c>
      <c r="I683" s="1" t="s">
        <v>7</v>
      </c>
      <c r="J683" s="1" t="s">
        <v>1924</v>
      </c>
      <c r="K683" s="1" t="s">
        <v>1925</v>
      </c>
      <c r="L683" s="1" t="s">
        <v>1924</v>
      </c>
      <c r="P683" s="1" t="s">
        <v>4370</v>
      </c>
      <c r="Q683" s="1">
        <v>2010</v>
      </c>
      <c r="R683" s="1" t="s">
        <v>4371</v>
      </c>
      <c r="S683" s="1" t="s">
        <v>27</v>
      </c>
      <c r="T683" s="38">
        <v>1</v>
      </c>
      <c r="Z683" s="1">
        <v>86.03</v>
      </c>
      <c r="AE683" s="1">
        <v>10.199999999999999</v>
      </c>
      <c r="AH683" s="1">
        <v>0.65</v>
      </c>
      <c r="AK683" s="1">
        <v>0.18873200000000001</v>
      </c>
      <c r="AL683" s="1">
        <v>3.7095599999999999E-2</v>
      </c>
      <c r="AM683" s="1">
        <v>9.8596199999999995E-2</v>
      </c>
      <c r="AR683" s="1">
        <v>1.25</v>
      </c>
      <c r="AV683" s="1">
        <v>1.95</v>
      </c>
      <c r="FB683" s="1">
        <v>0.33150000000000002</v>
      </c>
      <c r="FE683" s="1">
        <v>6.4284999999999995E-2</v>
      </c>
    </row>
    <row r="684" spans="1:168" x14ac:dyDescent="0.2">
      <c r="A684" s="1" t="s">
        <v>4372</v>
      </c>
      <c r="B684" s="1" t="s">
        <v>55</v>
      </c>
      <c r="C684" s="1" t="s">
        <v>4373</v>
      </c>
      <c r="E684" s="1">
        <v>13</v>
      </c>
      <c r="F684" s="1" t="s">
        <v>4374</v>
      </c>
      <c r="G684" s="1" t="s">
        <v>4375</v>
      </c>
      <c r="H684" s="1" t="s">
        <v>4376</v>
      </c>
      <c r="I684" s="1" t="s">
        <v>7</v>
      </c>
      <c r="J684" s="1" t="s">
        <v>4377</v>
      </c>
      <c r="L684" s="1" t="s">
        <v>4377</v>
      </c>
      <c r="P684" s="1" t="s">
        <v>4378</v>
      </c>
      <c r="Q684" s="1">
        <v>2007</v>
      </c>
      <c r="R684" s="1" t="s">
        <v>4379</v>
      </c>
      <c r="S684" s="1" t="s">
        <v>27</v>
      </c>
      <c r="T684" s="38">
        <v>1</v>
      </c>
      <c r="AY684" s="1">
        <v>200</v>
      </c>
      <c r="BF684" s="1">
        <v>2.4</v>
      </c>
      <c r="BW684" s="1">
        <v>1.2</v>
      </c>
    </row>
    <row r="685" spans="1:168" x14ac:dyDescent="0.2">
      <c r="A685" s="1" t="s">
        <v>4380</v>
      </c>
      <c r="B685" s="1" t="s">
        <v>55</v>
      </c>
      <c r="C685" s="1" t="s">
        <v>4373</v>
      </c>
      <c r="E685" s="1">
        <v>33</v>
      </c>
      <c r="F685" s="1" t="s">
        <v>4381</v>
      </c>
      <c r="G685" s="1" t="s">
        <v>4382</v>
      </c>
      <c r="H685" s="1" t="s">
        <v>4376</v>
      </c>
      <c r="I685" s="1" t="s">
        <v>7</v>
      </c>
      <c r="J685" s="1" t="s">
        <v>4383</v>
      </c>
      <c r="K685" s="1" t="s">
        <v>4384</v>
      </c>
      <c r="L685" s="1" t="s">
        <v>4385</v>
      </c>
      <c r="P685" s="1" t="s">
        <v>4378</v>
      </c>
      <c r="Q685" s="1">
        <v>2007</v>
      </c>
      <c r="R685" s="1" t="s">
        <v>4379</v>
      </c>
      <c r="S685" s="1" t="s">
        <v>27</v>
      </c>
      <c r="T685" s="38">
        <v>1</v>
      </c>
      <c r="AY685" s="1">
        <v>900</v>
      </c>
      <c r="BF685" s="1">
        <v>1.8</v>
      </c>
      <c r="BW685" s="1">
        <v>2.2999999999999998</v>
      </c>
    </row>
    <row r="686" spans="1:168" x14ac:dyDescent="0.2">
      <c r="A686" s="1" t="s">
        <v>4386</v>
      </c>
      <c r="B686" s="1" t="s">
        <v>55</v>
      </c>
      <c r="C686" s="1" t="s">
        <v>4373</v>
      </c>
      <c r="E686" s="1">
        <v>11</v>
      </c>
      <c r="F686" s="1" t="s">
        <v>4387</v>
      </c>
      <c r="G686" s="1" t="s">
        <v>4388</v>
      </c>
      <c r="H686" s="1" t="s">
        <v>4389</v>
      </c>
      <c r="I686" s="1" t="s">
        <v>7</v>
      </c>
      <c r="J686" s="1" t="s">
        <v>4390</v>
      </c>
      <c r="K686" s="1" t="s">
        <v>4391</v>
      </c>
      <c r="L686" s="1" t="s">
        <v>4390</v>
      </c>
      <c r="P686" s="1" t="s">
        <v>4378</v>
      </c>
      <c r="Q686" s="1">
        <v>2007</v>
      </c>
      <c r="R686" s="1" t="s">
        <v>4379</v>
      </c>
      <c r="S686" s="1" t="s">
        <v>27</v>
      </c>
      <c r="T686" s="38">
        <v>1</v>
      </c>
      <c r="AY686" s="1">
        <v>800</v>
      </c>
      <c r="BF686" s="1">
        <v>12</v>
      </c>
      <c r="BW686" s="1">
        <v>4</v>
      </c>
    </row>
    <row r="687" spans="1:168" x14ac:dyDescent="0.2">
      <c r="A687" s="1" t="s">
        <v>4392</v>
      </c>
      <c r="B687" s="1" t="s">
        <v>55</v>
      </c>
      <c r="C687" s="1" t="s">
        <v>4373</v>
      </c>
      <c r="E687" s="1">
        <v>13</v>
      </c>
      <c r="F687" s="1" t="s">
        <v>4393</v>
      </c>
      <c r="G687" s="1" t="s">
        <v>4394</v>
      </c>
      <c r="H687" s="1" t="s">
        <v>4395</v>
      </c>
      <c r="I687" s="1" t="s">
        <v>7</v>
      </c>
      <c r="J687" s="1" t="s">
        <v>4396</v>
      </c>
      <c r="K687" s="1" t="s">
        <v>4397</v>
      </c>
      <c r="L687" s="1" t="s">
        <v>4396</v>
      </c>
      <c r="P687" s="1" t="s">
        <v>4378</v>
      </c>
      <c r="Q687" s="1">
        <v>2007</v>
      </c>
      <c r="R687" s="1" t="s">
        <v>4379</v>
      </c>
      <c r="S687" s="1" t="s">
        <v>27</v>
      </c>
      <c r="T687" s="38">
        <v>1</v>
      </c>
      <c r="AY687" s="1">
        <v>400</v>
      </c>
      <c r="BF687" s="1">
        <v>2.8</v>
      </c>
      <c r="BW687" s="1">
        <v>3.1</v>
      </c>
    </row>
    <row r="688" spans="1:168" x14ac:dyDescent="0.2">
      <c r="A688" s="1" t="s">
        <v>4398</v>
      </c>
      <c r="B688" s="1" t="s">
        <v>55</v>
      </c>
      <c r="C688" s="1" t="s">
        <v>4373</v>
      </c>
      <c r="E688" s="1">
        <v>11</v>
      </c>
      <c r="F688" s="1" t="s">
        <v>4399</v>
      </c>
      <c r="G688" s="1" t="s">
        <v>4400</v>
      </c>
      <c r="H688" s="1" t="s">
        <v>4376</v>
      </c>
      <c r="I688" s="1" t="s">
        <v>7</v>
      </c>
      <c r="J688" s="1" t="s">
        <v>4401</v>
      </c>
      <c r="L688" s="1" t="s">
        <v>4401</v>
      </c>
      <c r="P688" s="1" t="s">
        <v>4378</v>
      </c>
      <c r="Q688" s="1">
        <v>2007</v>
      </c>
      <c r="R688" s="1" t="s">
        <v>4379</v>
      </c>
      <c r="S688" s="1" t="s">
        <v>27</v>
      </c>
      <c r="T688" s="38">
        <v>1</v>
      </c>
      <c r="AY688" s="1">
        <v>800</v>
      </c>
      <c r="BF688" s="1">
        <v>5.7</v>
      </c>
      <c r="BW688" s="1">
        <v>3.2</v>
      </c>
    </row>
    <row r="689" spans="1:148" x14ac:dyDescent="0.2">
      <c r="A689" s="1" t="s">
        <v>4402</v>
      </c>
      <c r="B689" s="1" t="s">
        <v>55</v>
      </c>
      <c r="C689" s="1" t="s">
        <v>4373</v>
      </c>
      <c r="E689" s="1">
        <v>11</v>
      </c>
      <c r="F689" s="1" t="s">
        <v>4403</v>
      </c>
      <c r="G689" s="1" t="s">
        <v>4404</v>
      </c>
      <c r="H689" s="1" t="s">
        <v>4405</v>
      </c>
      <c r="I689" s="1" t="s">
        <v>7</v>
      </c>
      <c r="J689" s="1" t="s">
        <v>4406</v>
      </c>
      <c r="K689" s="1" t="s">
        <v>4407</v>
      </c>
      <c r="L689" s="1" t="s">
        <v>4406</v>
      </c>
      <c r="P689" s="1" t="s">
        <v>4378</v>
      </c>
      <c r="Q689" s="1">
        <v>2007</v>
      </c>
      <c r="R689" s="1" t="s">
        <v>4379</v>
      </c>
      <c r="S689" s="1" t="s">
        <v>27</v>
      </c>
      <c r="T689" s="38">
        <v>1</v>
      </c>
      <c r="AY689" s="1">
        <v>800</v>
      </c>
      <c r="BF689" s="1">
        <v>3</v>
      </c>
      <c r="BW689" s="1">
        <v>3.1</v>
      </c>
    </row>
    <row r="690" spans="1:148" x14ac:dyDescent="0.2">
      <c r="A690" s="1" t="s">
        <v>4408</v>
      </c>
      <c r="B690" s="1" t="s">
        <v>55</v>
      </c>
      <c r="C690" s="1" t="s">
        <v>4373</v>
      </c>
      <c r="E690" s="1">
        <v>13</v>
      </c>
      <c r="F690" s="1" t="s">
        <v>4409</v>
      </c>
      <c r="G690" s="1" t="s">
        <v>4410</v>
      </c>
      <c r="H690" s="1" t="s">
        <v>4411</v>
      </c>
      <c r="I690" s="1" t="s">
        <v>7</v>
      </c>
      <c r="J690" s="1" t="s">
        <v>4412</v>
      </c>
      <c r="K690" s="1" t="s">
        <v>4413</v>
      </c>
      <c r="L690" s="1" t="s">
        <v>4414</v>
      </c>
      <c r="P690" s="1" t="s">
        <v>4378</v>
      </c>
      <c r="Q690" s="1">
        <v>2007</v>
      </c>
      <c r="R690" s="1" t="s">
        <v>4379</v>
      </c>
      <c r="S690" s="1" t="s">
        <v>27</v>
      </c>
      <c r="T690" s="38">
        <v>1</v>
      </c>
      <c r="AY690" s="1">
        <v>300</v>
      </c>
      <c r="BF690" s="1">
        <v>1.8</v>
      </c>
      <c r="BW690" s="1">
        <v>1.5</v>
      </c>
    </row>
    <row r="691" spans="1:148" x14ac:dyDescent="0.2">
      <c r="A691" s="1" t="s">
        <v>4415</v>
      </c>
      <c r="B691" s="1" t="s">
        <v>55</v>
      </c>
      <c r="C691" s="1" t="s">
        <v>4373</v>
      </c>
      <c r="E691" s="1">
        <v>11</v>
      </c>
      <c r="F691" s="1" t="s">
        <v>2131</v>
      </c>
      <c r="H691" s="1" t="s">
        <v>4416</v>
      </c>
      <c r="I691" s="1" t="s">
        <v>7</v>
      </c>
      <c r="J691" s="1" t="s">
        <v>4417</v>
      </c>
      <c r="L691" s="1" t="s">
        <v>4417</v>
      </c>
      <c r="P691" s="1" t="s">
        <v>4378</v>
      </c>
      <c r="Q691" s="1">
        <v>2007</v>
      </c>
      <c r="R691" s="1" t="s">
        <v>4379</v>
      </c>
      <c r="S691" s="1" t="s">
        <v>27</v>
      </c>
      <c r="T691" s="38">
        <v>1</v>
      </c>
      <c r="AY691" s="1">
        <v>0</v>
      </c>
      <c r="BF691" s="1">
        <v>2.5</v>
      </c>
    </row>
    <row r="692" spans="1:148" x14ac:dyDescent="0.2">
      <c r="A692" s="1" t="s">
        <v>4418</v>
      </c>
      <c r="B692" s="1" t="s">
        <v>55</v>
      </c>
      <c r="C692" s="1" t="s">
        <v>4373</v>
      </c>
      <c r="E692" s="1">
        <v>11</v>
      </c>
      <c r="F692" s="1" t="s">
        <v>1312</v>
      </c>
      <c r="H692" s="1" t="s">
        <v>4419</v>
      </c>
      <c r="I692" s="1" t="s">
        <v>7</v>
      </c>
      <c r="J692" s="1" t="s">
        <v>4420</v>
      </c>
      <c r="K692" s="1" t="s">
        <v>1315</v>
      </c>
      <c r="L692" s="1" t="s">
        <v>1314</v>
      </c>
      <c r="P692" s="1" t="s">
        <v>4378</v>
      </c>
      <c r="Q692" s="1">
        <v>2007</v>
      </c>
      <c r="R692" s="1" t="s">
        <v>4379</v>
      </c>
      <c r="S692" s="1" t="s">
        <v>27</v>
      </c>
      <c r="T692" s="38">
        <v>1</v>
      </c>
      <c r="BF692" s="1">
        <v>4.4000000000000004</v>
      </c>
    </row>
    <row r="693" spans="1:148" x14ac:dyDescent="0.2">
      <c r="A693" s="1" t="s">
        <v>4421</v>
      </c>
      <c r="B693" s="1" t="s">
        <v>55</v>
      </c>
      <c r="C693" s="1" t="s">
        <v>4422</v>
      </c>
      <c r="E693" s="1">
        <v>11</v>
      </c>
      <c r="F693" s="1" t="s">
        <v>4423</v>
      </c>
      <c r="G693" s="1" t="s">
        <v>4424</v>
      </c>
      <c r="H693" s="1" t="s">
        <v>4376</v>
      </c>
      <c r="I693" s="1" t="s">
        <v>7</v>
      </c>
      <c r="J693" s="1" t="s">
        <v>4425</v>
      </c>
      <c r="L693" s="1" t="s">
        <v>4426</v>
      </c>
      <c r="P693" s="1" t="s">
        <v>4378</v>
      </c>
      <c r="Q693" s="1">
        <v>2007</v>
      </c>
      <c r="R693" s="1" t="s">
        <v>4379</v>
      </c>
      <c r="S693" s="1" t="s">
        <v>27</v>
      </c>
      <c r="T693" s="38">
        <v>1</v>
      </c>
      <c r="BF693" s="1">
        <v>0.7</v>
      </c>
      <c r="BW693" s="1">
        <v>2.7</v>
      </c>
    </row>
    <row r="694" spans="1:148" x14ac:dyDescent="0.2">
      <c r="A694" s="1" t="s">
        <v>4427</v>
      </c>
      <c r="B694" s="1" t="s">
        <v>55</v>
      </c>
      <c r="C694" s="1" t="s">
        <v>4422</v>
      </c>
      <c r="E694" s="1">
        <v>11</v>
      </c>
      <c r="G694" s="1" t="s">
        <v>4428</v>
      </c>
      <c r="H694" s="1" t="s">
        <v>4376</v>
      </c>
      <c r="I694" s="1" t="s">
        <v>7</v>
      </c>
      <c r="J694" s="1" t="s">
        <v>4429</v>
      </c>
      <c r="P694" s="1" t="s">
        <v>4378</v>
      </c>
      <c r="Q694" s="1">
        <v>2007</v>
      </c>
      <c r="R694" s="1" t="s">
        <v>4379</v>
      </c>
      <c r="S694" s="1" t="s">
        <v>27</v>
      </c>
      <c r="T694" s="38">
        <v>1</v>
      </c>
      <c r="BF694" s="1">
        <v>1.2</v>
      </c>
      <c r="BW694" s="1">
        <v>2.2000000000000002</v>
      </c>
    </row>
    <row r="695" spans="1:148" x14ac:dyDescent="0.2">
      <c r="A695" s="1" t="s">
        <v>4430</v>
      </c>
      <c r="B695" s="1" t="s">
        <v>55</v>
      </c>
      <c r="C695" s="1" t="s">
        <v>4422</v>
      </c>
      <c r="E695" s="1">
        <v>33</v>
      </c>
      <c r="F695" s="1" t="s">
        <v>4381</v>
      </c>
      <c r="G695" s="1" t="s">
        <v>4431</v>
      </c>
      <c r="H695" s="1" t="s">
        <v>4376</v>
      </c>
      <c r="I695" s="1" t="s">
        <v>7</v>
      </c>
      <c r="J695" s="1" t="s">
        <v>4432</v>
      </c>
      <c r="K695" s="1" t="s">
        <v>4384</v>
      </c>
      <c r="L695" s="1" t="s">
        <v>4385</v>
      </c>
      <c r="P695" s="1" t="s">
        <v>4378</v>
      </c>
      <c r="Q695" s="1">
        <v>2007</v>
      </c>
      <c r="R695" s="1" t="s">
        <v>4379</v>
      </c>
      <c r="S695" s="1" t="s">
        <v>27</v>
      </c>
      <c r="T695" s="38">
        <v>1</v>
      </c>
      <c r="BF695" s="1">
        <v>1.4</v>
      </c>
      <c r="BW695" s="1">
        <v>1.6</v>
      </c>
    </row>
    <row r="696" spans="1:148" x14ac:dyDescent="0.2">
      <c r="A696" s="1" t="s">
        <v>4433</v>
      </c>
      <c r="B696" s="1" t="s">
        <v>55</v>
      </c>
      <c r="C696" s="1" t="s">
        <v>4422</v>
      </c>
      <c r="E696" s="1">
        <v>11</v>
      </c>
      <c r="F696" s="1" t="s">
        <v>1720</v>
      </c>
      <c r="G696" s="1" t="s">
        <v>4434</v>
      </c>
      <c r="H696" s="1" t="s">
        <v>4376</v>
      </c>
      <c r="I696" s="1" t="s">
        <v>7</v>
      </c>
      <c r="J696" s="1" t="s">
        <v>4435</v>
      </c>
      <c r="K696" s="1" t="s">
        <v>2787</v>
      </c>
      <c r="L696" s="1" t="s">
        <v>1724</v>
      </c>
      <c r="P696" s="1" t="s">
        <v>4378</v>
      </c>
      <c r="Q696" s="1">
        <v>2007</v>
      </c>
      <c r="R696" s="1" t="s">
        <v>4379</v>
      </c>
      <c r="S696" s="1" t="s">
        <v>27</v>
      </c>
      <c r="T696" s="38">
        <v>1</v>
      </c>
      <c r="BF696" s="1">
        <v>11.3</v>
      </c>
      <c r="BW696" s="1">
        <v>4.9000000000000004</v>
      </c>
    </row>
    <row r="697" spans="1:148" x14ac:dyDescent="0.2">
      <c r="A697" s="1" t="s">
        <v>4436</v>
      </c>
      <c r="B697" s="1" t="s">
        <v>55</v>
      </c>
      <c r="C697" s="1" t="s">
        <v>4422</v>
      </c>
      <c r="E697" s="1">
        <v>13</v>
      </c>
      <c r="F697" s="1" t="s">
        <v>4437</v>
      </c>
      <c r="H697" s="1" t="s">
        <v>4438</v>
      </c>
      <c r="I697" s="1" t="s">
        <v>7</v>
      </c>
      <c r="J697" s="1" t="s">
        <v>4439</v>
      </c>
      <c r="K697" s="1" t="s">
        <v>4440</v>
      </c>
      <c r="L697" s="1" t="s">
        <v>4439</v>
      </c>
      <c r="P697" s="1" t="s">
        <v>4378</v>
      </c>
      <c r="Q697" s="1">
        <v>2007</v>
      </c>
      <c r="R697" s="1" t="s">
        <v>4379</v>
      </c>
      <c r="S697" s="1" t="s">
        <v>27</v>
      </c>
      <c r="T697" s="38">
        <v>1</v>
      </c>
      <c r="BF697" s="1">
        <v>1.2</v>
      </c>
      <c r="BW697" s="1">
        <v>1.4</v>
      </c>
    </row>
    <row r="698" spans="1:148" x14ac:dyDescent="0.2">
      <c r="A698" s="1" t="s">
        <v>4441</v>
      </c>
      <c r="B698" s="1" t="s">
        <v>55</v>
      </c>
      <c r="C698" s="1" t="s">
        <v>4422</v>
      </c>
      <c r="E698" s="1">
        <v>13</v>
      </c>
      <c r="F698" s="1" t="s">
        <v>2440</v>
      </c>
      <c r="H698" s="1" t="s">
        <v>4442</v>
      </c>
      <c r="I698" s="1" t="s">
        <v>7</v>
      </c>
      <c r="J698" s="1" t="s">
        <v>2444</v>
      </c>
      <c r="L698" s="1" t="s">
        <v>2444</v>
      </c>
      <c r="P698" s="1" t="s">
        <v>4378</v>
      </c>
      <c r="Q698" s="1">
        <v>2007</v>
      </c>
      <c r="R698" s="1" t="s">
        <v>4379</v>
      </c>
      <c r="S698" s="1" t="s">
        <v>27</v>
      </c>
      <c r="T698" s="38">
        <v>1</v>
      </c>
      <c r="BF698" s="1">
        <v>1.5</v>
      </c>
      <c r="BW698" s="1">
        <v>1.5</v>
      </c>
    </row>
    <row r="699" spans="1:148" x14ac:dyDescent="0.2">
      <c r="A699" s="1" t="s">
        <v>4443</v>
      </c>
      <c r="B699" s="1" t="s">
        <v>55</v>
      </c>
      <c r="C699" s="1" t="s">
        <v>4444</v>
      </c>
      <c r="D699" s="1" t="s">
        <v>2</v>
      </c>
      <c r="E699" s="1">
        <v>23</v>
      </c>
      <c r="F699" s="1" t="s">
        <v>1471</v>
      </c>
      <c r="H699" s="1" t="s">
        <v>4445</v>
      </c>
      <c r="I699" s="1" t="s">
        <v>7</v>
      </c>
      <c r="J699" s="1" t="s">
        <v>1473</v>
      </c>
      <c r="K699" s="1" t="s">
        <v>1474</v>
      </c>
      <c r="L699" s="1" t="s">
        <v>1473</v>
      </c>
      <c r="M699" s="1" t="s">
        <v>4446</v>
      </c>
      <c r="N699" s="1" t="s">
        <v>4447</v>
      </c>
      <c r="P699" s="1" t="s">
        <v>1269</v>
      </c>
      <c r="Q699" s="1">
        <v>2007</v>
      </c>
      <c r="R699" s="1" t="s">
        <v>4448</v>
      </c>
      <c r="S699" s="1" t="s">
        <v>23</v>
      </c>
      <c r="T699" s="38">
        <v>1</v>
      </c>
      <c r="Z699" s="1" t="s">
        <v>4449</v>
      </c>
      <c r="AA699" s="1">
        <v>6.25</v>
      </c>
      <c r="AC699" s="1" t="s">
        <v>4450</v>
      </c>
      <c r="AI699" s="1" t="s">
        <v>4357</v>
      </c>
      <c r="AK699" s="1">
        <v>0.77973912499999998</v>
      </c>
      <c r="AL699" s="1">
        <v>0.70065848600000002</v>
      </c>
      <c r="AV699" s="1" t="s">
        <v>4451</v>
      </c>
      <c r="DR699" s="1">
        <v>7953</v>
      </c>
      <c r="DT699" s="1">
        <v>6074.4</v>
      </c>
      <c r="DU699" s="1">
        <v>1030</v>
      </c>
      <c r="DV699" s="1">
        <v>770.2</v>
      </c>
      <c r="DX699" s="1">
        <v>1493</v>
      </c>
      <c r="DZ699" s="1">
        <v>1901.2</v>
      </c>
      <c r="EB699" s="1">
        <v>903.8</v>
      </c>
      <c r="EC699" s="1">
        <v>902.8</v>
      </c>
      <c r="EF699" s="1">
        <v>535</v>
      </c>
      <c r="EG699" s="1">
        <v>1165.8</v>
      </c>
      <c r="EH699" s="1">
        <v>1409</v>
      </c>
      <c r="EI699" s="1">
        <v>272.5</v>
      </c>
      <c r="EK699" s="1">
        <v>650</v>
      </c>
      <c r="EM699" s="1">
        <v>643</v>
      </c>
      <c r="EO699" s="1">
        <v>746.2</v>
      </c>
      <c r="EQ699" s="1">
        <v>500.2</v>
      </c>
      <c r="ER699" s="1">
        <v>603.29999999999995</v>
      </c>
    </row>
    <row r="700" spans="1:148" x14ac:dyDescent="0.2">
      <c r="A700" s="1" t="s">
        <v>4452</v>
      </c>
      <c r="B700" s="1" t="s">
        <v>55</v>
      </c>
      <c r="C700" s="1" t="s">
        <v>4444</v>
      </c>
      <c r="D700" s="1" t="s">
        <v>2</v>
      </c>
      <c r="E700" s="1">
        <v>23</v>
      </c>
      <c r="F700" s="1" t="s">
        <v>1471</v>
      </c>
      <c r="H700" s="1" t="s">
        <v>4453</v>
      </c>
      <c r="I700" s="1" t="s">
        <v>11</v>
      </c>
      <c r="J700" s="1" t="s">
        <v>1473</v>
      </c>
      <c r="K700" s="1" t="s">
        <v>1474</v>
      </c>
      <c r="L700" s="1" t="s">
        <v>1473</v>
      </c>
      <c r="M700" s="1" t="s">
        <v>4446</v>
      </c>
      <c r="N700" s="1" t="s">
        <v>4454</v>
      </c>
      <c r="P700" s="1" t="s">
        <v>1269</v>
      </c>
      <c r="Q700" s="1">
        <v>2007</v>
      </c>
      <c r="R700" s="1" t="s">
        <v>4448</v>
      </c>
      <c r="S700" s="1" t="s">
        <v>23</v>
      </c>
      <c r="T700" s="38">
        <v>1</v>
      </c>
      <c r="Z700" s="1" t="s">
        <v>4455</v>
      </c>
      <c r="AA700" s="1">
        <v>6.25</v>
      </c>
      <c r="AC700" s="1" t="s">
        <v>4456</v>
      </c>
      <c r="AI700" s="1" t="s">
        <v>4457</v>
      </c>
      <c r="AK700" s="1">
        <v>1.8335134399999999</v>
      </c>
      <c r="AL700" s="1">
        <v>1.9193958600000001</v>
      </c>
      <c r="AV700" s="1" t="s">
        <v>4458</v>
      </c>
      <c r="DR700" s="1">
        <v>11570.2</v>
      </c>
      <c r="DT700" s="1">
        <v>10284.51</v>
      </c>
      <c r="DU700" s="1">
        <v>1460</v>
      </c>
      <c r="DV700" s="1">
        <v>1413.7</v>
      </c>
      <c r="DX700" s="1">
        <v>2445.6999999999998</v>
      </c>
      <c r="DZ700" s="1">
        <v>3633.5</v>
      </c>
      <c r="EB700" s="1">
        <v>1633.8</v>
      </c>
      <c r="EC700" s="1">
        <v>1085.3</v>
      </c>
      <c r="EF700" s="1">
        <v>884.17</v>
      </c>
      <c r="EG700" s="1">
        <v>1687.01</v>
      </c>
      <c r="EH700" s="1">
        <v>2016</v>
      </c>
      <c r="EI700" s="1">
        <v>497.2</v>
      </c>
      <c r="EK700" s="1">
        <v>1012.2</v>
      </c>
      <c r="EM700" s="1">
        <v>1082.2</v>
      </c>
      <c r="EO700" s="1">
        <v>1114.3</v>
      </c>
      <c r="EQ700" s="1">
        <v>762.17</v>
      </c>
      <c r="ER700" s="1">
        <v>998</v>
      </c>
    </row>
    <row r="701" spans="1:148" x14ac:dyDescent="0.2">
      <c r="A701" s="1" t="s">
        <v>4459</v>
      </c>
      <c r="B701" s="1" t="s">
        <v>55</v>
      </c>
      <c r="C701" s="1" t="s">
        <v>4444</v>
      </c>
      <c r="D701" s="1" t="s">
        <v>2</v>
      </c>
      <c r="E701" s="1">
        <v>23</v>
      </c>
      <c r="F701" s="1" t="s">
        <v>1471</v>
      </c>
      <c r="H701" s="1" t="s">
        <v>4460</v>
      </c>
      <c r="I701" s="1" t="s">
        <v>11</v>
      </c>
      <c r="J701" s="1" t="s">
        <v>1473</v>
      </c>
      <c r="K701" s="1" t="s">
        <v>1474</v>
      </c>
      <c r="L701" s="1" t="s">
        <v>1473</v>
      </c>
      <c r="M701" s="1" t="s">
        <v>4446</v>
      </c>
      <c r="N701" s="1" t="s">
        <v>4447</v>
      </c>
      <c r="P701" s="1" t="s">
        <v>1269</v>
      </c>
      <c r="Q701" s="1">
        <v>2007</v>
      </c>
      <c r="R701" s="1" t="s">
        <v>4448</v>
      </c>
      <c r="S701" s="1" t="s">
        <v>23</v>
      </c>
      <c r="T701" s="38">
        <v>1</v>
      </c>
      <c r="Z701" s="1">
        <v>58.92</v>
      </c>
      <c r="AA701" s="1">
        <v>6.25</v>
      </c>
      <c r="AC701" s="1">
        <v>32.07</v>
      </c>
      <c r="AI701" s="1">
        <v>7.87</v>
      </c>
      <c r="AK701" s="1">
        <v>2.5796560930000001</v>
      </c>
      <c r="AL701" s="1">
        <v>2.6559730190000002</v>
      </c>
      <c r="AV701" s="1">
        <v>2.41</v>
      </c>
      <c r="DR701" s="1">
        <v>12092.03</v>
      </c>
      <c r="DT701" s="1">
        <v>10671.07</v>
      </c>
      <c r="DU701" s="1">
        <v>1488</v>
      </c>
      <c r="DV701" s="1">
        <v>1586.3</v>
      </c>
      <c r="DX701" s="1">
        <v>2292.1999999999998</v>
      </c>
      <c r="DZ701" s="1">
        <v>3815.7</v>
      </c>
      <c r="EB701" s="1">
        <v>1922.8</v>
      </c>
      <c r="EC701" s="1">
        <v>1094.8</v>
      </c>
      <c r="EF701" s="1">
        <v>881.33</v>
      </c>
      <c r="EG701" s="1">
        <v>1721.8</v>
      </c>
      <c r="EH701" s="1">
        <v>2038.5</v>
      </c>
      <c r="EI701" s="1">
        <v>682.7</v>
      </c>
      <c r="EK701" s="1">
        <v>999.2</v>
      </c>
      <c r="EM701" s="1">
        <v>1071.7</v>
      </c>
      <c r="EO701" s="1">
        <v>1147.5</v>
      </c>
      <c r="EQ701" s="1">
        <v>742.83</v>
      </c>
      <c r="ER701" s="1">
        <v>1198.3</v>
      </c>
    </row>
    <row r="702" spans="1:148" x14ac:dyDescent="0.2">
      <c r="A702" s="1" t="s">
        <v>4461</v>
      </c>
      <c r="B702" s="1" t="s">
        <v>57</v>
      </c>
      <c r="C702" s="1" t="s">
        <v>4462</v>
      </c>
      <c r="D702" s="1" t="s">
        <v>2</v>
      </c>
      <c r="E702" s="1">
        <v>56</v>
      </c>
      <c r="F702" s="1" t="s">
        <v>4463</v>
      </c>
      <c r="H702" s="1" t="s">
        <v>4464</v>
      </c>
      <c r="I702" s="1" t="s">
        <v>7</v>
      </c>
      <c r="J702" s="1" t="s">
        <v>4465</v>
      </c>
      <c r="K702" s="1" t="s">
        <v>4466</v>
      </c>
      <c r="L702" s="1" t="s">
        <v>4465</v>
      </c>
      <c r="M702" s="1" t="s">
        <v>4467</v>
      </c>
      <c r="P702" s="1" t="s">
        <v>4468</v>
      </c>
      <c r="Q702" s="1">
        <v>2011</v>
      </c>
      <c r="R702" s="1" t="s">
        <v>4469</v>
      </c>
      <c r="S702" s="1" t="s">
        <v>23</v>
      </c>
      <c r="T702" s="38">
        <v>1</v>
      </c>
      <c r="U702" s="1">
        <v>0.24399999999999999</v>
      </c>
      <c r="Z702" s="1">
        <v>85.96</v>
      </c>
      <c r="AA702" s="1">
        <v>6.25</v>
      </c>
      <c r="AB702" s="1">
        <v>1.31</v>
      </c>
      <c r="AC702" s="1">
        <v>6.67</v>
      </c>
      <c r="AG702" s="1">
        <v>250</v>
      </c>
      <c r="AH702" s="1">
        <v>2.25</v>
      </c>
      <c r="AR702" s="1">
        <v>0.38</v>
      </c>
      <c r="AV702" s="1">
        <v>3.42</v>
      </c>
    </row>
    <row r="703" spans="1:148" x14ac:dyDescent="0.2">
      <c r="A703" s="1" t="s">
        <v>4470</v>
      </c>
      <c r="B703" s="1" t="s">
        <v>57</v>
      </c>
      <c r="C703" s="1" t="s">
        <v>4462</v>
      </c>
      <c r="D703" s="1" t="s">
        <v>2</v>
      </c>
      <c r="E703" s="1">
        <v>56</v>
      </c>
      <c r="F703" s="1" t="s">
        <v>4463</v>
      </c>
      <c r="H703" s="1" t="s">
        <v>4464</v>
      </c>
      <c r="I703" s="1" t="s">
        <v>7</v>
      </c>
      <c r="J703" s="1" t="s">
        <v>4465</v>
      </c>
      <c r="K703" s="1" t="s">
        <v>4466</v>
      </c>
      <c r="L703" s="1" t="s">
        <v>4465</v>
      </c>
      <c r="M703" s="1" t="s">
        <v>4471</v>
      </c>
      <c r="P703" s="1" t="s">
        <v>4468</v>
      </c>
      <c r="Q703" s="1">
        <v>2011</v>
      </c>
      <c r="R703" s="1" t="s">
        <v>4469</v>
      </c>
      <c r="S703" s="1" t="s">
        <v>23</v>
      </c>
      <c r="T703" s="38">
        <v>1</v>
      </c>
      <c r="U703" s="1">
        <v>0.24</v>
      </c>
      <c r="Z703" s="1">
        <v>83.84</v>
      </c>
      <c r="AA703" s="1">
        <v>6.25</v>
      </c>
      <c r="AB703" s="1">
        <v>1.37</v>
      </c>
      <c r="AD703" s="1">
        <v>7.13</v>
      </c>
      <c r="AG703" s="1">
        <v>230</v>
      </c>
      <c r="AH703" s="1">
        <v>1.71</v>
      </c>
      <c r="AR703" s="1">
        <v>1.44</v>
      </c>
      <c r="AV703" s="1">
        <v>3.59</v>
      </c>
    </row>
    <row r="704" spans="1:148" x14ac:dyDescent="0.2">
      <c r="A704" s="1" t="s">
        <v>4472</v>
      </c>
      <c r="B704" s="1" t="s">
        <v>57</v>
      </c>
      <c r="C704" s="1" t="s">
        <v>4462</v>
      </c>
      <c r="D704" s="1" t="s">
        <v>2</v>
      </c>
      <c r="E704" s="1">
        <v>56</v>
      </c>
      <c r="F704" s="1" t="s">
        <v>4463</v>
      </c>
      <c r="H704" s="1" t="s">
        <v>4464</v>
      </c>
      <c r="I704" s="1" t="s">
        <v>7</v>
      </c>
      <c r="J704" s="1" t="s">
        <v>4465</v>
      </c>
      <c r="K704" s="1" t="s">
        <v>4466</v>
      </c>
      <c r="L704" s="1" t="s">
        <v>4465</v>
      </c>
      <c r="M704" s="1" t="s">
        <v>4473</v>
      </c>
      <c r="P704" s="1" t="s">
        <v>4468</v>
      </c>
      <c r="Q704" s="1">
        <v>2011</v>
      </c>
      <c r="R704" s="1" t="s">
        <v>4469</v>
      </c>
      <c r="S704" s="1" t="s">
        <v>23</v>
      </c>
      <c r="T704" s="38">
        <v>1</v>
      </c>
      <c r="U704" s="1">
        <v>0.27</v>
      </c>
      <c r="Z704" s="1">
        <v>85.87</v>
      </c>
      <c r="AA704" s="1">
        <v>6.25</v>
      </c>
      <c r="AB704" s="1">
        <v>1.28</v>
      </c>
      <c r="AD704" s="1">
        <v>7.11</v>
      </c>
      <c r="AG704" s="1">
        <v>150</v>
      </c>
      <c r="AH704" s="1">
        <v>0.2</v>
      </c>
      <c r="AR704" s="1">
        <v>0.84</v>
      </c>
      <c r="AV704" s="1">
        <v>2.99</v>
      </c>
    </row>
    <row r="705" spans="1:153" x14ac:dyDescent="0.2">
      <c r="A705" s="1" t="s">
        <v>4474</v>
      </c>
      <c r="B705" s="1" t="s">
        <v>57</v>
      </c>
      <c r="C705" s="1" t="s">
        <v>4462</v>
      </c>
      <c r="D705" s="1" t="s">
        <v>2</v>
      </c>
      <c r="E705" s="1">
        <v>56</v>
      </c>
      <c r="F705" s="1" t="s">
        <v>4463</v>
      </c>
      <c r="H705" s="1" t="s">
        <v>4464</v>
      </c>
      <c r="I705" s="1" t="s">
        <v>7</v>
      </c>
      <c r="J705" s="1" t="s">
        <v>4465</v>
      </c>
      <c r="K705" s="1" t="s">
        <v>4466</v>
      </c>
      <c r="L705" s="1" t="s">
        <v>4465</v>
      </c>
      <c r="M705" s="1" t="s">
        <v>2070</v>
      </c>
      <c r="P705" s="1" t="s">
        <v>4468</v>
      </c>
      <c r="Q705" s="1">
        <v>2011</v>
      </c>
      <c r="R705" s="1" t="s">
        <v>4469</v>
      </c>
      <c r="S705" s="1" t="s">
        <v>23</v>
      </c>
      <c r="T705" s="38">
        <v>1</v>
      </c>
      <c r="U705" s="1">
        <v>0.30599999999999999</v>
      </c>
      <c r="Z705" s="1" t="s">
        <v>4475</v>
      </c>
      <c r="AA705" s="1">
        <v>6.25</v>
      </c>
      <c r="AB705" s="1">
        <v>1.39</v>
      </c>
      <c r="AD705" s="1" t="s">
        <v>4476</v>
      </c>
      <c r="AG705" s="1">
        <v>170</v>
      </c>
      <c r="AH705" s="1" t="s">
        <v>4477</v>
      </c>
      <c r="AR705" s="1" t="s">
        <v>4478</v>
      </c>
      <c r="AV705" s="1" t="s">
        <v>4479</v>
      </c>
    </row>
    <row r="706" spans="1:153" x14ac:dyDescent="0.2">
      <c r="A706" s="1" t="s">
        <v>4480</v>
      </c>
      <c r="B706" s="1" t="s">
        <v>57</v>
      </c>
      <c r="C706" s="1" t="s">
        <v>4462</v>
      </c>
      <c r="D706" s="1" t="s">
        <v>2</v>
      </c>
      <c r="E706" s="1">
        <v>56</v>
      </c>
      <c r="F706" s="1" t="s">
        <v>4463</v>
      </c>
      <c r="H706" s="1" t="s">
        <v>4464</v>
      </c>
      <c r="I706" s="1" t="s">
        <v>7</v>
      </c>
      <c r="J706" s="1" t="s">
        <v>4465</v>
      </c>
      <c r="K706" s="1" t="s">
        <v>4466</v>
      </c>
      <c r="L706" s="1" t="s">
        <v>4465</v>
      </c>
      <c r="M706" s="1" t="s">
        <v>4481</v>
      </c>
      <c r="P706" s="1" t="s">
        <v>4468</v>
      </c>
      <c r="Q706" s="1">
        <v>2011</v>
      </c>
      <c r="R706" s="1" t="s">
        <v>4469</v>
      </c>
      <c r="S706" s="1" t="s">
        <v>23</v>
      </c>
      <c r="T706" s="38">
        <v>1</v>
      </c>
      <c r="U706" s="1">
        <v>0.31900000000000001</v>
      </c>
      <c r="Z706" s="1">
        <v>83.59</v>
      </c>
      <c r="AA706" s="1">
        <v>6.25</v>
      </c>
      <c r="AB706" s="1">
        <v>1.35</v>
      </c>
      <c r="AD706" s="1">
        <v>8.48</v>
      </c>
      <c r="AG706" s="1">
        <v>0</v>
      </c>
      <c r="AH706" s="1">
        <v>1.22</v>
      </c>
      <c r="AR706" s="1">
        <v>0.79</v>
      </c>
      <c r="AV706" s="1">
        <v>3.1</v>
      </c>
    </row>
    <row r="707" spans="1:153" x14ac:dyDescent="0.2">
      <c r="A707" s="1" t="s">
        <v>4482</v>
      </c>
      <c r="B707" s="1" t="s">
        <v>57</v>
      </c>
      <c r="C707" s="1" t="s">
        <v>4462</v>
      </c>
      <c r="D707" s="1" t="s">
        <v>2</v>
      </c>
      <c r="E707" s="1">
        <v>56</v>
      </c>
      <c r="F707" s="1" t="s">
        <v>4463</v>
      </c>
      <c r="H707" s="1" t="s">
        <v>4464</v>
      </c>
      <c r="I707" s="1" t="s">
        <v>7</v>
      </c>
      <c r="J707" s="1" t="s">
        <v>4465</v>
      </c>
      <c r="K707" s="1" t="s">
        <v>4466</v>
      </c>
      <c r="L707" s="1" t="s">
        <v>4465</v>
      </c>
      <c r="M707" s="1" t="s">
        <v>4483</v>
      </c>
      <c r="P707" s="1" t="s">
        <v>4468</v>
      </c>
      <c r="Q707" s="1">
        <v>2011</v>
      </c>
      <c r="R707" s="1" t="s">
        <v>4469</v>
      </c>
      <c r="S707" s="1" t="s">
        <v>23</v>
      </c>
      <c r="T707" s="38">
        <v>1</v>
      </c>
      <c r="U707" s="1">
        <v>0.23100000000000001</v>
      </c>
      <c r="Z707" s="1">
        <v>82.55</v>
      </c>
      <c r="AA707" s="1">
        <v>6.25</v>
      </c>
      <c r="AB707" s="1">
        <v>1.52</v>
      </c>
      <c r="AD707" s="1">
        <v>8.66</v>
      </c>
      <c r="AG707" s="1">
        <v>130</v>
      </c>
      <c r="AH707" s="1">
        <v>0.53</v>
      </c>
      <c r="AR707" s="1">
        <v>1.91</v>
      </c>
      <c r="AV707" s="1">
        <v>3.21</v>
      </c>
    </row>
    <row r="708" spans="1:153" x14ac:dyDescent="0.2">
      <c r="A708" s="1" t="s">
        <v>4484</v>
      </c>
      <c r="B708" s="1" t="s">
        <v>57</v>
      </c>
      <c r="C708" s="1" t="s">
        <v>4462</v>
      </c>
      <c r="D708" s="1" t="s">
        <v>2</v>
      </c>
      <c r="E708" s="1">
        <v>56</v>
      </c>
      <c r="F708" s="1" t="s">
        <v>4463</v>
      </c>
      <c r="H708" s="1" t="s">
        <v>4464</v>
      </c>
      <c r="I708" s="1" t="s">
        <v>7</v>
      </c>
      <c r="J708" s="1" t="s">
        <v>4465</v>
      </c>
      <c r="K708" s="1" t="s">
        <v>4466</v>
      </c>
      <c r="L708" s="1" t="s">
        <v>4465</v>
      </c>
      <c r="M708" s="1" t="s">
        <v>4485</v>
      </c>
      <c r="P708" s="1" t="s">
        <v>4468</v>
      </c>
      <c r="Q708" s="1">
        <v>2011</v>
      </c>
      <c r="R708" s="1" t="s">
        <v>4469</v>
      </c>
      <c r="S708" s="1" t="s">
        <v>23</v>
      </c>
      <c r="T708" s="38">
        <v>1</v>
      </c>
      <c r="U708" s="1">
        <v>0.28299999999999997</v>
      </c>
      <c r="Z708" s="1">
        <v>84.51</v>
      </c>
      <c r="AA708" s="1">
        <v>6.25</v>
      </c>
      <c r="AB708" s="1">
        <v>1.37</v>
      </c>
      <c r="AD708" s="1">
        <v>8.52</v>
      </c>
      <c r="AG708" s="1">
        <v>0</v>
      </c>
      <c r="AH708" s="1">
        <v>0.87</v>
      </c>
      <c r="AR708" s="1">
        <v>0.38</v>
      </c>
      <c r="AV708" s="1">
        <v>3.05</v>
      </c>
    </row>
    <row r="709" spans="1:153" x14ac:dyDescent="0.2">
      <c r="A709" s="1" t="s">
        <v>4486</v>
      </c>
      <c r="B709" s="1" t="s">
        <v>57</v>
      </c>
      <c r="C709" s="1" t="s">
        <v>4462</v>
      </c>
      <c r="D709" s="1" t="s">
        <v>2</v>
      </c>
      <c r="E709" s="1">
        <v>56</v>
      </c>
      <c r="F709" s="1" t="s">
        <v>4463</v>
      </c>
      <c r="H709" s="1" t="s">
        <v>4464</v>
      </c>
      <c r="I709" s="1" t="s">
        <v>7</v>
      </c>
      <c r="J709" s="1" t="s">
        <v>4465</v>
      </c>
      <c r="K709" s="1" t="s">
        <v>4466</v>
      </c>
      <c r="L709" s="1" t="s">
        <v>4465</v>
      </c>
      <c r="M709" s="1" t="s">
        <v>4487</v>
      </c>
      <c r="P709" s="1" t="s">
        <v>4468</v>
      </c>
      <c r="Q709" s="1">
        <v>2011</v>
      </c>
      <c r="R709" s="1" t="s">
        <v>4469</v>
      </c>
      <c r="S709" s="1" t="s">
        <v>23</v>
      </c>
      <c r="T709" s="38">
        <v>1</v>
      </c>
      <c r="U709" s="1">
        <v>0.26500000000000001</v>
      </c>
      <c r="Z709" s="1">
        <v>84.61</v>
      </c>
      <c r="AA709" s="1">
        <v>6.25</v>
      </c>
      <c r="AB709" s="1">
        <v>1.47</v>
      </c>
      <c r="AD709" s="1">
        <v>7.47</v>
      </c>
      <c r="AG709" s="1">
        <v>270</v>
      </c>
      <c r="AH709" s="1">
        <v>0.72</v>
      </c>
      <c r="AR709" s="1">
        <v>1.47</v>
      </c>
      <c r="AV709" s="1">
        <v>2.83</v>
      </c>
    </row>
    <row r="710" spans="1:153" x14ac:dyDescent="0.2">
      <c r="A710" s="1" t="s">
        <v>4488</v>
      </c>
      <c r="B710" s="1" t="s">
        <v>57</v>
      </c>
      <c r="C710" s="1" t="s">
        <v>4462</v>
      </c>
      <c r="D710" s="1" t="s">
        <v>2</v>
      </c>
      <c r="E710" s="1">
        <v>56</v>
      </c>
      <c r="F710" s="1" t="s">
        <v>4463</v>
      </c>
      <c r="H710" s="1" t="s">
        <v>4464</v>
      </c>
      <c r="I710" s="1" t="s">
        <v>7</v>
      </c>
      <c r="J710" s="1" t="s">
        <v>4465</v>
      </c>
      <c r="K710" s="1" t="s">
        <v>4466</v>
      </c>
      <c r="L710" s="1" t="s">
        <v>4465</v>
      </c>
      <c r="M710" s="1" t="s">
        <v>4489</v>
      </c>
      <c r="P710" s="1" t="s">
        <v>4468</v>
      </c>
      <c r="Q710" s="1">
        <v>2011</v>
      </c>
      <c r="R710" s="1" t="s">
        <v>4469</v>
      </c>
      <c r="S710" s="1" t="s">
        <v>23</v>
      </c>
      <c r="T710" s="38">
        <v>1</v>
      </c>
      <c r="U710" s="1">
        <v>0.27200000000000002</v>
      </c>
      <c r="Z710" s="1">
        <v>84.43</v>
      </c>
      <c r="AA710" s="1">
        <v>6.25</v>
      </c>
      <c r="AB710" s="1">
        <v>1.44</v>
      </c>
      <c r="AD710" s="1">
        <v>7.6</v>
      </c>
      <c r="AG710" s="1">
        <v>220</v>
      </c>
      <c r="AH710" s="1">
        <v>1.23</v>
      </c>
      <c r="AR710" s="1">
        <v>2.62</v>
      </c>
      <c r="AV710" s="1">
        <v>2.89</v>
      </c>
    </row>
    <row r="711" spans="1:153" x14ac:dyDescent="0.2">
      <c r="A711" s="1" t="s">
        <v>4490</v>
      </c>
      <c r="B711" s="1" t="s">
        <v>57</v>
      </c>
      <c r="C711" s="1" t="s">
        <v>4462</v>
      </c>
      <c r="D711" s="1" t="s">
        <v>2</v>
      </c>
      <c r="E711" s="1">
        <v>56</v>
      </c>
      <c r="F711" s="1" t="s">
        <v>4463</v>
      </c>
      <c r="H711" s="1" t="s">
        <v>4464</v>
      </c>
      <c r="I711" s="1" t="s">
        <v>7</v>
      </c>
      <c r="J711" s="1" t="s">
        <v>4465</v>
      </c>
      <c r="K711" s="1" t="s">
        <v>4466</v>
      </c>
      <c r="L711" s="1" t="s">
        <v>4465</v>
      </c>
      <c r="M711" s="1" t="s">
        <v>4491</v>
      </c>
      <c r="P711" s="1" t="s">
        <v>4468</v>
      </c>
      <c r="Q711" s="1">
        <v>2011</v>
      </c>
      <c r="R711" s="1" t="s">
        <v>4469</v>
      </c>
      <c r="S711" s="1" t="s">
        <v>23</v>
      </c>
      <c r="T711" s="38">
        <v>1</v>
      </c>
      <c r="U711" s="1">
        <v>0.30199999999999999</v>
      </c>
      <c r="Z711" s="1">
        <v>86.37</v>
      </c>
      <c r="AA711" s="1">
        <v>6.25</v>
      </c>
      <c r="AB711" s="1">
        <v>1.19</v>
      </c>
      <c r="AD711" s="1">
        <v>6.25</v>
      </c>
      <c r="AG711" s="1">
        <v>190</v>
      </c>
      <c r="AH711" s="1">
        <v>0.26</v>
      </c>
      <c r="AR711" s="1">
        <v>1.35</v>
      </c>
      <c r="AV711" s="1">
        <v>2.88</v>
      </c>
    </row>
    <row r="712" spans="1:153" x14ac:dyDescent="0.2">
      <c r="A712" s="1" t="s">
        <v>4492</v>
      </c>
      <c r="B712" s="1" t="s">
        <v>57</v>
      </c>
      <c r="C712" s="1" t="s">
        <v>4462</v>
      </c>
      <c r="D712" s="1" t="s">
        <v>2</v>
      </c>
      <c r="E712" s="1">
        <v>56</v>
      </c>
      <c r="F712" s="1" t="s">
        <v>4463</v>
      </c>
      <c r="H712" s="1" t="s">
        <v>4464</v>
      </c>
      <c r="I712" s="1" t="s">
        <v>7</v>
      </c>
      <c r="J712" s="1" t="s">
        <v>4465</v>
      </c>
      <c r="K712" s="1" t="s">
        <v>4466</v>
      </c>
      <c r="L712" s="1" t="s">
        <v>4465</v>
      </c>
      <c r="M712" s="1" t="s">
        <v>4493</v>
      </c>
      <c r="P712" s="1" t="s">
        <v>4468</v>
      </c>
      <c r="Q712" s="1">
        <v>2011</v>
      </c>
      <c r="R712" s="1" t="s">
        <v>4469</v>
      </c>
      <c r="S712" s="1" t="s">
        <v>23</v>
      </c>
      <c r="T712" s="38">
        <v>1</v>
      </c>
      <c r="U712" s="1">
        <v>0.29599999999999999</v>
      </c>
      <c r="Z712" s="1">
        <v>86.85</v>
      </c>
      <c r="AA712" s="1">
        <v>6.25</v>
      </c>
      <c r="AB712" s="1">
        <v>1.21</v>
      </c>
      <c r="AD712" s="1">
        <v>6.69</v>
      </c>
      <c r="AG712" s="1">
        <v>140</v>
      </c>
      <c r="AH712" s="1">
        <v>0.48</v>
      </c>
      <c r="AR712" s="1">
        <v>0.96</v>
      </c>
      <c r="AV712" s="1">
        <v>2.74</v>
      </c>
    </row>
    <row r="713" spans="1:153" x14ac:dyDescent="0.2">
      <c r="A713" s="1" t="s">
        <v>4494</v>
      </c>
      <c r="B713" s="1" t="s">
        <v>57</v>
      </c>
      <c r="C713" s="1" t="s">
        <v>4462</v>
      </c>
      <c r="D713" s="1" t="s">
        <v>2</v>
      </c>
      <c r="E713" s="1">
        <v>56</v>
      </c>
      <c r="F713" s="1" t="s">
        <v>4463</v>
      </c>
      <c r="H713" s="1" t="s">
        <v>4464</v>
      </c>
      <c r="I713" s="1" t="s">
        <v>7</v>
      </c>
      <c r="J713" s="1" t="s">
        <v>4465</v>
      </c>
      <c r="K713" s="1" t="s">
        <v>4466</v>
      </c>
      <c r="L713" s="1" t="s">
        <v>4465</v>
      </c>
      <c r="M713" s="1" t="s">
        <v>4495</v>
      </c>
      <c r="P713" s="1" t="s">
        <v>4468</v>
      </c>
      <c r="Q713" s="1">
        <v>2011</v>
      </c>
      <c r="R713" s="1" t="s">
        <v>4469</v>
      </c>
      <c r="S713" s="1" t="s">
        <v>23</v>
      </c>
      <c r="T713" s="38">
        <v>1</v>
      </c>
      <c r="U713" s="1">
        <v>0.3</v>
      </c>
      <c r="Z713" s="1">
        <v>86.33</v>
      </c>
      <c r="AA713" s="1">
        <v>6.25</v>
      </c>
      <c r="AB713" s="1">
        <v>1.17</v>
      </c>
      <c r="AD713" s="1">
        <v>5.9</v>
      </c>
      <c r="AG713" s="1">
        <v>230</v>
      </c>
      <c r="AH713" s="1">
        <v>0.36</v>
      </c>
      <c r="AR713" s="1">
        <v>1.88</v>
      </c>
      <c r="AV713" s="1">
        <v>3.13</v>
      </c>
    </row>
    <row r="714" spans="1:153" x14ac:dyDescent="0.2">
      <c r="A714" s="1" t="s">
        <v>4496</v>
      </c>
      <c r="B714" s="1" t="s">
        <v>55</v>
      </c>
      <c r="C714" s="1" t="s">
        <v>4497</v>
      </c>
      <c r="D714" s="1" t="s">
        <v>2</v>
      </c>
      <c r="E714" s="1">
        <v>13</v>
      </c>
      <c r="F714" s="1" t="s">
        <v>4498</v>
      </c>
      <c r="H714" s="1" t="s">
        <v>4499</v>
      </c>
      <c r="I714" s="1" t="s">
        <v>7</v>
      </c>
      <c r="J714" s="1" t="s">
        <v>4500</v>
      </c>
      <c r="K714" s="1" t="s">
        <v>4501</v>
      </c>
      <c r="L714" s="1" t="s">
        <v>4502</v>
      </c>
      <c r="M714" s="1" t="s">
        <v>4503</v>
      </c>
      <c r="N714" s="1" t="s">
        <v>4504</v>
      </c>
      <c r="P714" s="1" t="s">
        <v>1269</v>
      </c>
      <c r="Q714" s="1">
        <v>2006</v>
      </c>
      <c r="R714" s="1" t="s">
        <v>4505</v>
      </c>
      <c r="S714" s="1" t="s">
        <v>23</v>
      </c>
      <c r="T714" s="38">
        <v>1</v>
      </c>
      <c r="AH714" s="1">
        <v>1.1599999999999999</v>
      </c>
      <c r="AK714" s="1">
        <v>0.26111983999999999</v>
      </c>
      <c r="AL714" s="1">
        <v>0.15498120000000001</v>
      </c>
    </row>
    <row r="715" spans="1:153" x14ac:dyDescent="0.2">
      <c r="A715" s="1" t="s">
        <v>4506</v>
      </c>
      <c r="B715" s="1" t="s">
        <v>55</v>
      </c>
      <c r="C715" s="1" t="s">
        <v>4507</v>
      </c>
      <c r="D715" s="1" t="s">
        <v>2</v>
      </c>
      <c r="E715" s="1">
        <v>13</v>
      </c>
      <c r="F715" s="1" t="s">
        <v>4498</v>
      </c>
      <c r="H715" s="1" t="s">
        <v>4508</v>
      </c>
      <c r="I715" s="1" t="s">
        <v>7</v>
      </c>
      <c r="J715" s="1" t="s">
        <v>4500</v>
      </c>
      <c r="K715" s="1" t="s">
        <v>4501</v>
      </c>
      <c r="L715" s="1" t="s">
        <v>4502</v>
      </c>
      <c r="M715" s="1" t="s">
        <v>4503</v>
      </c>
      <c r="N715" s="1" t="s">
        <v>4509</v>
      </c>
      <c r="P715" s="1" t="s">
        <v>1269</v>
      </c>
      <c r="Q715" s="1">
        <v>2006</v>
      </c>
      <c r="R715" s="1" t="s">
        <v>4505</v>
      </c>
      <c r="S715" s="1" t="s">
        <v>23</v>
      </c>
      <c r="T715" s="38">
        <v>1</v>
      </c>
      <c r="AH715" s="1">
        <v>1.26</v>
      </c>
      <c r="AK715" s="1">
        <v>0.27569885999999999</v>
      </c>
      <c r="AL715" s="1">
        <v>0.17966892000000001</v>
      </c>
    </row>
    <row r="716" spans="1:153" x14ac:dyDescent="0.2">
      <c r="A716" s="1" t="s">
        <v>4510</v>
      </c>
      <c r="B716" s="1" t="s">
        <v>55</v>
      </c>
      <c r="C716" s="1" t="s">
        <v>4511</v>
      </c>
      <c r="D716" s="1" t="s">
        <v>2</v>
      </c>
      <c r="E716" s="1">
        <v>13</v>
      </c>
      <c r="F716" s="1" t="s">
        <v>4498</v>
      </c>
      <c r="H716" s="1" t="s">
        <v>4512</v>
      </c>
      <c r="I716" s="1" t="s">
        <v>7</v>
      </c>
      <c r="J716" s="1" t="s">
        <v>4500</v>
      </c>
      <c r="K716" s="1" t="s">
        <v>4501</v>
      </c>
      <c r="L716" s="1" t="s">
        <v>4502</v>
      </c>
      <c r="M716" s="1" t="s">
        <v>4503</v>
      </c>
      <c r="N716" s="1" t="s">
        <v>4513</v>
      </c>
      <c r="P716" s="1" t="s">
        <v>1269</v>
      </c>
      <c r="Q716" s="1">
        <v>2006</v>
      </c>
      <c r="R716" s="1" t="s">
        <v>4505</v>
      </c>
      <c r="S716" s="1" t="s">
        <v>23</v>
      </c>
      <c r="T716" s="38">
        <v>1</v>
      </c>
      <c r="AH716" s="1">
        <v>1.48</v>
      </c>
      <c r="AK716" s="1">
        <v>0.31069784</v>
      </c>
      <c r="AL716" s="1">
        <v>0.2351896</v>
      </c>
    </row>
    <row r="717" spans="1:153" x14ac:dyDescent="0.2">
      <c r="A717" s="1" t="s">
        <v>4514</v>
      </c>
      <c r="B717" s="1" t="s">
        <v>55</v>
      </c>
      <c r="C717" s="1" t="s">
        <v>4515</v>
      </c>
      <c r="E717" s="1">
        <v>35</v>
      </c>
      <c r="F717" s="1" t="s">
        <v>4516</v>
      </c>
      <c r="G717" s="1" t="s">
        <v>4517</v>
      </c>
      <c r="H717" s="1" t="s">
        <v>4518</v>
      </c>
      <c r="I717" s="1" t="s">
        <v>7</v>
      </c>
      <c r="J717" s="1" t="s">
        <v>4519</v>
      </c>
      <c r="K717" s="1" t="s">
        <v>4520</v>
      </c>
      <c r="L717" s="1" t="s">
        <v>4519</v>
      </c>
      <c r="M717" s="1" t="s">
        <v>4521</v>
      </c>
      <c r="N717" s="1" t="s">
        <v>4522</v>
      </c>
      <c r="O717" s="1" t="s">
        <v>4517</v>
      </c>
      <c r="P717" s="1" t="s">
        <v>1269</v>
      </c>
      <c r="Q717" s="1">
        <v>2003</v>
      </c>
      <c r="R717" s="1" t="s">
        <v>4523</v>
      </c>
      <c r="S717" s="1" t="s">
        <v>23</v>
      </c>
      <c r="T717" s="38">
        <v>1</v>
      </c>
      <c r="AH717" s="1">
        <v>4</v>
      </c>
      <c r="EW717" s="1">
        <v>72.599999999999994</v>
      </c>
    </row>
    <row r="718" spans="1:153" x14ac:dyDescent="0.2">
      <c r="A718" s="1" t="s">
        <v>4524</v>
      </c>
      <c r="B718" s="1" t="s">
        <v>55</v>
      </c>
      <c r="C718" s="1" t="s">
        <v>4515</v>
      </c>
      <c r="E718" s="1">
        <v>33</v>
      </c>
      <c r="F718" s="1" t="s">
        <v>4525</v>
      </c>
      <c r="G718" s="1" t="s">
        <v>4517</v>
      </c>
      <c r="H718" s="1" t="s">
        <v>4526</v>
      </c>
      <c r="I718" s="1" t="s">
        <v>7</v>
      </c>
      <c r="J718" s="1" t="s">
        <v>4527</v>
      </c>
      <c r="K718" s="1" t="s">
        <v>4528</v>
      </c>
      <c r="L718" s="1" t="s">
        <v>4527</v>
      </c>
      <c r="M718" s="1" t="s">
        <v>4521</v>
      </c>
      <c r="N718" s="1" t="s">
        <v>4529</v>
      </c>
      <c r="O718" s="1" t="s">
        <v>4517</v>
      </c>
      <c r="P718" s="1" t="s">
        <v>1269</v>
      </c>
      <c r="Q718" s="1">
        <v>2003</v>
      </c>
      <c r="R718" s="1" t="s">
        <v>4523</v>
      </c>
      <c r="S718" s="1" t="s">
        <v>23</v>
      </c>
      <c r="T718" s="38">
        <v>1</v>
      </c>
      <c r="AH718" s="1">
        <v>0.6</v>
      </c>
      <c r="EW718" s="1">
        <v>71.599999999999994</v>
      </c>
    </row>
    <row r="719" spans="1:153" x14ac:dyDescent="0.2">
      <c r="A719" s="1" t="s">
        <v>4530</v>
      </c>
      <c r="B719" s="1" t="s">
        <v>55</v>
      </c>
      <c r="C719" s="1" t="s">
        <v>4515</v>
      </c>
      <c r="E719" s="1">
        <v>12</v>
      </c>
      <c r="F719" s="1" t="s">
        <v>2515</v>
      </c>
      <c r="G719" s="1" t="s">
        <v>4517</v>
      </c>
      <c r="H719" s="1" t="s">
        <v>4531</v>
      </c>
      <c r="I719" s="1" t="s">
        <v>7</v>
      </c>
      <c r="J719" s="1" t="s">
        <v>4532</v>
      </c>
      <c r="K719" s="1" t="s">
        <v>2519</v>
      </c>
      <c r="L719" s="1" t="s">
        <v>2520</v>
      </c>
      <c r="M719" s="1" t="s">
        <v>4521</v>
      </c>
      <c r="N719" s="1" t="s">
        <v>4533</v>
      </c>
      <c r="O719" s="1" t="s">
        <v>4517</v>
      </c>
      <c r="P719" s="1" t="s">
        <v>1269</v>
      </c>
      <c r="Q719" s="1">
        <v>2003</v>
      </c>
      <c r="R719" s="1" t="s">
        <v>4523</v>
      </c>
      <c r="S719" s="1" t="s">
        <v>23</v>
      </c>
      <c r="T719" s="38">
        <v>1</v>
      </c>
      <c r="AH719" s="1">
        <v>1.92</v>
      </c>
      <c r="EW719" s="1">
        <v>66.8</v>
      </c>
    </row>
    <row r="720" spans="1:153" x14ac:dyDescent="0.2">
      <c r="A720" s="1" t="s">
        <v>4534</v>
      </c>
      <c r="B720" s="1" t="s">
        <v>55</v>
      </c>
      <c r="C720" s="1" t="s">
        <v>4515</v>
      </c>
      <c r="D720" s="1" t="s">
        <v>4517</v>
      </c>
      <c r="E720" s="1">
        <v>13</v>
      </c>
      <c r="F720" s="1" t="s">
        <v>4103</v>
      </c>
      <c r="H720" s="1" t="s">
        <v>4535</v>
      </c>
      <c r="I720" s="1" t="s">
        <v>7</v>
      </c>
      <c r="J720" s="1" t="s">
        <v>4108</v>
      </c>
      <c r="K720" s="1" t="s">
        <v>4107</v>
      </c>
      <c r="L720" s="1" t="s">
        <v>4108</v>
      </c>
      <c r="M720" s="1" t="s">
        <v>4521</v>
      </c>
      <c r="N720" s="1" t="s">
        <v>4536</v>
      </c>
      <c r="O720" s="1" t="s">
        <v>4517</v>
      </c>
      <c r="P720" s="1" t="s">
        <v>1269</v>
      </c>
      <c r="Q720" s="1">
        <v>2003</v>
      </c>
      <c r="R720" s="1" t="s">
        <v>4523</v>
      </c>
      <c r="S720" s="1" t="s">
        <v>23</v>
      </c>
      <c r="T720" s="38">
        <v>1</v>
      </c>
      <c r="AH720" s="1">
        <v>9.6999999999999993</v>
      </c>
      <c r="EW720" s="1">
        <v>92</v>
      </c>
    </row>
    <row r="721" spans="1:153" x14ac:dyDescent="0.2">
      <c r="A721" s="1" t="s">
        <v>4537</v>
      </c>
      <c r="B721" s="1" t="s">
        <v>1911</v>
      </c>
      <c r="C721" s="1" t="s">
        <v>4515</v>
      </c>
      <c r="D721" s="1" t="s">
        <v>4517</v>
      </c>
      <c r="E721" s="1">
        <v>45</v>
      </c>
      <c r="F721" s="1" t="s">
        <v>4538</v>
      </c>
      <c r="G721" s="1" t="s">
        <v>4517</v>
      </c>
      <c r="H721" s="1" t="s">
        <v>4539</v>
      </c>
      <c r="I721" s="1" t="s">
        <v>7</v>
      </c>
      <c r="J721" s="1" t="s">
        <v>4540</v>
      </c>
      <c r="K721" s="1" t="s">
        <v>4541</v>
      </c>
      <c r="L721" s="1" t="s">
        <v>4540</v>
      </c>
      <c r="M721" s="1" t="s">
        <v>4521</v>
      </c>
      <c r="N721" s="1" t="s">
        <v>4542</v>
      </c>
      <c r="O721" s="1" t="s">
        <v>4517</v>
      </c>
      <c r="P721" s="1" t="s">
        <v>1269</v>
      </c>
      <c r="Q721" s="1">
        <v>2003</v>
      </c>
      <c r="R721" s="1" t="s">
        <v>4523</v>
      </c>
      <c r="S721" s="1" t="s">
        <v>23</v>
      </c>
      <c r="T721" s="38">
        <v>1</v>
      </c>
      <c r="AH721" s="1">
        <v>0.94</v>
      </c>
      <c r="EW721" s="1">
        <v>165.4</v>
      </c>
    </row>
    <row r="722" spans="1:153" x14ac:dyDescent="0.2">
      <c r="A722" s="1" t="s">
        <v>4543</v>
      </c>
      <c r="B722" s="1" t="s">
        <v>55</v>
      </c>
      <c r="C722" s="1" t="s">
        <v>4515</v>
      </c>
      <c r="D722" s="1" t="s">
        <v>4517</v>
      </c>
      <c r="E722" s="1">
        <v>35</v>
      </c>
      <c r="F722" s="1" t="s">
        <v>4516</v>
      </c>
      <c r="G722" s="1" t="s">
        <v>4517</v>
      </c>
      <c r="H722" s="1" t="s">
        <v>4518</v>
      </c>
      <c r="I722" s="1" t="s">
        <v>7</v>
      </c>
      <c r="J722" s="1" t="s">
        <v>4519</v>
      </c>
      <c r="K722" s="1" t="s">
        <v>4520</v>
      </c>
      <c r="L722" s="1" t="s">
        <v>4519</v>
      </c>
      <c r="M722" s="1" t="s">
        <v>4544</v>
      </c>
      <c r="N722" s="1" t="s">
        <v>4545</v>
      </c>
      <c r="O722" s="1" t="s">
        <v>4517</v>
      </c>
      <c r="P722" s="1" t="s">
        <v>1269</v>
      </c>
      <c r="Q722" s="1">
        <v>2003</v>
      </c>
      <c r="R722" s="1" t="s">
        <v>4523</v>
      </c>
      <c r="S722" s="1" t="s">
        <v>23</v>
      </c>
      <c r="T722" s="38">
        <v>1</v>
      </c>
      <c r="AH722" s="1">
        <v>10.62</v>
      </c>
      <c r="EW722" s="1">
        <v>86.4</v>
      </c>
    </row>
    <row r="723" spans="1:153" x14ac:dyDescent="0.2">
      <c r="A723" s="1" t="s">
        <v>4546</v>
      </c>
      <c r="B723" s="1" t="s">
        <v>55</v>
      </c>
      <c r="C723" s="1" t="s">
        <v>4515</v>
      </c>
      <c r="D723" s="1" t="s">
        <v>4517</v>
      </c>
      <c r="E723" s="1">
        <v>33</v>
      </c>
      <c r="F723" s="1" t="s">
        <v>4525</v>
      </c>
      <c r="G723" s="1" t="s">
        <v>4517</v>
      </c>
      <c r="H723" s="1" t="s">
        <v>4526</v>
      </c>
      <c r="I723" s="1" t="s">
        <v>7</v>
      </c>
      <c r="J723" s="1" t="s">
        <v>4527</v>
      </c>
      <c r="K723" s="1" t="s">
        <v>4528</v>
      </c>
      <c r="L723" s="1" t="s">
        <v>4527</v>
      </c>
      <c r="M723" s="1" t="s">
        <v>4544</v>
      </c>
      <c r="N723" s="1" t="s">
        <v>4547</v>
      </c>
      <c r="O723" s="1" t="s">
        <v>4517</v>
      </c>
      <c r="P723" s="1" t="s">
        <v>1269</v>
      </c>
      <c r="Q723" s="1">
        <v>2003</v>
      </c>
      <c r="R723" s="1" t="s">
        <v>4523</v>
      </c>
      <c r="S723" s="1" t="s">
        <v>23</v>
      </c>
      <c r="T723" s="38">
        <v>1</v>
      </c>
      <c r="AH723" s="1">
        <v>3.29</v>
      </c>
      <c r="EW723" s="1">
        <v>83</v>
      </c>
    </row>
    <row r="724" spans="1:153" x14ac:dyDescent="0.2">
      <c r="A724" s="1" t="s">
        <v>4548</v>
      </c>
      <c r="B724" s="1" t="s">
        <v>55</v>
      </c>
      <c r="C724" s="1" t="s">
        <v>4515</v>
      </c>
      <c r="D724" s="1" t="s">
        <v>4517</v>
      </c>
      <c r="E724" s="1">
        <v>12</v>
      </c>
      <c r="F724" s="1" t="s">
        <v>2515</v>
      </c>
      <c r="G724" s="1" t="s">
        <v>4517</v>
      </c>
      <c r="H724" s="1" t="s">
        <v>4531</v>
      </c>
      <c r="I724" s="1" t="s">
        <v>7</v>
      </c>
      <c r="J724" s="1" t="s">
        <v>4532</v>
      </c>
      <c r="K724" s="1" t="s">
        <v>2519</v>
      </c>
      <c r="L724" s="1" t="s">
        <v>2520</v>
      </c>
      <c r="M724" s="1" t="s">
        <v>4544</v>
      </c>
      <c r="N724" s="1" t="s">
        <v>4549</v>
      </c>
      <c r="O724" s="1" t="s">
        <v>4517</v>
      </c>
      <c r="P724" s="1" t="s">
        <v>1269</v>
      </c>
      <c r="Q724" s="1">
        <v>2003</v>
      </c>
      <c r="R724" s="1" t="s">
        <v>4523</v>
      </c>
      <c r="S724" s="1" t="s">
        <v>23</v>
      </c>
      <c r="T724" s="38">
        <v>1</v>
      </c>
      <c r="AH724" s="1">
        <v>1.33</v>
      </c>
      <c r="EW724" s="1">
        <v>71.400000000000006</v>
      </c>
    </row>
    <row r="725" spans="1:153" x14ac:dyDescent="0.2">
      <c r="A725" s="1" t="s">
        <v>4550</v>
      </c>
      <c r="B725" s="1" t="s">
        <v>55</v>
      </c>
      <c r="C725" s="1" t="s">
        <v>4515</v>
      </c>
      <c r="D725" s="1" t="s">
        <v>4517</v>
      </c>
      <c r="E725" s="1">
        <v>13</v>
      </c>
      <c r="F725" s="1" t="s">
        <v>4103</v>
      </c>
      <c r="H725" s="1" t="s">
        <v>4535</v>
      </c>
      <c r="I725" s="1" t="s">
        <v>7</v>
      </c>
      <c r="J725" s="1" t="s">
        <v>4108</v>
      </c>
      <c r="K725" s="1" t="s">
        <v>4107</v>
      </c>
      <c r="L725" s="1" t="s">
        <v>4108</v>
      </c>
      <c r="M725" s="1" t="s">
        <v>4544</v>
      </c>
      <c r="N725" s="1" t="s">
        <v>4551</v>
      </c>
      <c r="O725" s="1" t="s">
        <v>4517</v>
      </c>
      <c r="P725" s="1" t="s">
        <v>1269</v>
      </c>
      <c r="Q725" s="1">
        <v>2003</v>
      </c>
      <c r="R725" s="1" t="s">
        <v>4523</v>
      </c>
      <c r="S725" s="1" t="s">
        <v>23</v>
      </c>
      <c r="T725" s="38">
        <v>1</v>
      </c>
      <c r="AH725" s="1">
        <v>6.67</v>
      </c>
      <c r="EW725" s="1">
        <v>72.400000000000006</v>
      </c>
    </row>
    <row r="726" spans="1:153" x14ac:dyDescent="0.2">
      <c r="A726" s="1" t="s">
        <v>4552</v>
      </c>
      <c r="B726" s="1" t="s">
        <v>1911</v>
      </c>
      <c r="C726" s="1" t="s">
        <v>4515</v>
      </c>
      <c r="D726" s="1" t="s">
        <v>4517</v>
      </c>
      <c r="E726" s="1">
        <v>45</v>
      </c>
      <c r="F726" s="1" t="s">
        <v>4538</v>
      </c>
      <c r="G726" s="1" t="s">
        <v>4517</v>
      </c>
      <c r="H726" s="1" t="s">
        <v>4539</v>
      </c>
      <c r="I726" s="1" t="s">
        <v>7</v>
      </c>
      <c r="J726" s="1" t="s">
        <v>4540</v>
      </c>
      <c r="K726" s="1" t="s">
        <v>4541</v>
      </c>
      <c r="L726" s="1" t="s">
        <v>4540</v>
      </c>
      <c r="M726" s="1" t="s">
        <v>4544</v>
      </c>
      <c r="N726" s="1" t="s">
        <v>4553</v>
      </c>
      <c r="O726" s="1" t="s">
        <v>4517</v>
      </c>
      <c r="P726" s="1" t="s">
        <v>1269</v>
      </c>
      <c r="Q726" s="1">
        <v>2003</v>
      </c>
      <c r="R726" s="1" t="s">
        <v>4523</v>
      </c>
      <c r="S726" s="1" t="s">
        <v>23</v>
      </c>
      <c r="T726" s="38">
        <v>1</v>
      </c>
      <c r="AH726" s="1">
        <v>1.1599999999999999</v>
      </c>
      <c r="EW726" s="1">
        <v>164.8</v>
      </c>
    </row>
    <row r="727" spans="1:153" x14ac:dyDescent="0.2">
      <c r="A727" s="1" t="s">
        <v>4554</v>
      </c>
      <c r="B727" s="1" t="s">
        <v>1911</v>
      </c>
      <c r="C727" s="1" t="s">
        <v>4555</v>
      </c>
      <c r="E727" s="1">
        <v>42</v>
      </c>
      <c r="F727" s="1" t="s">
        <v>4556</v>
      </c>
      <c r="H727" s="1" t="s">
        <v>4557</v>
      </c>
      <c r="I727" s="1" t="s">
        <v>7</v>
      </c>
      <c r="J727" s="1" t="s">
        <v>4558</v>
      </c>
      <c r="K727" s="1" t="s">
        <v>4559</v>
      </c>
      <c r="L727" s="1" t="s">
        <v>4560</v>
      </c>
      <c r="P727" s="1" t="s">
        <v>1269</v>
      </c>
      <c r="Q727" s="1">
        <v>2010</v>
      </c>
      <c r="R727" s="1" t="s">
        <v>4561</v>
      </c>
      <c r="S727" s="1" t="s">
        <v>23</v>
      </c>
      <c r="T727" s="38">
        <v>1</v>
      </c>
      <c r="U727" s="1">
        <v>0.32300000000000001</v>
      </c>
      <c r="V727" s="1">
        <v>347.4</v>
      </c>
      <c r="Z727" s="1">
        <v>79.2</v>
      </c>
      <c r="AA727" s="1">
        <v>6.25</v>
      </c>
      <c r="AC727" s="1">
        <v>15.7</v>
      </c>
      <c r="AI727" s="1">
        <v>0.32</v>
      </c>
      <c r="AK727" s="1">
        <v>3.0534140160000001E-2</v>
      </c>
      <c r="AL727" s="1">
        <v>3.3328690559999999E-2</v>
      </c>
      <c r="AM727" s="1">
        <v>7.6747178880000003E-2</v>
      </c>
      <c r="AV727" s="1">
        <v>2.5499999999999998</v>
      </c>
      <c r="AX727" s="1">
        <v>3680</v>
      </c>
      <c r="AY727" s="1">
        <v>78.7</v>
      </c>
      <c r="AZ727" s="1">
        <v>495</v>
      </c>
      <c r="BD727" s="1">
        <v>1.19</v>
      </c>
      <c r="BF727" s="1">
        <v>1.07</v>
      </c>
      <c r="BH727" s="1">
        <v>226</v>
      </c>
      <c r="BJ727" s="1">
        <v>61.2</v>
      </c>
      <c r="BK727" s="1">
        <v>0.06</v>
      </c>
      <c r="BM727" s="1">
        <v>396</v>
      </c>
      <c r="BO727" s="1" t="s">
        <v>15</v>
      </c>
      <c r="BQ727" s="1">
        <v>0.06</v>
      </c>
      <c r="BR727" s="1">
        <v>235</v>
      </c>
      <c r="BS727" s="1">
        <v>90</v>
      </c>
      <c r="BW727" s="1">
        <v>6.28</v>
      </c>
      <c r="BY727" s="1">
        <v>2380</v>
      </c>
      <c r="CA727" s="1">
        <v>0</v>
      </c>
      <c r="CB727" s="1">
        <v>10</v>
      </c>
      <c r="CC727" s="1">
        <v>0</v>
      </c>
      <c r="CE727" s="1">
        <v>2070</v>
      </c>
      <c r="DR727" s="1">
        <v>6868</v>
      </c>
      <c r="DS727" s="1">
        <v>14860</v>
      </c>
      <c r="DT727" s="1">
        <v>7992</v>
      </c>
      <c r="DU727" s="1">
        <v>936</v>
      </c>
      <c r="DV727" s="1">
        <v>1566</v>
      </c>
      <c r="DX727" s="1">
        <v>1354</v>
      </c>
      <c r="DZ727" s="1" t="s">
        <v>4356</v>
      </c>
      <c r="EA727" s="1">
        <v>2156</v>
      </c>
      <c r="EB727" s="1">
        <v>1139</v>
      </c>
      <c r="EC727" s="1">
        <v>292</v>
      </c>
      <c r="EE727" s="1">
        <v>401</v>
      </c>
      <c r="EF727" s="1">
        <v>681</v>
      </c>
      <c r="EG727" s="1">
        <v>1028</v>
      </c>
      <c r="EH727" s="1">
        <v>958</v>
      </c>
      <c r="EI727" s="1">
        <v>300</v>
      </c>
      <c r="EK727" s="1">
        <v>572</v>
      </c>
      <c r="EL727" s="1">
        <v>538</v>
      </c>
      <c r="EM727" s="1">
        <v>563</v>
      </c>
      <c r="EN727" s="1">
        <v>363</v>
      </c>
      <c r="EO727" s="1">
        <v>736</v>
      </c>
      <c r="EQ727" s="1">
        <v>534</v>
      </c>
      <c r="ER727" s="1">
        <v>711</v>
      </c>
      <c r="EW727" s="1">
        <v>37.130000000000003</v>
      </c>
    </row>
    <row r="728" spans="1:153" x14ac:dyDescent="0.2">
      <c r="A728" s="1" t="s">
        <v>4562</v>
      </c>
      <c r="B728" s="1" t="s">
        <v>1911</v>
      </c>
      <c r="C728" s="1" t="s">
        <v>4555</v>
      </c>
      <c r="E728" s="1">
        <v>42</v>
      </c>
      <c r="F728" s="1" t="s">
        <v>4556</v>
      </c>
      <c r="H728" s="1" t="s">
        <v>4563</v>
      </c>
      <c r="I728" s="1" t="s">
        <v>7</v>
      </c>
      <c r="J728" s="1" t="s">
        <v>4558</v>
      </c>
      <c r="K728" s="1" t="s">
        <v>4559</v>
      </c>
      <c r="L728" s="1" t="s">
        <v>4560</v>
      </c>
      <c r="P728" s="1" t="s">
        <v>1269</v>
      </c>
      <c r="Q728" s="1">
        <v>2010</v>
      </c>
      <c r="R728" s="1" t="s">
        <v>4561</v>
      </c>
      <c r="S728" s="1" t="s">
        <v>23</v>
      </c>
      <c r="T728" s="38">
        <v>1</v>
      </c>
      <c r="U728" s="1">
        <v>0.22500000000000001</v>
      </c>
      <c r="V728" s="1">
        <v>665.7</v>
      </c>
      <c r="Z728" s="1" t="s">
        <v>4564</v>
      </c>
      <c r="AA728" s="1">
        <v>6.25</v>
      </c>
      <c r="AC728" s="1" t="s">
        <v>4565</v>
      </c>
      <c r="AI728" s="1" t="s">
        <v>4566</v>
      </c>
      <c r="AK728" s="1">
        <v>0.23655494799999999</v>
      </c>
      <c r="AL728" s="1">
        <v>0.288015664</v>
      </c>
      <c r="AM728" s="1">
        <v>0.44106250400000002</v>
      </c>
      <c r="AV728" s="1" t="s">
        <v>4567</v>
      </c>
      <c r="AX728" s="1">
        <v>3480</v>
      </c>
      <c r="AY728" s="1">
        <v>24</v>
      </c>
      <c r="AZ728" s="1">
        <v>456</v>
      </c>
      <c r="BD728" s="1">
        <v>1.1299999999999999</v>
      </c>
      <c r="BF728" s="1">
        <v>2.97</v>
      </c>
      <c r="BH728" s="1">
        <v>249</v>
      </c>
      <c r="BJ728" s="1">
        <v>23</v>
      </c>
      <c r="BK728" s="1">
        <v>0.23</v>
      </c>
      <c r="BM728" s="1">
        <v>195</v>
      </c>
      <c r="BO728" s="1" t="s">
        <v>15</v>
      </c>
      <c r="BQ728" s="1">
        <v>0.09</v>
      </c>
      <c r="BR728" s="1">
        <v>529</v>
      </c>
      <c r="BS728" s="1">
        <v>330</v>
      </c>
      <c r="BW728" s="1">
        <v>5.15</v>
      </c>
      <c r="BY728" s="1">
        <v>5020</v>
      </c>
      <c r="CA728" s="1">
        <v>0</v>
      </c>
      <c r="CB728" s="1">
        <v>0</v>
      </c>
      <c r="CC728" s="1">
        <v>0</v>
      </c>
      <c r="CE728" s="1">
        <v>490</v>
      </c>
      <c r="DR728" s="1">
        <v>8117</v>
      </c>
      <c r="DS728" s="1">
        <v>17544</v>
      </c>
      <c r="DT728" s="1">
        <v>9427</v>
      </c>
      <c r="DU728" s="1">
        <v>915</v>
      </c>
      <c r="DV728" s="1">
        <v>1305</v>
      </c>
      <c r="DX728" s="1">
        <v>1513</v>
      </c>
      <c r="DZ728" s="1" t="s">
        <v>6686</v>
      </c>
      <c r="EA728" s="1">
        <v>2251</v>
      </c>
      <c r="EB728" s="1">
        <v>900</v>
      </c>
      <c r="EC728" s="1">
        <v>480</v>
      </c>
      <c r="EE728" s="1">
        <v>706</v>
      </c>
      <c r="EF728" s="1">
        <v>853</v>
      </c>
      <c r="EG728" s="1">
        <v>1241</v>
      </c>
      <c r="EH728" s="1">
        <v>1052</v>
      </c>
      <c r="EI728" s="1">
        <v>284</v>
      </c>
      <c r="EK728" s="1">
        <v>657</v>
      </c>
      <c r="EL728" s="1">
        <v>874</v>
      </c>
      <c r="EM728" s="1">
        <v>1166</v>
      </c>
      <c r="EN728" s="1">
        <v>376</v>
      </c>
      <c r="EO728" s="1">
        <v>1174</v>
      </c>
      <c r="EQ728" s="1">
        <v>706</v>
      </c>
      <c r="ER728" s="1">
        <v>1039</v>
      </c>
      <c r="EW728" s="1">
        <v>133.1</v>
      </c>
    </row>
    <row r="729" spans="1:153" x14ac:dyDescent="0.2">
      <c r="A729" s="1" t="s">
        <v>4568</v>
      </c>
      <c r="B729" s="1" t="s">
        <v>1911</v>
      </c>
      <c r="C729" s="1" t="s">
        <v>4555</v>
      </c>
      <c r="E729" s="1">
        <v>42</v>
      </c>
      <c r="F729" s="1" t="s">
        <v>4556</v>
      </c>
      <c r="H729" s="1" t="s">
        <v>4569</v>
      </c>
      <c r="I729" s="1" t="s">
        <v>7</v>
      </c>
      <c r="J729" s="1" t="s">
        <v>4558</v>
      </c>
      <c r="K729" s="1" t="s">
        <v>4559</v>
      </c>
      <c r="L729" s="1" t="s">
        <v>4560</v>
      </c>
      <c r="Q729" s="1">
        <v>2010</v>
      </c>
      <c r="R729" s="1" t="s">
        <v>4561</v>
      </c>
      <c r="S729" s="1" t="s">
        <v>23</v>
      </c>
      <c r="T729" s="38">
        <v>1</v>
      </c>
      <c r="AX729" s="1">
        <v>70700</v>
      </c>
      <c r="AY729" s="1">
        <v>59.9</v>
      </c>
      <c r="AZ729" s="1">
        <v>824</v>
      </c>
      <c r="BD729" s="1">
        <v>3.1</v>
      </c>
      <c r="BF729" s="1">
        <v>14.1</v>
      </c>
      <c r="BH729" s="1">
        <v>62.4</v>
      </c>
      <c r="BO729" s="1">
        <v>150</v>
      </c>
      <c r="BQ729" s="1">
        <v>0.25</v>
      </c>
      <c r="BR729" s="1">
        <v>132</v>
      </c>
      <c r="BS729" s="1">
        <v>80</v>
      </c>
      <c r="BW729" s="1">
        <v>0.9</v>
      </c>
      <c r="BY729" s="1">
        <v>760</v>
      </c>
      <c r="CB729" s="1">
        <v>10</v>
      </c>
      <c r="CE729" s="1">
        <v>1940</v>
      </c>
    </row>
    <row r="730" spans="1:153" x14ac:dyDescent="0.2">
      <c r="A730" s="1" t="s">
        <v>4570</v>
      </c>
      <c r="B730" s="1" t="s">
        <v>1911</v>
      </c>
      <c r="C730" s="1" t="s">
        <v>2594</v>
      </c>
      <c r="E730" s="1">
        <v>43</v>
      </c>
      <c r="F730" s="1" t="s">
        <v>1912</v>
      </c>
      <c r="H730" s="1" t="s">
        <v>4571</v>
      </c>
      <c r="I730" s="1" t="s">
        <v>7</v>
      </c>
      <c r="J730" s="1" t="s">
        <v>1914</v>
      </c>
      <c r="K730" s="1" t="s">
        <v>4572</v>
      </c>
      <c r="L730" s="1" t="s">
        <v>1914</v>
      </c>
      <c r="M730" s="1" t="s">
        <v>4573</v>
      </c>
      <c r="N730" s="1" t="s">
        <v>4574</v>
      </c>
      <c r="P730" s="1" t="s">
        <v>1269</v>
      </c>
      <c r="Q730" s="1">
        <v>2009</v>
      </c>
      <c r="R730" s="1" t="s">
        <v>4575</v>
      </c>
      <c r="S730" s="1" t="s">
        <v>23</v>
      </c>
      <c r="T730" s="38">
        <v>1</v>
      </c>
      <c r="W730" s="1">
        <v>87</v>
      </c>
      <c r="Z730" s="1">
        <v>78.099999999999994</v>
      </c>
      <c r="AA730" s="1">
        <v>6.25</v>
      </c>
      <c r="AC730" s="1">
        <v>18.3</v>
      </c>
      <c r="AI730" s="1">
        <v>0.3</v>
      </c>
      <c r="AK730" s="1">
        <v>3.1300803000000002E-2</v>
      </c>
      <c r="AL730" s="1">
        <v>3.9712032000000001E-2</v>
      </c>
      <c r="AM730" s="1">
        <v>6.0119604E-2</v>
      </c>
      <c r="AV730" s="1">
        <v>1.8</v>
      </c>
      <c r="DS730" s="1">
        <v>17040</v>
      </c>
      <c r="EW730" s="1">
        <v>36.6</v>
      </c>
    </row>
    <row r="731" spans="1:153" x14ac:dyDescent="0.2">
      <c r="A731" s="1" t="s">
        <v>4576</v>
      </c>
      <c r="B731" s="1" t="s">
        <v>1911</v>
      </c>
      <c r="C731" s="1" t="s">
        <v>2594</v>
      </c>
      <c r="E731" s="1">
        <v>43</v>
      </c>
      <c r="F731" s="1" t="s">
        <v>1912</v>
      </c>
      <c r="H731" s="1" t="s">
        <v>4577</v>
      </c>
      <c r="I731" s="1" t="s">
        <v>7</v>
      </c>
      <c r="J731" s="1" t="s">
        <v>1914</v>
      </c>
      <c r="K731" s="1" t="s">
        <v>4572</v>
      </c>
      <c r="L731" s="1" t="s">
        <v>1914</v>
      </c>
      <c r="M731" s="1" t="s">
        <v>4573</v>
      </c>
      <c r="N731" s="1" t="s">
        <v>4578</v>
      </c>
      <c r="P731" s="1" t="s">
        <v>1269</v>
      </c>
      <c r="Q731" s="1">
        <v>2009</v>
      </c>
      <c r="R731" s="1" t="s">
        <v>4575</v>
      </c>
      <c r="S731" s="1" t="s">
        <v>23</v>
      </c>
      <c r="T731" s="38">
        <v>1</v>
      </c>
      <c r="W731" s="1">
        <v>83</v>
      </c>
      <c r="Z731" s="1">
        <v>79.2</v>
      </c>
      <c r="AA731" s="1">
        <v>6.25</v>
      </c>
      <c r="AC731" s="1">
        <v>17.600000000000001</v>
      </c>
      <c r="AI731" s="1">
        <v>0.5</v>
      </c>
      <c r="AK731" s="1">
        <v>5.1938190000000002E-2</v>
      </c>
      <c r="AL731" s="1">
        <v>6.5267459999999999E-2</v>
      </c>
      <c r="AM731" s="1">
        <v>0.10295712</v>
      </c>
      <c r="AV731" s="1">
        <v>2</v>
      </c>
      <c r="DS731" s="1">
        <v>16450</v>
      </c>
      <c r="EW731" s="1">
        <v>31.2</v>
      </c>
    </row>
    <row r="732" spans="1:153" x14ac:dyDescent="0.2">
      <c r="A732" s="1" t="s">
        <v>4579</v>
      </c>
      <c r="B732" s="1" t="s">
        <v>1911</v>
      </c>
      <c r="C732" s="1" t="s">
        <v>4115</v>
      </c>
      <c r="E732" s="1">
        <v>43</v>
      </c>
      <c r="F732" s="1" t="s">
        <v>4116</v>
      </c>
      <c r="H732" s="1" t="s">
        <v>4580</v>
      </c>
      <c r="I732" s="1" t="s">
        <v>7</v>
      </c>
      <c r="J732" s="1" t="s">
        <v>4118</v>
      </c>
      <c r="K732" s="1" t="s">
        <v>4581</v>
      </c>
      <c r="L732" s="1" t="s">
        <v>4118</v>
      </c>
      <c r="M732" s="1" t="s">
        <v>4573</v>
      </c>
      <c r="N732" s="1" t="s">
        <v>4582</v>
      </c>
      <c r="P732" s="1" t="s">
        <v>1269</v>
      </c>
      <c r="Q732" s="1">
        <v>2009</v>
      </c>
      <c r="R732" s="1" t="s">
        <v>4575</v>
      </c>
      <c r="S732" s="1" t="s">
        <v>23</v>
      </c>
      <c r="T732" s="38">
        <v>1</v>
      </c>
      <c r="W732" s="1">
        <v>82.3</v>
      </c>
      <c r="Z732" s="1">
        <v>79.2</v>
      </c>
      <c r="AA732" s="1">
        <v>6.25</v>
      </c>
      <c r="AC732" s="1">
        <v>17.100000000000001</v>
      </c>
      <c r="AI732" s="1">
        <v>0.7</v>
      </c>
      <c r="AK732" s="1">
        <v>8.5579199999999994E-2</v>
      </c>
      <c r="AL732" s="1">
        <v>0.124803</v>
      </c>
      <c r="AM732" s="1">
        <v>0.166404</v>
      </c>
      <c r="AV732" s="1">
        <v>1.8</v>
      </c>
      <c r="DS732" s="1">
        <v>16930</v>
      </c>
      <c r="EW732" s="1">
        <v>43.2</v>
      </c>
    </row>
    <row r="733" spans="1:153" x14ac:dyDescent="0.2">
      <c r="A733" s="1" t="s">
        <v>4583</v>
      </c>
      <c r="B733" s="1" t="s">
        <v>1911</v>
      </c>
      <c r="C733" s="1" t="s">
        <v>4115</v>
      </c>
      <c r="E733" s="1">
        <v>43</v>
      </c>
      <c r="F733" s="1" t="s">
        <v>4116</v>
      </c>
      <c r="H733" s="1" t="s">
        <v>4584</v>
      </c>
      <c r="I733" s="1" t="s">
        <v>7</v>
      </c>
      <c r="J733" s="1" t="s">
        <v>4118</v>
      </c>
      <c r="K733" s="1" t="s">
        <v>4581</v>
      </c>
      <c r="L733" s="1" t="s">
        <v>4118</v>
      </c>
      <c r="M733" s="1" t="s">
        <v>4573</v>
      </c>
      <c r="N733" s="1" t="s">
        <v>4585</v>
      </c>
      <c r="P733" s="1" t="s">
        <v>1269</v>
      </c>
      <c r="Q733" s="1">
        <v>2009</v>
      </c>
      <c r="R733" s="1" t="s">
        <v>4575</v>
      </c>
      <c r="S733" s="1" t="s">
        <v>23</v>
      </c>
      <c r="T733" s="38">
        <v>1</v>
      </c>
      <c r="W733" s="1">
        <v>78.2</v>
      </c>
      <c r="Z733" s="1">
        <v>80.5</v>
      </c>
      <c r="AA733" s="1">
        <v>6.25</v>
      </c>
      <c r="AC733" s="1">
        <v>15.6</v>
      </c>
      <c r="AI733" s="1">
        <v>0.6</v>
      </c>
      <c r="AK733" s="1">
        <v>6.1322399999999999E-2</v>
      </c>
      <c r="AL733" s="1">
        <v>9.0179999999999996E-2</v>
      </c>
      <c r="AM733" s="1">
        <v>0.13406760000000001</v>
      </c>
      <c r="AV733" s="1">
        <v>1.9</v>
      </c>
      <c r="DS733" s="1">
        <v>17340</v>
      </c>
      <c r="EW733" s="1">
        <v>37.200000000000003</v>
      </c>
    </row>
    <row r="734" spans="1:153" x14ac:dyDescent="0.2">
      <c r="A734" s="1" t="s">
        <v>4586</v>
      </c>
      <c r="B734" s="1" t="s">
        <v>1911</v>
      </c>
      <c r="C734" s="1" t="s">
        <v>2594</v>
      </c>
      <c r="E734" s="1">
        <v>43</v>
      </c>
      <c r="F734" s="1" t="s">
        <v>1912</v>
      </c>
      <c r="H734" s="1" t="s">
        <v>4587</v>
      </c>
      <c r="I734" s="1" t="s">
        <v>7</v>
      </c>
      <c r="J734" s="1" t="s">
        <v>1914</v>
      </c>
      <c r="K734" s="1" t="s">
        <v>4572</v>
      </c>
      <c r="L734" s="1" t="s">
        <v>1914</v>
      </c>
      <c r="M734" s="1" t="s">
        <v>4573</v>
      </c>
      <c r="N734" s="1" t="s">
        <v>4588</v>
      </c>
      <c r="P734" s="1" t="s">
        <v>1269</v>
      </c>
      <c r="Q734" s="1">
        <v>2009</v>
      </c>
      <c r="R734" s="1" t="s">
        <v>4575</v>
      </c>
      <c r="S734" s="1" t="s">
        <v>23</v>
      </c>
      <c r="T734" s="38">
        <v>1</v>
      </c>
      <c r="W734" s="1">
        <v>213.1</v>
      </c>
      <c r="Z734" s="1">
        <v>67.400000000000006</v>
      </c>
      <c r="AA734" s="1">
        <v>6.25</v>
      </c>
      <c r="AC734" s="1">
        <v>12.6</v>
      </c>
      <c r="AI734" s="1">
        <v>16.600000000000001</v>
      </c>
      <c r="AK734" s="1">
        <v>4.1486955999999999</v>
      </c>
      <c r="AL734" s="1">
        <v>7.3615952</v>
      </c>
      <c r="AM734" s="1">
        <v>3.1349165999999999</v>
      </c>
      <c r="AV734" s="1">
        <v>1.7</v>
      </c>
      <c r="DS734" s="1">
        <v>10990</v>
      </c>
      <c r="EW734" s="1">
        <v>42.5</v>
      </c>
    </row>
    <row r="735" spans="1:153" x14ac:dyDescent="0.2">
      <c r="A735" s="1" t="s">
        <v>4589</v>
      </c>
      <c r="B735" s="1" t="s">
        <v>1911</v>
      </c>
      <c r="C735" s="1" t="s">
        <v>2594</v>
      </c>
      <c r="E735" s="1">
        <v>43</v>
      </c>
      <c r="F735" s="1" t="s">
        <v>1912</v>
      </c>
      <c r="H735" s="1" t="s">
        <v>4590</v>
      </c>
      <c r="I735" s="1" t="s">
        <v>7</v>
      </c>
      <c r="J735" s="1" t="s">
        <v>1914</v>
      </c>
      <c r="K735" s="1" t="s">
        <v>4572</v>
      </c>
      <c r="L735" s="1" t="s">
        <v>1914</v>
      </c>
      <c r="M735" s="1" t="s">
        <v>4573</v>
      </c>
      <c r="N735" s="1" t="s">
        <v>4578</v>
      </c>
      <c r="P735" s="1" t="s">
        <v>1269</v>
      </c>
      <c r="Q735" s="1">
        <v>2009</v>
      </c>
      <c r="R735" s="1" t="s">
        <v>4575</v>
      </c>
      <c r="S735" s="1" t="s">
        <v>23</v>
      </c>
      <c r="T735" s="38">
        <v>1</v>
      </c>
      <c r="W735" s="1">
        <v>172.8</v>
      </c>
      <c r="Z735" s="1">
        <v>70.7</v>
      </c>
      <c r="AA735" s="1">
        <v>6.25</v>
      </c>
      <c r="AC735" s="1">
        <v>13.2</v>
      </c>
      <c r="AI735" s="1">
        <v>11.8</v>
      </c>
      <c r="AK735" s="1">
        <v>3.5335038000000001</v>
      </c>
      <c r="AL735" s="1">
        <v>6.0652977999999997</v>
      </c>
      <c r="AM735" s="1">
        <v>0.77054599999999995</v>
      </c>
      <c r="AV735" s="1">
        <v>1.8</v>
      </c>
      <c r="DS735" s="1">
        <v>9460</v>
      </c>
      <c r="EW735" s="1">
        <v>76</v>
      </c>
    </row>
    <row r="736" spans="1:153" x14ac:dyDescent="0.2">
      <c r="A736" s="1" t="s">
        <v>4591</v>
      </c>
      <c r="B736" s="1" t="s">
        <v>1911</v>
      </c>
      <c r="C736" s="1" t="s">
        <v>4115</v>
      </c>
      <c r="E736" s="1">
        <v>43</v>
      </c>
      <c r="F736" s="1" t="s">
        <v>4116</v>
      </c>
      <c r="H736" s="1" t="s">
        <v>4592</v>
      </c>
      <c r="I736" s="1" t="s">
        <v>7</v>
      </c>
      <c r="J736" s="1" t="s">
        <v>4118</v>
      </c>
      <c r="K736" s="1" t="s">
        <v>4581</v>
      </c>
      <c r="L736" s="1" t="s">
        <v>4118</v>
      </c>
      <c r="M736" s="1" t="s">
        <v>4573</v>
      </c>
      <c r="N736" s="1" t="s">
        <v>4582</v>
      </c>
      <c r="P736" s="1" t="s">
        <v>1269</v>
      </c>
      <c r="Q736" s="1">
        <v>2009</v>
      </c>
      <c r="R736" s="1" t="s">
        <v>4575</v>
      </c>
      <c r="S736" s="1" t="s">
        <v>23</v>
      </c>
      <c r="T736" s="38">
        <v>1</v>
      </c>
      <c r="W736" s="1">
        <v>290.39999999999998</v>
      </c>
      <c r="Z736" s="1">
        <v>58.8</v>
      </c>
      <c r="AA736" s="1">
        <v>6.25</v>
      </c>
      <c r="AC736" s="1">
        <v>12.3</v>
      </c>
      <c r="AI736" s="1">
        <v>25.5</v>
      </c>
      <c r="AK736" s="1">
        <v>5.8816199999999998</v>
      </c>
      <c r="AL736" s="1">
        <v>14.197844999999999</v>
      </c>
      <c r="AM736" s="1">
        <v>2.6997599999999999</v>
      </c>
      <c r="AV736" s="1">
        <v>1.5</v>
      </c>
      <c r="DS736" s="1">
        <v>10460</v>
      </c>
      <c r="EW736" s="1">
        <v>80.099999999999994</v>
      </c>
    </row>
    <row r="737" spans="1:153" x14ac:dyDescent="0.2">
      <c r="A737" s="1" t="s">
        <v>4593</v>
      </c>
      <c r="B737" s="1" t="s">
        <v>1911</v>
      </c>
      <c r="C737" s="1" t="s">
        <v>4115</v>
      </c>
      <c r="E737" s="1">
        <v>43</v>
      </c>
      <c r="F737" s="1" t="s">
        <v>4116</v>
      </c>
      <c r="H737" s="1" t="s">
        <v>4594</v>
      </c>
      <c r="I737" s="1" t="s">
        <v>7</v>
      </c>
      <c r="J737" s="1" t="s">
        <v>4118</v>
      </c>
      <c r="K737" s="1" t="s">
        <v>4581</v>
      </c>
      <c r="L737" s="1" t="s">
        <v>4118</v>
      </c>
      <c r="M737" s="1" t="s">
        <v>4573</v>
      </c>
      <c r="N737" s="1" t="s">
        <v>4585</v>
      </c>
      <c r="P737" s="1" t="s">
        <v>1269</v>
      </c>
      <c r="Q737" s="1">
        <v>2009</v>
      </c>
      <c r="R737" s="1" t="s">
        <v>4575</v>
      </c>
      <c r="S737" s="1" t="s">
        <v>23</v>
      </c>
      <c r="T737" s="38">
        <v>1</v>
      </c>
      <c r="W737" s="1">
        <v>194.9</v>
      </c>
      <c r="Z737" s="1">
        <v>68.900000000000006</v>
      </c>
      <c r="AA737" s="1">
        <v>6.25</v>
      </c>
      <c r="AC737" s="1">
        <v>12.4</v>
      </c>
      <c r="AI737" s="1">
        <v>14.9</v>
      </c>
      <c r="AK737" s="1">
        <v>3.7862494</v>
      </c>
      <c r="AL737" s="1">
        <v>8.6063823999999993</v>
      </c>
      <c r="AM737" s="1">
        <v>0.81034119999999998</v>
      </c>
      <c r="AV737" s="1">
        <v>1.7</v>
      </c>
      <c r="DS737" s="1">
        <v>9690</v>
      </c>
      <c r="EW737" s="1">
        <v>103.5</v>
      </c>
    </row>
    <row r="738" spans="1:153" x14ac:dyDescent="0.2">
      <c r="A738" s="1" t="s">
        <v>4595</v>
      </c>
      <c r="B738" s="1" t="s">
        <v>1911</v>
      </c>
      <c r="C738" s="1" t="s">
        <v>4115</v>
      </c>
      <c r="E738" s="1">
        <v>43</v>
      </c>
      <c r="F738" s="1" t="s">
        <v>4116</v>
      </c>
      <c r="H738" s="1" t="s">
        <v>4596</v>
      </c>
      <c r="I738" s="1" t="s">
        <v>7</v>
      </c>
      <c r="J738" s="1" t="s">
        <v>4118</v>
      </c>
      <c r="K738" s="1" t="s">
        <v>4581</v>
      </c>
      <c r="L738" s="1" t="s">
        <v>4118</v>
      </c>
      <c r="M738" s="1" t="s">
        <v>4573</v>
      </c>
      <c r="N738" s="1" t="s">
        <v>4582</v>
      </c>
      <c r="P738" s="1" t="s">
        <v>1269</v>
      </c>
      <c r="Q738" s="1">
        <v>2009</v>
      </c>
      <c r="R738" s="1" t="s">
        <v>4575</v>
      </c>
      <c r="S738" s="1" t="s">
        <v>23</v>
      </c>
      <c r="T738" s="38">
        <v>1</v>
      </c>
      <c r="W738" s="1">
        <v>148.30000000000001</v>
      </c>
      <c r="Z738" s="1" t="s">
        <v>4597</v>
      </c>
      <c r="AA738" s="1">
        <v>6.25</v>
      </c>
      <c r="AC738" s="1" t="s">
        <v>4598</v>
      </c>
      <c r="AI738" s="1" t="s">
        <v>4599</v>
      </c>
      <c r="AK738" s="1">
        <v>0.66081120000000004</v>
      </c>
      <c r="AL738" s="1">
        <v>1.4160239999999999</v>
      </c>
      <c r="AM738" s="1">
        <v>1.6126940000000001</v>
      </c>
      <c r="AV738" s="1" t="s">
        <v>4600</v>
      </c>
      <c r="DS738" s="1">
        <v>17930</v>
      </c>
      <c r="EW738" s="1">
        <v>105.4</v>
      </c>
    </row>
    <row r="739" spans="1:153" x14ac:dyDescent="0.2">
      <c r="A739" s="1" t="s">
        <v>4601</v>
      </c>
      <c r="B739" s="1" t="s">
        <v>1911</v>
      </c>
      <c r="C739" s="1" t="s">
        <v>4602</v>
      </c>
      <c r="D739" s="1" t="s">
        <v>2</v>
      </c>
      <c r="E739" s="1">
        <v>43</v>
      </c>
      <c r="F739" s="1" t="s">
        <v>1912</v>
      </c>
      <c r="H739" s="1" t="s">
        <v>4603</v>
      </c>
      <c r="I739" s="1" t="s">
        <v>11</v>
      </c>
      <c r="J739" s="1" t="s">
        <v>1914</v>
      </c>
      <c r="K739" s="1" t="s">
        <v>4572</v>
      </c>
      <c r="L739" s="1" t="s">
        <v>1914</v>
      </c>
      <c r="M739" s="1" t="s">
        <v>4604</v>
      </c>
      <c r="P739" s="1" t="s">
        <v>4605</v>
      </c>
      <c r="Q739" s="1">
        <v>1982</v>
      </c>
      <c r="R739" s="1" t="s">
        <v>4606</v>
      </c>
      <c r="S739" s="1" t="s">
        <v>23</v>
      </c>
      <c r="T739" s="38">
        <v>1</v>
      </c>
      <c r="U739" s="1">
        <v>0.378</v>
      </c>
      <c r="Z739" s="1">
        <v>75.84</v>
      </c>
      <c r="AA739" s="1">
        <v>6.25</v>
      </c>
      <c r="AB739" s="1">
        <v>3.43</v>
      </c>
      <c r="AD739" s="1">
        <v>16.079999999999998</v>
      </c>
      <c r="AG739" s="1">
        <v>860</v>
      </c>
      <c r="AH739" s="1">
        <v>1.1599999999999999</v>
      </c>
      <c r="AS739" s="1">
        <v>0.97</v>
      </c>
      <c r="AV739" s="1">
        <v>1.9</v>
      </c>
    </row>
    <row r="740" spans="1:153" x14ac:dyDescent="0.2">
      <c r="A740" s="1" t="s">
        <v>4607</v>
      </c>
      <c r="B740" s="1" t="s">
        <v>1911</v>
      </c>
      <c r="C740" s="1" t="s">
        <v>4602</v>
      </c>
      <c r="D740" s="1" t="s">
        <v>2</v>
      </c>
      <c r="E740" s="1">
        <v>43</v>
      </c>
      <c r="F740" s="1" t="s">
        <v>1912</v>
      </c>
      <c r="H740" s="1" t="s">
        <v>4608</v>
      </c>
      <c r="I740" s="1" t="s">
        <v>11</v>
      </c>
      <c r="J740" s="1" t="s">
        <v>1914</v>
      </c>
      <c r="K740" s="1" t="s">
        <v>4572</v>
      </c>
      <c r="L740" s="1" t="s">
        <v>1914</v>
      </c>
      <c r="M740" s="1" t="s">
        <v>4609</v>
      </c>
      <c r="P740" s="1" t="s">
        <v>4605</v>
      </c>
      <c r="Q740" s="1">
        <v>1982</v>
      </c>
      <c r="R740" s="1" t="s">
        <v>4606</v>
      </c>
      <c r="S740" s="1" t="s">
        <v>23</v>
      </c>
      <c r="T740" s="38">
        <v>1</v>
      </c>
      <c r="U740" s="1">
        <v>0.378</v>
      </c>
      <c r="Z740" s="1">
        <v>74.72</v>
      </c>
      <c r="AA740" s="1">
        <v>6.25</v>
      </c>
      <c r="AB740" s="1">
        <v>3.81</v>
      </c>
      <c r="AD740" s="1">
        <v>16.79</v>
      </c>
      <c r="AG740" s="1">
        <v>1120</v>
      </c>
      <c r="AH740" s="1">
        <v>1.28</v>
      </c>
      <c r="AS740" s="1">
        <v>0.45</v>
      </c>
      <c r="AV740" s="1">
        <v>1.82</v>
      </c>
    </row>
    <row r="741" spans="1:153" x14ac:dyDescent="0.2">
      <c r="A741" s="1" t="s">
        <v>4610</v>
      </c>
      <c r="B741" s="1" t="s">
        <v>1911</v>
      </c>
      <c r="C741" s="1" t="s">
        <v>4602</v>
      </c>
      <c r="D741" s="1" t="s">
        <v>2</v>
      </c>
      <c r="E741" s="1">
        <v>43</v>
      </c>
      <c r="F741" s="1" t="s">
        <v>1912</v>
      </c>
      <c r="H741" s="1" t="s">
        <v>4611</v>
      </c>
      <c r="I741" s="1" t="s">
        <v>11</v>
      </c>
      <c r="J741" s="1" t="s">
        <v>1914</v>
      </c>
      <c r="K741" s="1" t="s">
        <v>4572</v>
      </c>
      <c r="L741" s="1" t="s">
        <v>1914</v>
      </c>
      <c r="M741" s="1" t="s">
        <v>4612</v>
      </c>
      <c r="P741" s="1" t="s">
        <v>4605</v>
      </c>
      <c r="Q741" s="1">
        <v>1982</v>
      </c>
      <c r="R741" s="1" t="s">
        <v>4606</v>
      </c>
      <c r="S741" s="1" t="s">
        <v>23</v>
      </c>
      <c r="T741" s="38">
        <v>1</v>
      </c>
      <c r="U741" s="1">
        <v>0.378</v>
      </c>
      <c r="Z741" s="1">
        <v>67.48</v>
      </c>
      <c r="AA741" s="1">
        <v>6.25</v>
      </c>
      <c r="AV741" s="1">
        <v>1.73</v>
      </c>
    </row>
    <row r="742" spans="1:153" x14ac:dyDescent="0.2">
      <c r="A742" s="1" t="s">
        <v>4613</v>
      </c>
      <c r="B742" s="1" t="s">
        <v>57</v>
      </c>
      <c r="C742" s="1" t="s">
        <v>4614</v>
      </c>
      <c r="E742" s="1">
        <v>56</v>
      </c>
      <c r="F742" s="1" t="s">
        <v>4615</v>
      </c>
      <c r="H742" s="1" t="s">
        <v>4616</v>
      </c>
      <c r="I742" s="1" t="s">
        <v>7</v>
      </c>
      <c r="J742" s="1" t="s">
        <v>4617</v>
      </c>
      <c r="K742" s="1" t="s">
        <v>4618</v>
      </c>
      <c r="L742" s="1" t="s">
        <v>4617</v>
      </c>
      <c r="M742" s="1" t="s">
        <v>4619</v>
      </c>
      <c r="P742" s="1" t="s">
        <v>4620</v>
      </c>
      <c r="Q742" s="1">
        <v>2009</v>
      </c>
      <c r="R742" s="1" t="s">
        <v>4621</v>
      </c>
      <c r="S742" s="1" t="s">
        <v>23</v>
      </c>
      <c r="T742" s="38">
        <v>1</v>
      </c>
      <c r="U742" s="1">
        <v>0.27889999999999998</v>
      </c>
      <c r="W742" s="1">
        <v>63.05</v>
      </c>
      <c r="Z742" s="1">
        <v>85.35</v>
      </c>
      <c r="AE742" s="1">
        <v>7.36</v>
      </c>
      <c r="AH742" s="1">
        <v>0.57999999999999996</v>
      </c>
      <c r="AR742" s="1">
        <v>4.09</v>
      </c>
      <c r="AV742" s="1">
        <v>2.62</v>
      </c>
      <c r="AY742" s="1">
        <v>186.9819</v>
      </c>
      <c r="BG742" s="1">
        <v>4375.8</v>
      </c>
      <c r="BH742" s="1">
        <v>211.8887</v>
      </c>
      <c r="BJ742" s="1">
        <v>68.044129999999996</v>
      </c>
      <c r="BM742" s="1">
        <v>410.30669999999998</v>
      </c>
      <c r="BS742" s="1">
        <v>297.10000000000002</v>
      </c>
    </row>
    <row r="743" spans="1:153" x14ac:dyDescent="0.2">
      <c r="A743" s="1" t="s">
        <v>4622</v>
      </c>
      <c r="B743" s="1" t="s">
        <v>57</v>
      </c>
      <c r="C743" s="1" t="s">
        <v>4614</v>
      </c>
      <c r="E743" s="1">
        <v>56</v>
      </c>
      <c r="F743" s="1" t="s">
        <v>4615</v>
      </c>
      <c r="H743" s="1" t="s">
        <v>4616</v>
      </c>
      <c r="I743" s="1" t="s">
        <v>7</v>
      </c>
      <c r="J743" s="1" t="s">
        <v>4617</v>
      </c>
      <c r="K743" s="1" t="s">
        <v>4618</v>
      </c>
      <c r="L743" s="1" t="s">
        <v>4617</v>
      </c>
      <c r="M743" s="1" t="s">
        <v>4623</v>
      </c>
      <c r="P743" s="1" t="s">
        <v>4620</v>
      </c>
      <c r="Q743" s="1">
        <v>2009</v>
      </c>
      <c r="R743" s="1" t="s">
        <v>4621</v>
      </c>
      <c r="S743" s="1" t="s">
        <v>23</v>
      </c>
      <c r="T743" s="38">
        <v>1</v>
      </c>
      <c r="U743" s="1">
        <v>0.28889999999999999</v>
      </c>
      <c r="W743" s="1">
        <v>78.459999999999994</v>
      </c>
      <c r="Z743" s="1">
        <v>82.7</v>
      </c>
      <c r="AE743" s="1">
        <v>8.99</v>
      </c>
      <c r="AH743" s="1">
        <v>1.2</v>
      </c>
      <c r="AR743" s="1">
        <v>4.17</v>
      </c>
      <c r="AV743" s="1">
        <v>2.95</v>
      </c>
      <c r="AY743" s="1">
        <v>304.28640000000001</v>
      </c>
      <c r="BG743" s="1">
        <v>3184.1</v>
      </c>
      <c r="BH743" s="1">
        <v>268.98509999999999</v>
      </c>
      <c r="BJ743" s="1">
        <v>61.7027</v>
      </c>
      <c r="BM743" s="1">
        <v>335.64760000000001</v>
      </c>
      <c r="BS743" s="1">
        <v>254.9</v>
      </c>
    </row>
    <row r="744" spans="1:153" x14ac:dyDescent="0.2">
      <c r="A744" s="1" t="s">
        <v>4624</v>
      </c>
      <c r="B744" s="1" t="s">
        <v>57</v>
      </c>
      <c r="C744" s="1" t="s">
        <v>4614</v>
      </c>
      <c r="E744" s="1">
        <v>56</v>
      </c>
      <c r="F744" s="1" t="s">
        <v>4615</v>
      </c>
      <c r="H744" s="1" t="s">
        <v>4616</v>
      </c>
      <c r="I744" s="1" t="s">
        <v>7</v>
      </c>
      <c r="J744" s="1" t="s">
        <v>4617</v>
      </c>
      <c r="K744" s="1" t="s">
        <v>4618</v>
      </c>
      <c r="L744" s="1" t="s">
        <v>4617</v>
      </c>
      <c r="M744" s="1" t="s">
        <v>4625</v>
      </c>
      <c r="P744" s="1" t="s">
        <v>4620</v>
      </c>
      <c r="Q744" s="1">
        <v>2009</v>
      </c>
      <c r="R744" s="1" t="s">
        <v>4621</v>
      </c>
      <c r="S744" s="1" t="s">
        <v>23</v>
      </c>
      <c r="T744" s="38">
        <v>1</v>
      </c>
      <c r="U744" s="1">
        <v>0.22670000000000001</v>
      </c>
      <c r="W744" s="1">
        <v>66.67</v>
      </c>
      <c r="Z744" s="1">
        <v>84.87</v>
      </c>
      <c r="AE744" s="1">
        <v>7.45</v>
      </c>
      <c r="AH744" s="1">
        <v>0.74</v>
      </c>
      <c r="AR744" s="1">
        <v>4.5</v>
      </c>
      <c r="AV744" s="1">
        <v>2.44</v>
      </c>
      <c r="AY744" s="1">
        <v>211.12620000000001</v>
      </c>
      <c r="BG744" s="1">
        <v>1555.2</v>
      </c>
      <c r="BH744" s="1">
        <v>189.04599999999999</v>
      </c>
      <c r="BJ744" s="1">
        <v>77.6678</v>
      </c>
      <c r="BM744" s="1">
        <v>454.55489999999998</v>
      </c>
      <c r="BS744" s="1">
        <v>113.8</v>
      </c>
    </row>
    <row r="745" spans="1:153" x14ac:dyDescent="0.2">
      <c r="A745" s="1" t="s">
        <v>4626</v>
      </c>
      <c r="B745" s="1" t="s">
        <v>57</v>
      </c>
      <c r="C745" s="1" t="s">
        <v>4614</v>
      </c>
      <c r="E745" s="1">
        <v>56</v>
      </c>
      <c r="F745" s="1" t="s">
        <v>4615</v>
      </c>
      <c r="H745" s="1" t="s">
        <v>4616</v>
      </c>
      <c r="I745" s="1" t="s">
        <v>7</v>
      </c>
      <c r="J745" s="1" t="s">
        <v>4617</v>
      </c>
      <c r="K745" s="1" t="s">
        <v>4618</v>
      </c>
      <c r="L745" s="1" t="s">
        <v>4617</v>
      </c>
      <c r="M745" s="1" t="s">
        <v>4627</v>
      </c>
      <c r="P745" s="1" t="s">
        <v>4620</v>
      </c>
      <c r="Q745" s="1">
        <v>2009</v>
      </c>
      <c r="R745" s="1" t="s">
        <v>4621</v>
      </c>
      <c r="S745" s="1" t="s">
        <v>23</v>
      </c>
      <c r="T745" s="38">
        <v>1</v>
      </c>
      <c r="U745" s="1">
        <v>0.1996</v>
      </c>
      <c r="W745" s="1">
        <v>58.03</v>
      </c>
      <c r="Z745" s="1">
        <v>86.57</v>
      </c>
      <c r="AE745" s="1">
        <v>6.86</v>
      </c>
      <c r="AH745" s="1">
        <v>0.92</v>
      </c>
      <c r="AR745" s="1">
        <v>2.7</v>
      </c>
      <c r="AV745" s="1">
        <v>2.95</v>
      </c>
      <c r="AY745" s="1">
        <v>209.43680000000001</v>
      </c>
      <c r="BG745" s="1">
        <v>5911.5</v>
      </c>
      <c r="BH745" s="1">
        <v>142.62870000000001</v>
      </c>
      <c r="BJ745" s="1">
        <v>79.734999999999999</v>
      </c>
      <c r="BM745" s="1">
        <v>438.76960000000003</v>
      </c>
      <c r="BS745" s="1">
        <v>142.5</v>
      </c>
    </row>
    <row r="746" spans="1:153" x14ac:dyDescent="0.2">
      <c r="A746" s="1" t="s">
        <v>4628</v>
      </c>
      <c r="B746" s="1" t="s">
        <v>57</v>
      </c>
      <c r="C746" s="1" t="s">
        <v>4614</v>
      </c>
      <c r="E746" s="1">
        <v>56</v>
      </c>
      <c r="F746" s="1" t="s">
        <v>4629</v>
      </c>
      <c r="H746" s="1" t="s">
        <v>4630</v>
      </c>
      <c r="I746" s="1" t="s">
        <v>7</v>
      </c>
      <c r="J746" s="1" t="s">
        <v>4631</v>
      </c>
      <c r="K746" s="1" t="s">
        <v>4632</v>
      </c>
      <c r="L746" s="1" t="s">
        <v>4631</v>
      </c>
      <c r="M746" s="1" t="s">
        <v>4619</v>
      </c>
      <c r="P746" s="1" t="s">
        <v>4620</v>
      </c>
      <c r="Q746" s="1">
        <v>2009</v>
      </c>
      <c r="R746" s="1" t="s">
        <v>4621</v>
      </c>
      <c r="S746" s="1" t="s">
        <v>23</v>
      </c>
      <c r="T746" s="38">
        <v>1</v>
      </c>
      <c r="U746" s="1">
        <v>0.23330000000000001</v>
      </c>
      <c r="W746" s="1">
        <v>66.42</v>
      </c>
      <c r="Z746" s="1">
        <v>83.34</v>
      </c>
      <c r="AE746" s="1">
        <v>8.4</v>
      </c>
      <c r="AH746" s="1">
        <v>0.69</v>
      </c>
      <c r="AR746" s="1">
        <v>3.18</v>
      </c>
      <c r="AV746" s="1">
        <v>4.0599999999999996</v>
      </c>
      <c r="AY746" s="1">
        <v>381.02539999999999</v>
      </c>
      <c r="BG746" s="1">
        <v>2188.5</v>
      </c>
      <c r="BH746" s="1">
        <v>255.9854</v>
      </c>
      <c r="BJ746" s="1">
        <v>88.066199999999995</v>
      </c>
      <c r="BM746" s="1">
        <v>417.37090000000001</v>
      </c>
      <c r="BS746" s="1">
        <v>413.7</v>
      </c>
    </row>
    <row r="747" spans="1:153" x14ac:dyDescent="0.2">
      <c r="A747" s="1" t="s">
        <v>4633</v>
      </c>
      <c r="B747" s="1" t="s">
        <v>57</v>
      </c>
      <c r="C747" s="1" t="s">
        <v>4614</v>
      </c>
      <c r="E747" s="1">
        <v>56</v>
      </c>
      <c r="F747" s="1" t="s">
        <v>4629</v>
      </c>
      <c r="H747" s="1" t="s">
        <v>4630</v>
      </c>
      <c r="I747" s="1" t="s">
        <v>7</v>
      </c>
      <c r="J747" s="1" t="s">
        <v>4631</v>
      </c>
      <c r="K747" s="1" t="s">
        <v>4632</v>
      </c>
      <c r="L747" s="1" t="s">
        <v>4631</v>
      </c>
      <c r="M747" s="1" t="s">
        <v>4623</v>
      </c>
      <c r="P747" s="1" t="s">
        <v>4620</v>
      </c>
      <c r="Q747" s="1">
        <v>2009</v>
      </c>
      <c r="R747" s="1" t="s">
        <v>4621</v>
      </c>
      <c r="S747" s="1" t="s">
        <v>23</v>
      </c>
      <c r="T747" s="38">
        <v>1</v>
      </c>
      <c r="U747" s="1">
        <v>0.31030000000000002</v>
      </c>
      <c r="W747" s="1">
        <v>84.36</v>
      </c>
      <c r="Z747" s="1">
        <v>81.09</v>
      </c>
      <c r="AE747" s="1">
        <v>10.61</v>
      </c>
      <c r="AH747" s="1">
        <v>1.33</v>
      </c>
      <c r="AR747" s="1">
        <v>3.02</v>
      </c>
      <c r="AV747" s="1">
        <v>4.05</v>
      </c>
      <c r="AY747" s="1">
        <v>254.2106</v>
      </c>
      <c r="BG747" s="1">
        <v>2019.6</v>
      </c>
      <c r="BH747" s="1">
        <v>306.28640000000001</v>
      </c>
      <c r="BJ747" s="1">
        <v>73.103499999999997</v>
      </c>
      <c r="BM747" s="1">
        <v>339.50409999999999</v>
      </c>
      <c r="BS747" s="1">
        <v>299.5</v>
      </c>
    </row>
    <row r="748" spans="1:153" x14ac:dyDescent="0.2">
      <c r="A748" s="1" t="s">
        <v>4634</v>
      </c>
      <c r="B748" s="1" t="s">
        <v>57</v>
      </c>
      <c r="C748" s="1" t="s">
        <v>4614</v>
      </c>
      <c r="E748" s="1">
        <v>56</v>
      </c>
      <c r="F748" s="1" t="s">
        <v>4629</v>
      </c>
      <c r="H748" s="1" t="s">
        <v>4630</v>
      </c>
      <c r="I748" s="1" t="s">
        <v>7</v>
      </c>
      <c r="J748" s="1" t="s">
        <v>4631</v>
      </c>
      <c r="K748" s="1" t="s">
        <v>4632</v>
      </c>
      <c r="L748" s="1" t="s">
        <v>4631</v>
      </c>
      <c r="M748" s="1" t="s">
        <v>4625</v>
      </c>
      <c r="P748" s="1" t="s">
        <v>4620</v>
      </c>
      <c r="Q748" s="1">
        <v>2009</v>
      </c>
      <c r="R748" s="1" t="s">
        <v>4621</v>
      </c>
      <c r="S748" s="1" t="s">
        <v>23</v>
      </c>
      <c r="T748" s="38">
        <v>1</v>
      </c>
      <c r="U748" s="1">
        <v>0.23949999999999999</v>
      </c>
      <c r="W748" s="1">
        <v>62.51</v>
      </c>
      <c r="Z748" s="1">
        <v>84.67</v>
      </c>
      <c r="AE748" s="1">
        <v>8.2100000000000009</v>
      </c>
      <c r="AH748" s="1">
        <v>0.7</v>
      </c>
      <c r="AR748" s="1">
        <v>2.4300000000000002</v>
      </c>
      <c r="AV748" s="1">
        <v>3.82</v>
      </c>
      <c r="AY748" s="1">
        <v>270.14179999999999</v>
      </c>
      <c r="BG748" s="1">
        <v>1725.8</v>
      </c>
      <c r="BH748" s="1">
        <v>206.0181</v>
      </c>
      <c r="BJ748" s="1">
        <v>89.064099999999996</v>
      </c>
      <c r="BM748" s="1">
        <v>462.32040000000001</v>
      </c>
      <c r="BS748" s="1">
        <v>111.6</v>
      </c>
    </row>
    <row r="749" spans="1:153" x14ac:dyDescent="0.2">
      <c r="A749" s="1" t="s">
        <v>4635</v>
      </c>
      <c r="B749" s="1" t="s">
        <v>57</v>
      </c>
      <c r="C749" s="1" t="s">
        <v>4614</v>
      </c>
      <c r="E749" s="1">
        <v>56</v>
      </c>
      <c r="F749" s="1" t="s">
        <v>4629</v>
      </c>
      <c r="H749" s="1" t="s">
        <v>4630</v>
      </c>
      <c r="I749" s="1" t="s">
        <v>7</v>
      </c>
      <c r="J749" s="1" t="s">
        <v>4631</v>
      </c>
      <c r="K749" s="1" t="s">
        <v>4632</v>
      </c>
      <c r="L749" s="1" t="s">
        <v>4631</v>
      </c>
      <c r="M749" s="1" t="s">
        <v>4627</v>
      </c>
      <c r="P749" s="1" t="s">
        <v>4620</v>
      </c>
      <c r="Q749" s="1">
        <v>2009</v>
      </c>
      <c r="R749" s="1" t="s">
        <v>4621</v>
      </c>
      <c r="S749" s="1" t="s">
        <v>23</v>
      </c>
      <c r="T749" s="38">
        <v>1</v>
      </c>
      <c r="U749" s="1">
        <v>0.24379999999999999</v>
      </c>
      <c r="W749" s="1">
        <v>63.15</v>
      </c>
      <c r="Z749" s="1">
        <v>85.55</v>
      </c>
      <c r="AE749" s="1">
        <v>8.1199999999999992</v>
      </c>
      <c r="AH749" s="1">
        <v>0.87</v>
      </c>
      <c r="AR749" s="1">
        <v>2.31</v>
      </c>
      <c r="AV749" s="1">
        <v>3.19</v>
      </c>
      <c r="AY749" s="1">
        <v>448.93259999999998</v>
      </c>
      <c r="BG749" s="1">
        <v>2980.1</v>
      </c>
      <c r="BH749" s="1">
        <v>156.9905</v>
      </c>
      <c r="BJ749" s="1">
        <v>87.219700000000003</v>
      </c>
      <c r="BM749" s="1">
        <v>450.58080000000001</v>
      </c>
      <c r="BS749" s="1">
        <v>177.9</v>
      </c>
    </row>
    <row r="750" spans="1:153" x14ac:dyDescent="0.2">
      <c r="A750" s="1" t="s">
        <v>4636</v>
      </c>
      <c r="B750" s="1" t="s">
        <v>57</v>
      </c>
      <c r="C750" s="1" t="s">
        <v>236</v>
      </c>
      <c r="E750" s="1">
        <v>57</v>
      </c>
      <c r="F750" s="1" t="s">
        <v>4637</v>
      </c>
      <c r="H750" s="1" t="s">
        <v>4638</v>
      </c>
      <c r="I750" s="1" t="s">
        <v>7</v>
      </c>
      <c r="J750" s="1" t="s">
        <v>4639</v>
      </c>
      <c r="K750" s="1" t="s">
        <v>4640</v>
      </c>
      <c r="L750" s="1" t="s">
        <v>4639</v>
      </c>
      <c r="N750" s="1" t="s">
        <v>4641</v>
      </c>
      <c r="P750" s="1" t="s">
        <v>4642</v>
      </c>
      <c r="Q750" s="1">
        <v>2007</v>
      </c>
      <c r="R750" s="1" t="s">
        <v>4643</v>
      </c>
      <c r="S750" s="1" t="s">
        <v>23</v>
      </c>
      <c r="T750" s="38">
        <v>1</v>
      </c>
      <c r="Z750" s="1">
        <v>75.599999999999994</v>
      </c>
      <c r="AA750" s="1">
        <v>6.25</v>
      </c>
      <c r="AC750" s="1">
        <v>20.056799999999999</v>
      </c>
      <c r="AI750" s="1">
        <v>0.56120000000000003</v>
      </c>
      <c r="AQ750" s="1">
        <v>2.0739999999999998</v>
      </c>
      <c r="AV750" s="1">
        <v>1.708</v>
      </c>
    </row>
    <row r="751" spans="1:153" x14ac:dyDescent="0.2">
      <c r="A751" s="1" t="s">
        <v>4644</v>
      </c>
      <c r="B751" s="1" t="s">
        <v>57</v>
      </c>
      <c r="C751" s="1" t="s">
        <v>236</v>
      </c>
      <c r="E751" s="1">
        <v>57</v>
      </c>
      <c r="F751" s="1" t="s">
        <v>4637</v>
      </c>
      <c r="H751" s="1" t="s">
        <v>4645</v>
      </c>
      <c r="I751" s="1" t="s">
        <v>11</v>
      </c>
      <c r="J751" s="1" t="s">
        <v>4639</v>
      </c>
      <c r="K751" s="1" t="s">
        <v>4640</v>
      </c>
      <c r="L751" s="1" t="s">
        <v>4639</v>
      </c>
      <c r="N751" s="1" t="s">
        <v>4646</v>
      </c>
      <c r="P751" s="1" t="s">
        <v>4642</v>
      </c>
      <c r="Q751" s="1">
        <v>2007</v>
      </c>
      <c r="R751" s="1" t="s">
        <v>4643</v>
      </c>
      <c r="S751" s="1" t="s">
        <v>23</v>
      </c>
      <c r="T751" s="38">
        <v>1</v>
      </c>
      <c r="Z751" s="1">
        <v>73.2</v>
      </c>
      <c r="AA751" s="1">
        <v>6.25</v>
      </c>
      <c r="AC751" s="1">
        <v>21.788399999999999</v>
      </c>
      <c r="AI751" s="1">
        <v>0.85760000000000003</v>
      </c>
      <c r="AQ751" s="1">
        <v>2.7871999999999999</v>
      </c>
      <c r="AV751" s="1">
        <v>1.3668</v>
      </c>
    </row>
    <row r="752" spans="1:153" x14ac:dyDescent="0.2">
      <c r="A752" s="1" t="s">
        <v>4647</v>
      </c>
      <c r="B752" s="1" t="s">
        <v>57</v>
      </c>
      <c r="C752" s="1" t="s">
        <v>236</v>
      </c>
      <c r="E752" s="1">
        <v>57</v>
      </c>
      <c r="F752" s="1" t="s">
        <v>4648</v>
      </c>
      <c r="H752" s="1" t="s">
        <v>4649</v>
      </c>
      <c r="I752" s="1" t="s">
        <v>7</v>
      </c>
      <c r="J752" s="1" t="s">
        <v>4650</v>
      </c>
      <c r="K752" s="1" t="s">
        <v>4651</v>
      </c>
      <c r="L752" s="1" t="s">
        <v>4650</v>
      </c>
      <c r="P752" s="1" t="s">
        <v>4642</v>
      </c>
      <c r="Q752" s="1">
        <v>2007</v>
      </c>
      <c r="R752" s="1" t="s">
        <v>4643</v>
      </c>
      <c r="S752" s="1" t="s">
        <v>23</v>
      </c>
      <c r="T752" s="38">
        <v>1</v>
      </c>
      <c r="Z752" s="1">
        <v>86</v>
      </c>
      <c r="AC752" s="1">
        <v>12.278</v>
      </c>
      <c r="AI752" s="1">
        <v>0.33600000000000002</v>
      </c>
      <c r="AQ752" s="1">
        <v>0.16800000000000001</v>
      </c>
      <c r="AV752" s="1">
        <v>1.218</v>
      </c>
    </row>
    <row r="753" spans="1:153" x14ac:dyDescent="0.2">
      <c r="A753" s="1" t="s">
        <v>4652</v>
      </c>
      <c r="B753" s="1" t="s">
        <v>57</v>
      </c>
      <c r="C753" s="1" t="s">
        <v>236</v>
      </c>
      <c r="E753" s="1">
        <v>57</v>
      </c>
      <c r="F753" s="1" t="s">
        <v>4648</v>
      </c>
      <c r="H753" s="1" t="s">
        <v>4653</v>
      </c>
      <c r="I753" s="1" t="s">
        <v>11</v>
      </c>
      <c r="J753" s="1" t="s">
        <v>4650</v>
      </c>
      <c r="K753" s="1" t="s">
        <v>4651</v>
      </c>
      <c r="L753" s="1" t="s">
        <v>4650</v>
      </c>
      <c r="N753" s="1" t="s">
        <v>4646</v>
      </c>
      <c r="P753" s="1" t="s">
        <v>4642</v>
      </c>
      <c r="Q753" s="1">
        <v>2007</v>
      </c>
      <c r="R753" s="1" t="s">
        <v>4643</v>
      </c>
      <c r="S753" s="1" t="s">
        <v>23</v>
      </c>
      <c r="T753" s="38">
        <v>1</v>
      </c>
      <c r="Z753" s="1">
        <v>76.7</v>
      </c>
      <c r="AC753" s="1">
        <v>18.9895</v>
      </c>
      <c r="AI753" s="1">
        <v>0.51259999999999994</v>
      </c>
      <c r="AQ753" s="1">
        <v>2.6562000000000001</v>
      </c>
      <c r="AV753" s="1">
        <v>1.1416999999999999</v>
      </c>
    </row>
    <row r="754" spans="1:153" x14ac:dyDescent="0.2">
      <c r="A754" s="1" t="s">
        <v>4654</v>
      </c>
      <c r="B754" s="1" t="s">
        <v>57</v>
      </c>
      <c r="C754" s="1" t="s">
        <v>4655</v>
      </c>
      <c r="D754" s="1" t="s">
        <v>2</v>
      </c>
      <c r="E754" s="1">
        <v>54</v>
      </c>
      <c r="F754" s="1" t="s">
        <v>4152</v>
      </c>
      <c r="G754" s="1" t="s">
        <v>4517</v>
      </c>
      <c r="H754" s="1" t="s">
        <v>4656</v>
      </c>
      <c r="I754" s="1" t="s">
        <v>11</v>
      </c>
      <c r="J754" s="1" t="s">
        <v>4657</v>
      </c>
      <c r="K754" s="1" t="s">
        <v>4155</v>
      </c>
      <c r="L754" s="1" t="s">
        <v>4154</v>
      </c>
      <c r="M754" s="1" t="s">
        <v>4658</v>
      </c>
      <c r="O754" s="1" t="s">
        <v>4517</v>
      </c>
      <c r="P754" s="1" t="s">
        <v>4659</v>
      </c>
      <c r="Q754" s="1">
        <v>2008</v>
      </c>
      <c r="R754" s="1" t="s">
        <v>4660</v>
      </c>
      <c r="S754" s="1" t="s">
        <v>25</v>
      </c>
      <c r="T754" s="38">
        <v>1</v>
      </c>
      <c r="Z754" s="1" t="s">
        <v>4661</v>
      </c>
      <c r="AE754" s="1" t="s">
        <v>4662</v>
      </c>
      <c r="AH754" s="1" t="s">
        <v>4663</v>
      </c>
      <c r="AV754" s="1" t="s">
        <v>4664</v>
      </c>
      <c r="DS754" s="1">
        <v>14286</v>
      </c>
      <c r="DU754" s="1">
        <v>704</v>
      </c>
      <c r="DV754" s="1">
        <v>869</v>
      </c>
      <c r="DX754" s="1">
        <v>1360</v>
      </c>
      <c r="DY754" s="1">
        <v>261</v>
      </c>
      <c r="EA754" s="1">
        <v>1784</v>
      </c>
      <c r="EB754" s="1">
        <v>801</v>
      </c>
      <c r="EC754" s="1">
        <v>426</v>
      </c>
      <c r="EF754" s="1">
        <v>592</v>
      </c>
      <c r="EG754" s="1">
        <v>954</v>
      </c>
      <c r="EH754" s="1">
        <v>1046</v>
      </c>
      <c r="EI754" s="1">
        <v>249</v>
      </c>
      <c r="EK754" s="1">
        <v>844</v>
      </c>
      <c r="EL754" s="1">
        <v>1523</v>
      </c>
      <c r="EM754" s="1">
        <v>812</v>
      </c>
      <c r="EO754" s="1">
        <v>718</v>
      </c>
      <c r="EQ754" s="1">
        <v>683</v>
      </c>
      <c r="ER754" s="1">
        <v>660</v>
      </c>
    </row>
    <row r="755" spans="1:153" x14ac:dyDescent="0.2">
      <c r="A755" s="1" t="s">
        <v>4665</v>
      </c>
      <c r="B755" s="1" t="s">
        <v>57</v>
      </c>
      <c r="C755" s="1" t="s">
        <v>4655</v>
      </c>
      <c r="D755" s="1" t="s">
        <v>2</v>
      </c>
      <c r="E755" s="1">
        <v>54</v>
      </c>
      <c r="F755" s="1" t="s">
        <v>4152</v>
      </c>
      <c r="G755" s="1" t="s">
        <v>4517</v>
      </c>
      <c r="H755" s="1" t="s">
        <v>4666</v>
      </c>
      <c r="I755" s="1" t="s">
        <v>11</v>
      </c>
      <c r="J755" s="1" t="s">
        <v>4657</v>
      </c>
      <c r="K755" s="1" t="s">
        <v>4155</v>
      </c>
      <c r="L755" s="1" t="s">
        <v>4154</v>
      </c>
      <c r="M755" s="1" t="s">
        <v>4658</v>
      </c>
      <c r="O755" s="1" t="s">
        <v>4517</v>
      </c>
      <c r="P755" s="1" t="s">
        <v>4659</v>
      </c>
      <c r="Q755" s="1">
        <v>2008</v>
      </c>
      <c r="R755" s="1" t="s">
        <v>4660</v>
      </c>
      <c r="S755" s="1" t="s">
        <v>25</v>
      </c>
      <c r="T755" s="38">
        <v>1</v>
      </c>
      <c r="Z755" s="1">
        <v>69.400000000000006</v>
      </c>
      <c r="AE755" s="1">
        <v>20.399999999999999</v>
      </c>
      <c r="AH755" s="1">
        <v>4.9000000000000004</v>
      </c>
      <c r="AV755" s="1">
        <v>2.4</v>
      </c>
      <c r="DS755" s="1">
        <v>16723</v>
      </c>
      <c r="DU755" s="1">
        <v>977</v>
      </c>
      <c r="DV755" s="1">
        <v>1490</v>
      </c>
      <c r="DX755" s="1">
        <v>1478</v>
      </c>
      <c r="DY755" s="1">
        <v>277</v>
      </c>
      <c r="EA755" s="1">
        <v>2081</v>
      </c>
      <c r="EB755" s="1">
        <v>998</v>
      </c>
      <c r="EC755" s="1">
        <v>466</v>
      </c>
      <c r="EF755" s="1">
        <v>651</v>
      </c>
      <c r="EG755" s="1">
        <v>1062</v>
      </c>
      <c r="EH755" s="1">
        <v>1770</v>
      </c>
      <c r="EI755" s="1">
        <v>288</v>
      </c>
      <c r="EK755" s="1">
        <v>847</v>
      </c>
      <c r="EL755" s="1">
        <v>1073</v>
      </c>
      <c r="EM755" s="1">
        <v>992</v>
      </c>
      <c r="EO755" s="1">
        <v>824</v>
      </c>
      <c r="EQ755" s="1">
        <v>730</v>
      </c>
      <c r="ER755" s="1">
        <v>719</v>
      </c>
    </row>
    <row r="756" spans="1:153" x14ac:dyDescent="0.2">
      <c r="A756" s="1" t="s">
        <v>4667</v>
      </c>
      <c r="B756" s="1" t="s">
        <v>57</v>
      </c>
      <c r="C756" s="1" t="s">
        <v>4655</v>
      </c>
      <c r="D756" s="1" t="s">
        <v>2</v>
      </c>
      <c r="E756" s="1">
        <v>54</v>
      </c>
      <c r="F756" s="1" t="s">
        <v>4152</v>
      </c>
      <c r="G756" s="1" t="s">
        <v>4517</v>
      </c>
      <c r="H756" s="1" t="s">
        <v>4668</v>
      </c>
      <c r="I756" s="1" t="s">
        <v>11</v>
      </c>
      <c r="J756" s="1" t="s">
        <v>4657</v>
      </c>
      <c r="K756" s="1" t="s">
        <v>4155</v>
      </c>
      <c r="L756" s="1" t="s">
        <v>4154</v>
      </c>
      <c r="M756" s="1" t="s">
        <v>4658</v>
      </c>
      <c r="O756" s="1" t="s">
        <v>4517</v>
      </c>
      <c r="P756" s="1" t="s">
        <v>4659</v>
      </c>
      <c r="Q756" s="1">
        <v>2008</v>
      </c>
      <c r="R756" s="1" t="s">
        <v>4660</v>
      </c>
      <c r="S756" s="1" t="s">
        <v>25</v>
      </c>
      <c r="T756" s="38">
        <v>1</v>
      </c>
      <c r="Z756" s="1" t="s">
        <v>4669</v>
      </c>
      <c r="AE756" s="1" t="s">
        <v>4670</v>
      </c>
      <c r="AH756" s="1" t="s">
        <v>4671</v>
      </c>
      <c r="AV756" s="1" t="s">
        <v>4672</v>
      </c>
      <c r="DS756" s="1" t="s">
        <v>4673</v>
      </c>
      <c r="DU756" s="1" t="s">
        <v>4203</v>
      </c>
      <c r="DV756" s="1" t="s">
        <v>4674</v>
      </c>
      <c r="DX756" s="1" t="s">
        <v>4675</v>
      </c>
      <c r="DY756" s="1" t="s">
        <v>4676</v>
      </c>
      <c r="EA756" s="1" t="s">
        <v>4677</v>
      </c>
      <c r="EB756" s="1" t="s">
        <v>4678</v>
      </c>
      <c r="EC756" s="1" t="s">
        <v>4679</v>
      </c>
      <c r="EF756" s="1" t="s">
        <v>4680</v>
      </c>
      <c r="EG756" s="1" t="s">
        <v>4681</v>
      </c>
      <c r="EH756" s="1" t="s">
        <v>4682</v>
      </c>
      <c r="EI756" s="1" t="s">
        <v>4683</v>
      </c>
      <c r="EK756" s="1" t="s">
        <v>4684</v>
      </c>
      <c r="EL756" s="1" t="s">
        <v>4685</v>
      </c>
      <c r="EM756" s="1" t="s">
        <v>4686</v>
      </c>
      <c r="EO756" s="1" t="s">
        <v>4687</v>
      </c>
      <c r="EQ756" s="1" t="s">
        <v>4688</v>
      </c>
      <c r="ER756" s="1" t="s">
        <v>4689</v>
      </c>
    </row>
    <row r="757" spans="1:153" x14ac:dyDescent="0.2">
      <c r="A757" s="1" t="s">
        <v>4690</v>
      </c>
      <c r="B757" s="1" t="s">
        <v>57</v>
      </c>
      <c r="C757" s="1" t="s">
        <v>4655</v>
      </c>
      <c r="D757" s="1" t="s">
        <v>2</v>
      </c>
      <c r="E757" s="1">
        <v>54</v>
      </c>
      <c r="F757" s="1" t="s">
        <v>4152</v>
      </c>
      <c r="G757" s="1" t="s">
        <v>4517</v>
      </c>
      <c r="H757" s="1" t="s">
        <v>4691</v>
      </c>
      <c r="I757" s="1" t="s">
        <v>11</v>
      </c>
      <c r="J757" s="1" t="s">
        <v>4657</v>
      </c>
      <c r="K757" s="1" t="s">
        <v>4155</v>
      </c>
      <c r="L757" s="1" t="s">
        <v>4154</v>
      </c>
      <c r="M757" s="1" t="s">
        <v>4658</v>
      </c>
      <c r="O757" s="1" t="s">
        <v>4517</v>
      </c>
      <c r="P757" s="1" t="s">
        <v>4659</v>
      </c>
      <c r="Q757" s="1">
        <v>2008</v>
      </c>
      <c r="R757" s="1" t="s">
        <v>4660</v>
      </c>
      <c r="S757" s="1" t="s">
        <v>25</v>
      </c>
      <c r="T757" s="38">
        <v>1</v>
      </c>
      <c r="Z757" s="1" t="s">
        <v>4692</v>
      </c>
      <c r="AE757" s="1" t="s">
        <v>4693</v>
      </c>
      <c r="AH757" s="1" t="s">
        <v>4694</v>
      </c>
      <c r="AV757" s="1" t="s">
        <v>4672</v>
      </c>
      <c r="DS757" s="1">
        <v>9913</v>
      </c>
      <c r="DU757" s="1">
        <v>519</v>
      </c>
      <c r="DV757" s="1">
        <v>758</v>
      </c>
      <c r="DX757" s="1">
        <v>969</v>
      </c>
      <c r="DY757" s="1">
        <v>216</v>
      </c>
      <c r="EA757" s="1">
        <v>1463</v>
      </c>
      <c r="EB757" s="1">
        <v>528</v>
      </c>
      <c r="EC757" s="1">
        <v>315</v>
      </c>
      <c r="EF757" s="1">
        <v>413</v>
      </c>
      <c r="EG757" s="1">
        <v>657</v>
      </c>
      <c r="EH757" s="1">
        <v>811</v>
      </c>
      <c r="EI757" s="1">
        <v>181</v>
      </c>
      <c r="EK757" s="1">
        <v>614</v>
      </c>
      <c r="EL757" s="1">
        <v>366</v>
      </c>
      <c r="EM757" s="1">
        <v>589</v>
      </c>
      <c r="EO757" s="1">
        <v>519</v>
      </c>
      <c r="EQ757" s="1">
        <v>527</v>
      </c>
      <c r="ER757" s="1">
        <v>468</v>
      </c>
    </row>
    <row r="758" spans="1:153" x14ac:dyDescent="0.2">
      <c r="A758" s="1" t="s">
        <v>4695</v>
      </c>
      <c r="B758" s="1" t="s">
        <v>57</v>
      </c>
      <c r="C758" s="1" t="s">
        <v>4655</v>
      </c>
      <c r="D758" s="1" t="s">
        <v>2</v>
      </c>
      <c r="E758" s="1">
        <v>54</v>
      </c>
      <c r="F758" s="1" t="s">
        <v>4152</v>
      </c>
      <c r="G758" s="1" t="s">
        <v>4517</v>
      </c>
      <c r="H758" s="1" t="s">
        <v>4696</v>
      </c>
      <c r="I758" s="1" t="s">
        <v>11</v>
      </c>
      <c r="J758" s="1" t="s">
        <v>4657</v>
      </c>
      <c r="K758" s="1" t="s">
        <v>4155</v>
      </c>
      <c r="L758" s="1" t="s">
        <v>4154</v>
      </c>
      <c r="M758" s="1" t="s">
        <v>4658</v>
      </c>
      <c r="O758" s="1" t="s">
        <v>4517</v>
      </c>
      <c r="P758" s="1" t="s">
        <v>4659</v>
      </c>
      <c r="Q758" s="1">
        <v>2008</v>
      </c>
      <c r="R758" s="1" t="s">
        <v>4660</v>
      </c>
      <c r="S758" s="1" t="s">
        <v>25</v>
      </c>
      <c r="T758" s="38">
        <v>1</v>
      </c>
      <c r="Z758" s="1" t="s">
        <v>4697</v>
      </c>
      <c r="AE758" s="1" t="s">
        <v>4698</v>
      </c>
      <c r="AH758" s="1" t="s">
        <v>4699</v>
      </c>
      <c r="AV758" s="1" t="s">
        <v>4700</v>
      </c>
      <c r="DS758" s="1">
        <v>10087</v>
      </c>
      <c r="DU758" s="1">
        <v>623</v>
      </c>
      <c r="DV758" s="1">
        <v>806</v>
      </c>
      <c r="DX758" s="1">
        <v>949</v>
      </c>
      <c r="EA758" s="1">
        <v>1433</v>
      </c>
      <c r="EB758" s="1">
        <v>550</v>
      </c>
      <c r="EC758" s="1">
        <v>307</v>
      </c>
      <c r="EF758" s="1">
        <v>406</v>
      </c>
      <c r="EG758" s="1">
        <v>660</v>
      </c>
      <c r="EH758" s="1">
        <v>902</v>
      </c>
      <c r="EI758" s="1">
        <v>137</v>
      </c>
      <c r="EK758" s="1">
        <v>671</v>
      </c>
      <c r="EL758" s="1">
        <v>532</v>
      </c>
      <c r="EM758" s="1">
        <v>598</v>
      </c>
      <c r="EO758" s="1">
        <v>531</v>
      </c>
      <c r="EQ758" s="1">
        <v>511</v>
      </c>
      <c r="ER758" s="1">
        <v>471</v>
      </c>
    </row>
    <row r="759" spans="1:153" x14ac:dyDescent="0.2">
      <c r="A759" s="1" t="s">
        <v>4701</v>
      </c>
      <c r="B759" s="1" t="s">
        <v>1911</v>
      </c>
      <c r="C759" s="1" t="s">
        <v>4702</v>
      </c>
      <c r="E759" s="1">
        <v>42</v>
      </c>
      <c r="F759" s="1" t="s">
        <v>4703</v>
      </c>
      <c r="G759" s="1" t="s">
        <v>4517</v>
      </c>
      <c r="H759" s="1" t="s">
        <v>4704</v>
      </c>
      <c r="I759" s="1" t="s">
        <v>7</v>
      </c>
      <c r="J759" s="1" t="s">
        <v>4705</v>
      </c>
      <c r="K759" s="1" t="s">
        <v>4706</v>
      </c>
      <c r="L759" s="1" t="s">
        <v>4705</v>
      </c>
      <c r="M759" s="1" t="s">
        <v>4517</v>
      </c>
      <c r="O759" s="1" t="s">
        <v>4517</v>
      </c>
      <c r="P759" s="1" t="s">
        <v>4707</v>
      </c>
      <c r="Q759" s="1">
        <v>2007</v>
      </c>
      <c r="R759" s="1" t="s">
        <v>4708</v>
      </c>
      <c r="S759" s="1" t="s">
        <v>25</v>
      </c>
      <c r="T759" s="38">
        <v>1</v>
      </c>
      <c r="W759" s="1">
        <v>69</v>
      </c>
      <c r="Z759" s="1">
        <v>82.97</v>
      </c>
      <c r="AC759" s="1">
        <v>13.37</v>
      </c>
      <c r="AJ759" s="1">
        <v>0.25</v>
      </c>
      <c r="AQ759" s="1">
        <v>2.2599999999999998</v>
      </c>
      <c r="AV759" s="1">
        <v>1.1499999999999999</v>
      </c>
      <c r="AY759" s="1" t="s">
        <v>4709</v>
      </c>
      <c r="BD759" s="1" t="s">
        <v>4710</v>
      </c>
      <c r="BF759" s="1" t="s">
        <v>4711</v>
      </c>
      <c r="BH759" s="1" t="s">
        <v>4712</v>
      </c>
      <c r="BJ759" s="1" t="s">
        <v>4713</v>
      </c>
      <c r="BK759" s="1" t="s">
        <v>4714</v>
      </c>
      <c r="BM759" s="1" t="s">
        <v>4715</v>
      </c>
      <c r="BP759" s="1" t="s">
        <v>4716</v>
      </c>
      <c r="BW759" s="1" t="s">
        <v>4717</v>
      </c>
    </row>
    <row r="760" spans="1:153" x14ac:dyDescent="0.2">
      <c r="A760" s="1" t="s">
        <v>4718</v>
      </c>
      <c r="B760" s="1" t="s">
        <v>57</v>
      </c>
      <c r="C760" s="1" t="s">
        <v>4719</v>
      </c>
      <c r="D760" s="1" t="s">
        <v>2</v>
      </c>
      <c r="E760" s="1">
        <v>52</v>
      </c>
      <c r="F760" s="1" t="s">
        <v>3761</v>
      </c>
      <c r="G760" s="1" t="s">
        <v>4517</v>
      </c>
      <c r="H760" s="1" t="s">
        <v>4720</v>
      </c>
      <c r="I760" s="1" t="s">
        <v>7</v>
      </c>
      <c r="J760" s="1" t="s">
        <v>4721</v>
      </c>
      <c r="K760" s="1" t="s">
        <v>3764</v>
      </c>
      <c r="L760" s="1" t="s">
        <v>3765</v>
      </c>
      <c r="M760" s="1" t="s">
        <v>4722</v>
      </c>
      <c r="O760" s="1" t="s">
        <v>4517</v>
      </c>
      <c r="Q760" s="1">
        <v>2006</v>
      </c>
      <c r="R760" s="1" t="s">
        <v>4723</v>
      </c>
      <c r="S760" s="1" t="s">
        <v>25</v>
      </c>
      <c r="T760" s="38">
        <v>1</v>
      </c>
      <c r="AH760" s="1">
        <v>1.1000000000000001</v>
      </c>
      <c r="AK760" s="1">
        <v>0.14849999999999999</v>
      </c>
      <c r="AL760" s="1">
        <v>0.1047</v>
      </c>
      <c r="AM760" s="1">
        <v>0.18559999999999999</v>
      </c>
    </row>
    <row r="761" spans="1:153" x14ac:dyDescent="0.2">
      <c r="A761" s="1" t="s">
        <v>4724</v>
      </c>
      <c r="B761" s="1" t="s">
        <v>57</v>
      </c>
      <c r="C761" s="1" t="s">
        <v>4719</v>
      </c>
      <c r="D761" s="1" t="s">
        <v>2</v>
      </c>
      <c r="E761" s="1">
        <v>52</v>
      </c>
      <c r="F761" s="1" t="s">
        <v>3761</v>
      </c>
      <c r="G761" s="1" t="s">
        <v>4517</v>
      </c>
      <c r="H761" s="1" t="s">
        <v>4720</v>
      </c>
      <c r="I761" s="1" t="s">
        <v>7</v>
      </c>
      <c r="J761" s="1" t="s">
        <v>4721</v>
      </c>
      <c r="K761" s="1" t="s">
        <v>3764</v>
      </c>
      <c r="L761" s="1" t="s">
        <v>3765</v>
      </c>
      <c r="M761" s="1" t="s">
        <v>4725</v>
      </c>
      <c r="O761" s="1" t="s">
        <v>4517</v>
      </c>
      <c r="Q761" s="1">
        <v>2006</v>
      </c>
      <c r="R761" s="1" t="s">
        <v>4723</v>
      </c>
      <c r="S761" s="1" t="s">
        <v>25</v>
      </c>
      <c r="T761" s="38">
        <v>1</v>
      </c>
      <c r="AH761" s="1">
        <v>2.5</v>
      </c>
      <c r="AK761" s="1">
        <v>0.21329999999999999</v>
      </c>
      <c r="AL761" s="1">
        <v>9.0399999999999994E-2</v>
      </c>
      <c r="AM761" s="1">
        <v>0.1555</v>
      </c>
    </row>
    <row r="762" spans="1:153" x14ac:dyDescent="0.2">
      <c r="A762" s="1" t="s">
        <v>4726</v>
      </c>
      <c r="B762" s="1" t="s">
        <v>57</v>
      </c>
      <c r="C762" s="1" t="s">
        <v>4719</v>
      </c>
      <c r="D762" s="1" t="s">
        <v>2</v>
      </c>
      <c r="E762" s="1">
        <v>52</v>
      </c>
      <c r="F762" s="1" t="s">
        <v>3761</v>
      </c>
      <c r="G762" s="1" t="s">
        <v>4517</v>
      </c>
      <c r="H762" s="1" t="s">
        <v>4720</v>
      </c>
      <c r="I762" s="1" t="s">
        <v>7</v>
      </c>
      <c r="J762" s="1" t="s">
        <v>4721</v>
      </c>
      <c r="K762" s="1" t="s">
        <v>3764</v>
      </c>
      <c r="L762" s="1" t="s">
        <v>3765</v>
      </c>
      <c r="M762" s="1" t="s">
        <v>4727</v>
      </c>
      <c r="O762" s="1" t="s">
        <v>4517</v>
      </c>
      <c r="Q762" s="1">
        <v>2006</v>
      </c>
      <c r="R762" s="1" t="s">
        <v>4723</v>
      </c>
      <c r="S762" s="1" t="s">
        <v>25</v>
      </c>
      <c r="T762" s="38">
        <v>1</v>
      </c>
      <c r="AH762" s="1">
        <v>0.8</v>
      </c>
      <c r="AK762" s="1">
        <v>9.69E-2</v>
      </c>
      <c r="AL762" s="1">
        <v>6.88E-2</v>
      </c>
      <c r="AM762" s="1">
        <v>0.1229</v>
      </c>
    </row>
    <row r="763" spans="1:153" x14ac:dyDescent="0.2">
      <c r="A763" s="1" t="s">
        <v>4728</v>
      </c>
      <c r="B763" s="1" t="s">
        <v>57</v>
      </c>
      <c r="C763" s="1" t="s">
        <v>4719</v>
      </c>
      <c r="D763" s="1" t="s">
        <v>2</v>
      </c>
      <c r="E763" s="1">
        <v>52</v>
      </c>
      <c r="F763" s="1" t="s">
        <v>3761</v>
      </c>
      <c r="G763" s="1" t="s">
        <v>4517</v>
      </c>
      <c r="H763" s="1" t="s">
        <v>4720</v>
      </c>
      <c r="I763" s="1" t="s">
        <v>7</v>
      </c>
      <c r="J763" s="1" t="s">
        <v>4721</v>
      </c>
      <c r="K763" s="1" t="s">
        <v>3764</v>
      </c>
      <c r="L763" s="1" t="s">
        <v>3765</v>
      </c>
      <c r="M763" s="1" t="s">
        <v>4729</v>
      </c>
      <c r="O763" s="1" t="s">
        <v>4517</v>
      </c>
      <c r="Q763" s="1">
        <v>2006</v>
      </c>
      <c r="R763" s="1" t="s">
        <v>4723</v>
      </c>
      <c r="S763" s="1" t="s">
        <v>25</v>
      </c>
      <c r="T763" s="38">
        <v>1</v>
      </c>
      <c r="AH763" s="1">
        <v>1.2</v>
      </c>
      <c r="AK763" s="1">
        <v>0.155</v>
      </c>
      <c r="AL763" s="1">
        <v>0.10299999999999999</v>
      </c>
      <c r="AM763" s="1">
        <v>0.1988</v>
      </c>
    </row>
    <row r="764" spans="1:153" x14ac:dyDescent="0.2">
      <c r="A764" s="1" t="s">
        <v>4730</v>
      </c>
      <c r="B764" s="1" t="s">
        <v>57</v>
      </c>
      <c r="C764" s="1" t="s">
        <v>4719</v>
      </c>
      <c r="D764" s="1" t="s">
        <v>2</v>
      </c>
      <c r="E764" s="1">
        <v>52</v>
      </c>
      <c r="F764" s="1" t="s">
        <v>4731</v>
      </c>
      <c r="G764" s="1" t="s">
        <v>4517</v>
      </c>
      <c r="H764" s="1" t="s">
        <v>4732</v>
      </c>
      <c r="I764" s="1" t="s">
        <v>7</v>
      </c>
      <c r="J764" s="1" t="s">
        <v>4733</v>
      </c>
      <c r="K764" s="1" t="s">
        <v>4734</v>
      </c>
      <c r="L764" s="1" t="s">
        <v>4733</v>
      </c>
      <c r="M764" s="1" t="s">
        <v>4722</v>
      </c>
      <c r="O764" s="1" t="s">
        <v>4517</v>
      </c>
      <c r="Q764" s="1">
        <v>2006</v>
      </c>
      <c r="R764" s="1" t="s">
        <v>4723</v>
      </c>
      <c r="S764" s="1" t="s">
        <v>25</v>
      </c>
      <c r="T764" s="38">
        <v>1</v>
      </c>
      <c r="AH764" s="1">
        <v>1.2</v>
      </c>
      <c r="AK764" s="1">
        <v>0.13589999999999999</v>
      </c>
      <c r="AL764" s="1">
        <v>0.1145</v>
      </c>
      <c r="AM764" s="1">
        <v>0.1802</v>
      </c>
    </row>
    <row r="765" spans="1:153" x14ac:dyDescent="0.2">
      <c r="A765" s="1" t="s">
        <v>4735</v>
      </c>
      <c r="B765" s="1" t="s">
        <v>57</v>
      </c>
      <c r="C765" s="1" t="s">
        <v>4719</v>
      </c>
      <c r="D765" s="1" t="s">
        <v>2</v>
      </c>
      <c r="E765" s="1">
        <v>52</v>
      </c>
      <c r="F765" s="1" t="s">
        <v>4731</v>
      </c>
      <c r="G765" s="1" t="s">
        <v>4517</v>
      </c>
      <c r="H765" s="1" t="s">
        <v>4732</v>
      </c>
      <c r="I765" s="1" t="s">
        <v>7</v>
      </c>
      <c r="J765" s="1" t="s">
        <v>4733</v>
      </c>
      <c r="K765" s="1" t="s">
        <v>4734</v>
      </c>
      <c r="L765" s="1" t="s">
        <v>4733</v>
      </c>
      <c r="M765" s="1" t="s">
        <v>4725</v>
      </c>
      <c r="O765" s="1" t="s">
        <v>4517</v>
      </c>
      <c r="Q765" s="1">
        <v>2006</v>
      </c>
      <c r="R765" s="1" t="s">
        <v>4723</v>
      </c>
      <c r="S765" s="1" t="s">
        <v>25</v>
      </c>
      <c r="T765" s="38">
        <v>1</v>
      </c>
      <c r="AH765" s="1">
        <v>2.7</v>
      </c>
      <c r="AK765" s="1">
        <v>0.17749999999999999</v>
      </c>
      <c r="AL765" s="1">
        <v>9.6500000000000002E-2</v>
      </c>
      <c r="AM765" s="1">
        <v>0.1565</v>
      </c>
    </row>
    <row r="766" spans="1:153" x14ac:dyDescent="0.2">
      <c r="A766" s="1" t="s">
        <v>4736</v>
      </c>
      <c r="B766" s="1" t="s">
        <v>57</v>
      </c>
      <c r="C766" s="1" t="s">
        <v>4719</v>
      </c>
      <c r="D766" s="1" t="s">
        <v>2</v>
      </c>
      <c r="E766" s="1">
        <v>52</v>
      </c>
      <c r="F766" s="1" t="s">
        <v>4731</v>
      </c>
      <c r="G766" s="1" t="s">
        <v>4517</v>
      </c>
      <c r="H766" s="1" t="s">
        <v>4732</v>
      </c>
      <c r="I766" s="1" t="s">
        <v>7</v>
      </c>
      <c r="J766" s="1" t="s">
        <v>4733</v>
      </c>
      <c r="K766" s="1" t="s">
        <v>4734</v>
      </c>
      <c r="L766" s="1" t="s">
        <v>4733</v>
      </c>
      <c r="M766" s="1" t="s">
        <v>4727</v>
      </c>
      <c r="O766" s="1" t="s">
        <v>4517</v>
      </c>
      <c r="Q766" s="1">
        <v>2006</v>
      </c>
      <c r="R766" s="1" t="s">
        <v>4723</v>
      </c>
      <c r="S766" s="1" t="s">
        <v>25</v>
      </c>
      <c r="T766" s="38">
        <v>1</v>
      </c>
      <c r="AH766" s="1">
        <v>0.9</v>
      </c>
      <c r="AK766" s="1">
        <v>9.5600000000000004E-2</v>
      </c>
      <c r="AL766" s="1">
        <v>8.72E-2</v>
      </c>
      <c r="AM766" s="1">
        <v>0.1404</v>
      </c>
    </row>
    <row r="767" spans="1:153" x14ac:dyDescent="0.2">
      <c r="A767" s="1" t="s">
        <v>4737</v>
      </c>
      <c r="B767" s="1" t="s">
        <v>57</v>
      </c>
      <c r="C767" s="1" t="s">
        <v>4719</v>
      </c>
      <c r="D767" s="1" t="s">
        <v>2</v>
      </c>
      <c r="E767" s="1">
        <v>52</v>
      </c>
      <c r="F767" s="1" t="s">
        <v>4731</v>
      </c>
      <c r="G767" s="1" t="s">
        <v>4517</v>
      </c>
      <c r="H767" s="1" t="s">
        <v>4732</v>
      </c>
      <c r="I767" s="1" t="s">
        <v>7</v>
      </c>
      <c r="J767" s="1" t="s">
        <v>4733</v>
      </c>
      <c r="K767" s="1" t="s">
        <v>4734</v>
      </c>
      <c r="L767" s="1" t="s">
        <v>4733</v>
      </c>
      <c r="M767" s="1" t="s">
        <v>4729</v>
      </c>
      <c r="O767" s="1" t="s">
        <v>4517</v>
      </c>
      <c r="Q767" s="1">
        <v>2006</v>
      </c>
      <c r="R767" s="1" t="s">
        <v>4723</v>
      </c>
      <c r="S767" s="1" t="s">
        <v>25</v>
      </c>
      <c r="T767" s="38">
        <v>1</v>
      </c>
      <c r="AH767" s="1">
        <v>1</v>
      </c>
      <c r="AK767" s="1">
        <v>0.1202</v>
      </c>
      <c r="AL767" s="1">
        <v>0.1191</v>
      </c>
      <c r="AM767" s="1">
        <v>0.19550000000000001</v>
      </c>
    </row>
    <row r="768" spans="1:153" x14ac:dyDescent="0.2">
      <c r="A768" s="1" t="s">
        <v>4738</v>
      </c>
      <c r="B768" s="1" t="s">
        <v>1911</v>
      </c>
      <c r="C768" s="1" t="s">
        <v>4739</v>
      </c>
      <c r="D768" s="1" t="s">
        <v>2</v>
      </c>
      <c r="E768" s="1">
        <v>41</v>
      </c>
      <c r="F768" s="1" t="s">
        <v>4740</v>
      </c>
      <c r="G768" s="1" t="s">
        <v>4741</v>
      </c>
      <c r="H768" s="1" t="s">
        <v>4742</v>
      </c>
      <c r="I768" s="1" t="s">
        <v>7</v>
      </c>
      <c r="J768" s="1" t="s">
        <v>4743</v>
      </c>
      <c r="K768" s="1" t="s">
        <v>4744</v>
      </c>
      <c r="L768" s="1" t="s">
        <v>4743</v>
      </c>
      <c r="M768" s="1" t="s">
        <v>4517</v>
      </c>
      <c r="N768" s="1" t="s">
        <v>4745</v>
      </c>
      <c r="O768" s="1">
        <v>5</v>
      </c>
      <c r="P768" s="1" t="s">
        <v>4746</v>
      </c>
      <c r="Q768" s="1">
        <v>2001</v>
      </c>
      <c r="R768" s="1" t="s">
        <v>4747</v>
      </c>
      <c r="S768" s="1" t="s">
        <v>25</v>
      </c>
      <c r="T768" s="38">
        <v>1</v>
      </c>
      <c r="AH768" s="1">
        <v>1.1000000000000001</v>
      </c>
      <c r="AK768" s="1">
        <v>0.25950000000000001</v>
      </c>
      <c r="AL768" s="1">
        <v>0.15740000000000001</v>
      </c>
      <c r="AM768" s="1">
        <v>0.24160000000000001</v>
      </c>
      <c r="EW768" s="1">
        <v>139</v>
      </c>
    </row>
    <row r="769" spans="1:81" x14ac:dyDescent="0.2">
      <c r="A769" s="1" t="s">
        <v>4748</v>
      </c>
      <c r="B769" s="1" t="s">
        <v>57</v>
      </c>
      <c r="C769" s="1" t="s">
        <v>4749</v>
      </c>
      <c r="D769" s="1" t="s">
        <v>2</v>
      </c>
      <c r="E769" s="1">
        <v>54</v>
      </c>
      <c r="F769" s="1" t="s">
        <v>4750</v>
      </c>
      <c r="G769" s="1" t="s">
        <v>4517</v>
      </c>
      <c r="H769" s="1" t="s">
        <v>4751</v>
      </c>
      <c r="I769" s="1" t="s">
        <v>7</v>
      </c>
      <c r="J769" s="1" t="s">
        <v>4752</v>
      </c>
      <c r="K769" s="1" t="s">
        <v>4753</v>
      </c>
      <c r="L769" s="1" t="s">
        <v>4752</v>
      </c>
      <c r="M769" s="1" t="s">
        <v>3010</v>
      </c>
      <c r="N769" s="1" t="s">
        <v>4754</v>
      </c>
      <c r="O769" s="1" t="s">
        <v>4517</v>
      </c>
      <c r="Q769" s="1">
        <v>2004</v>
      </c>
      <c r="R769" s="1" t="s">
        <v>4755</v>
      </c>
      <c r="S769" s="1" t="s">
        <v>25</v>
      </c>
      <c r="T769" s="38">
        <v>1</v>
      </c>
      <c r="BD769" s="1">
        <v>0.13200000000000001</v>
      </c>
      <c r="BW769" s="1">
        <v>1.53</v>
      </c>
      <c r="CA769" s="1">
        <v>18</v>
      </c>
      <c r="CC769" s="1">
        <v>43</v>
      </c>
    </row>
    <row r="770" spans="1:81" x14ac:dyDescent="0.2">
      <c r="A770" s="1" t="s">
        <v>4756</v>
      </c>
      <c r="B770" s="1" t="s">
        <v>57</v>
      </c>
      <c r="C770" s="1" t="s">
        <v>4757</v>
      </c>
      <c r="D770" s="1" t="s">
        <v>2</v>
      </c>
      <c r="E770" s="1">
        <v>54</v>
      </c>
      <c r="F770" s="1" t="s">
        <v>4750</v>
      </c>
      <c r="G770" s="1" t="s">
        <v>4517</v>
      </c>
      <c r="H770" s="1" t="s">
        <v>4751</v>
      </c>
      <c r="I770" s="1" t="s">
        <v>7</v>
      </c>
      <c r="J770" s="1" t="s">
        <v>4752</v>
      </c>
      <c r="K770" s="1" t="s">
        <v>4753</v>
      </c>
      <c r="L770" s="1" t="s">
        <v>4752</v>
      </c>
      <c r="M770" s="1" t="s">
        <v>4758</v>
      </c>
      <c r="N770" s="1" t="s">
        <v>4759</v>
      </c>
      <c r="O770" s="1" t="s">
        <v>4517</v>
      </c>
      <c r="Q770" s="1">
        <v>2004</v>
      </c>
      <c r="R770" s="1" t="s">
        <v>4755</v>
      </c>
      <c r="S770" s="1" t="s">
        <v>25</v>
      </c>
      <c r="T770" s="38">
        <v>1</v>
      </c>
      <c r="BD770" s="1">
        <v>0.13900000000000001</v>
      </c>
      <c r="BW770" s="1">
        <v>1.6379999999999999</v>
      </c>
      <c r="CA770" s="1">
        <v>19</v>
      </c>
      <c r="CC770" s="1">
        <v>58</v>
      </c>
    </row>
    <row r="771" spans="1:81" x14ac:dyDescent="0.2">
      <c r="A771" s="1" t="s">
        <v>4760</v>
      </c>
      <c r="B771" s="1" t="s">
        <v>57</v>
      </c>
      <c r="C771" s="1" t="s">
        <v>4761</v>
      </c>
      <c r="D771" s="1" t="s">
        <v>2</v>
      </c>
      <c r="E771" s="1">
        <v>54</v>
      </c>
      <c r="F771" s="1" t="s">
        <v>4750</v>
      </c>
      <c r="G771" s="1" t="s">
        <v>4517</v>
      </c>
      <c r="H771" s="1" t="s">
        <v>4751</v>
      </c>
      <c r="I771" s="1" t="s">
        <v>7</v>
      </c>
      <c r="J771" s="1" t="s">
        <v>4752</v>
      </c>
      <c r="K771" s="1" t="s">
        <v>4753</v>
      </c>
      <c r="L771" s="1" t="s">
        <v>4752</v>
      </c>
      <c r="M771" s="1" t="s">
        <v>2998</v>
      </c>
      <c r="N771" s="1" t="s">
        <v>4762</v>
      </c>
      <c r="O771" s="1" t="s">
        <v>4517</v>
      </c>
      <c r="Q771" s="1">
        <v>2004</v>
      </c>
      <c r="R771" s="1" t="s">
        <v>4755</v>
      </c>
      <c r="S771" s="1" t="s">
        <v>25</v>
      </c>
      <c r="T771" s="38">
        <v>1</v>
      </c>
      <c r="BD771" s="1">
        <v>0.185</v>
      </c>
      <c r="BW771" s="1">
        <v>1.6819999999999999</v>
      </c>
      <c r="CA771" s="1">
        <v>18</v>
      </c>
      <c r="CC771" s="1">
        <v>134</v>
      </c>
    </row>
    <row r="772" spans="1:81" x14ac:dyDescent="0.2">
      <c r="A772" s="1" t="s">
        <v>4763</v>
      </c>
      <c r="B772" s="1" t="s">
        <v>57</v>
      </c>
      <c r="C772" s="1" t="s">
        <v>4764</v>
      </c>
      <c r="D772" s="1" t="s">
        <v>2</v>
      </c>
      <c r="E772" s="1">
        <v>54</v>
      </c>
      <c r="F772" s="1" t="s">
        <v>4750</v>
      </c>
      <c r="G772" s="1" t="s">
        <v>4517</v>
      </c>
      <c r="H772" s="1" t="s">
        <v>4751</v>
      </c>
      <c r="I772" s="1" t="s">
        <v>7</v>
      </c>
      <c r="J772" s="1" t="s">
        <v>4752</v>
      </c>
      <c r="K772" s="1" t="s">
        <v>4753</v>
      </c>
      <c r="L772" s="1" t="s">
        <v>4752</v>
      </c>
      <c r="M772" s="1" t="s">
        <v>3000</v>
      </c>
      <c r="N772" s="1" t="s">
        <v>4765</v>
      </c>
      <c r="O772" s="1" t="s">
        <v>4517</v>
      </c>
      <c r="Q772" s="1">
        <v>2004</v>
      </c>
      <c r="R772" s="1" t="s">
        <v>4755</v>
      </c>
      <c r="S772" s="1" t="s">
        <v>25</v>
      </c>
      <c r="T772" s="38">
        <v>1</v>
      </c>
      <c r="BD772" s="1">
        <v>0.155</v>
      </c>
      <c r="BW772" s="1">
        <v>1.72</v>
      </c>
      <c r="CA772" s="1">
        <v>22</v>
      </c>
      <c r="CC772" s="1">
        <v>136</v>
      </c>
    </row>
    <row r="773" spans="1:81" x14ac:dyDescent="0.2">
      <c r="A773" s="1" t="s">
        <v>4766</v>
      </c>
      <c r="B773" s="1" t="s">
        <v>57</v>
      </c>
      <c r="C773" s="1" t="s">
        <v>4767</v>
      </c>
      <c r="D773" s="1" t="s">
        <v>2</v>
      </c>
      <c r="E773" s="1">
        <v>54</v>
      </c>
      <c r="F773" s="1" t="s">
        <v>4750</v>
      </c>
      <c r="G773" s="1" t="s">
        <v>4517</v>
      </c>
      <c r="H773" s="1" t="s">
        <v>4751</v>
      </c>
      <c r="I773" s="1" t="s">
        <v>7</v>
      </c>
      <c r="J773" s="1" t="s">
        <v>4752</v>
      </c>
      <c r="K773" s="1" t="s">
        <v>4753</v>
      </c>
      <c r="L773" s="1" t="s">
        <v>4752</v>
      </c>
      <c r="M773" s="1" t="s">
        <v>2996</v>
      </c>
      <c r="N773" s="1" t="s">
        <v>4768</v>
      </c>
      <c r="O773" s="1" t="s">
        <v>4517</v>
      </c>
      <c r="Q773" s="1">
        <v>2004</v>
      </c>
      <c r="R773" s="1" t="s">
        <v>4755</v>
      </c>
      <c r="S773" s="1" t="s">
        <v>25</v>
      </c>
      <c r="T773" s="38">
        <v>1</v>
      </c>
      <c r="BD773" s="1">
        <v>0.19</v>
      </c>
      <c r="BW773" s="1">
        <v>1.28</v>
      </c>
      <c r="CA773" s="1">
        <v>18</v>
      </c>
      <c r="CC773" s="1">
        <v>129</v>
      </c>
    </row>
    <row r="774" spans="1:81" x14ac:dyDescent="0.2">
      <c r="A774" s="1" t="s">
        <v>4769</v>
      </c>
      <c r="B774" s="1" t="s">
        <v>1911</v>
      </c>
      <c r="C774" s="1" t="s">
        <v>4770</v>
      </c>
      <c r="D774" s="1" t="s">
        <v>2</v>
      </c>
      <c r="E774" s="1">
        <v>41</v>
      </c>
      <c r="F774" s="1" t="s">
        <v>4771</v>
      </c>
      <c r="G774" s="1" t="s">
        <v>4517</v>
      </c>
      <c r="H774" s="1" t="s">
        <v>4772</v>
      </c>
      <c r="I774" s="1" t="s">
        <v>7</v>
      </c>
      <c r="J774" s="1" t="s">
        <v>4773</v>
      </c>
      <c r="K774" s="1" t="s">
        <v>4774</v>
      </c>
      <c r="L774" s="1" t="s">
        <v>4773</v>
      </c>
      <c r="M774" s="1" t="s">
        <v>2879</v>
      </c>
      <c r="N774" s="1" t="s">
        <v>4775</v>
      </c>
      <c r="O774" s="1">
        <v>4</v>
      </c>
      <c r="Q774" s="1">
        <v>1997</v>
      </c>
      <c r="R774" s="1" t="s">
        <v>4776</v>
      </c>
      <c r="S774" s="1" t="s">
        <v>25</v>
      </c>
      <c r="T774" s="38">
        <v>1</v>
      </c>
    </row>
    <row r="775" spans="1:81" x14ac:dyDescent="0.2">
      <c r="A775" s="1" t="s">
        <v>4777</v>
      </c>
      <c r="B775" s="1" t="s">
        <v>1911</v>
      </c>
      <c r="C775" s="1" t="s">
        <v>4778</v>
      </c>
      <c r="D775" s="1" t="s">
        <v>2</v>
      </c>
      <c r="E775" s="1">
        <v>41</v>
      </c>
      <c r="F775" s="1" t="s">
        <v>4779</v>
      </c>
      <c r="G775" s="1" t="s">
        <v>4517</v>
      </c>
      <c r="H775" s="1" t="s">
        <v>4780</v>
      </c>
      <c r="I775" s="1" t="s">
        <v>7</v>
      </c>
      <c r="J775" s="1" t="s">
        <v>4781</v>
      </c>
      <c r="K775" s="1" t="s">
        <v>4782</v>
      </c>
      <c r="L775" s="1" t="s">
        <v>4781</v>
      </c>
      <c r="M775" s="1" t="s">
        <v>2879</v>
      </c>
      <c r="N775" s="1" t="s">
        <v>4783</v>
      </c>
      <c r="O775" s="1">
        <v>4</v>
      </c>
      <c r="Q775" s="1">
        <v>1997</v>
      </c>
      <c r="R775" s="1" t="s">
        <v>4776</v>
      </c>
      <c r="S775" s="1" t="s">
        <v>25</v>
      </c>
      <c r="T775" s="38">
        <v>1</v>
      </c>
    </row>
    <row r="776" spans="1:81" x14ac:dyDescent="0.2">
      <c r="A776" s="1" t="s">
        <v>4784</v>
      </c>
      <c r="B776" s="1" t="s">
        <v>57</v>
      </c>
      <c r="C776" s="1" t="s">
        <v>4785</v>
      </c>
      <c r="D776" s="1" t="s">
        <v>4517</v>
      </c>
      <c r="E776" s="1">
        <v>57</v>
      </c>
      <c r="F776" s="1" t="s">
        <v>4637</v>
      </c>
      <c r="G776" s="1" t="s">
        <v>4517</v>
      </c>
      <c r="H776" s="1" t="s">
        <v>4786</v>
      </c>
      <c r="I776" s="1" t="s">
        <v>11</v>
      </c>
      <c r="J776" s="1" t="s">
        <v>4639</v>
      </c>
      <c r="K776" s="1" t="s">
        <v>4640</v>
      </c>
      <c r="L776" s="1" t="s">
        <v>4639</v>
      </c>
      <c r="M776" s="1" t="s">
        <v>4517</v>
      </c>
      <c r="N776" s="1" t="s">
        <v>4787</v>
      </c>
      <c r="O776" s="1" t="s">
        <v>4517</v>
      </c>
      <c r="P776" s="1" t="s">
        <v>4788</v>
      </c>
      <c r="Q776" s="1">
        <v>2000</v>
      </c>
      <c r="R776" s="1" t="s">
        <v>4789</v>
      </c>
      <c r="S776" s="1" t="s">
        <v>25</v>
      </c>
      <c r="T776" s="38">
        <v>1</v>
      </c>
      <c r="Z776" s="1">
        <v>74.2</v>
      </c>
      <c r="AC776" s="1">
        <v>22.6266</v>
      </c>
      <c r="AJ776" s="1">
        <v>0.4128</v>
      </c>
      <c r="AQ776" s="1">
        <v>1.3415999999999999</v>
      </c>
      <c r="AV776" s="1">
        <v>1.4448000000000001</v>
      </c>
    </row>
    <row r="777" spans="1:81" x14ac:dyDescent="0.2">
      <c r="A777" s="1" t="s">
        <v>4790</v>
      </c>
      <c r="B777" s="1" t="s">
        <v>1911</v>
      </c>
      <c r="C777" s="1" t="s">
        <v>4791</v>
      </c>
      <c r="D777" s="1" t="s">
        <v>2</v>
      </c>
      <c r="E777" s="1">
        <v>41</v>
      </c>
      <c r="F777" s="1" t="s">
        <v>4137</v>
      </c>
      <c r="G777" s="1" t="s">
        <v>4517</v>
      </c>
      <c r="H777" s="1" t="s">
        <v>4792</v>
      </c>
      <c r="I777" s="1" t="s">
        <v>7</v>
      </c>
      <c r="J777" s="1" t="s">
        <v>4139</v>
      </c>
      <c r="K777" s="1" t="s">
        <v>4140</v>
      </c>
      <c r="L777" s="1" t="s">
        <v>4139</v>
      </c>
      <c r="M777" s="1" t="s">
        <v>2570</v>
      </c>
      <c r="N777" s="1" t="s">
        <v>4793</v>
      </c>
      <c r="O777" s="1" t="s">
        <v>4517</v>
      </c>
      <c r="P777" s="1" t="s">
        <v>1269</v>
      </c>
      <c r="Q777" s="1">
        <v>2007</v>
      </c>
      <c r="R777" s="1" t="s">
        <v>4794</v>
      </c>
      <c r="S777" s="1" t="s">
        <v>25</v>
      </c>
      <c r="T777" s="38">
        <v>1</v>
      </c>
      <c r="U777" s="1">
        <v>8.6300000000000002E-2</v>
      </c>
      <c r="Z777" s="1">
        <v>47.87</v>
      </c>
      <c r="AA777" s="1">
        <v>6.25</v>
      </c>
      <c r="AC777" s="1">
        <v>30.74</v>
      </c>
      <c r="AH777" s="1">
        <v>18.75</v>
      </c>
      <c r="AK777" s="1">
        <v>3.7422240000000002</v>
      </c>
      <c r="AL777" s="1">
        <v>7.2549720000000004</v>
      </c>
      <c r="AM777" s="1">
        <v>6.1605480000000004</v>
      </c>
      <c r="AV777" s="1">
        <v>2.12</v>
      </c>
    </row>
    <row r="778" spans="1:81" x14ac:dyDescent="0.2">
      <c r="A778" s="1" t="s">
        <v>4795</v>
      </c>
      <c r="B778" s="1" t="s">
        <v>1911</v>
      </c>
      <c r="C778" s="1" t="s">
        <v>4791</v>
      </c>
      <c r="D778" s="1" t="s">
        <v>2</v>
      </c>
      <c r="E778" s="1">
        <v>41</v>
      </c>
      <c r="F778" s="1" t="s">
        <v>4137</v>
      </c>
      <c r="G778" s="1" t="s">
        <v>4517</v>
      </c>
      <c r="H778" s="1" t="s">
        <v>4796</v>
      </c>
      <c r="I778" s="1" t="s">
        <v>7</v>
      </c>
      <c r="J778" s="1" t="s">
        <v>4139</v>
      </c>
      <c r="K778" s="1" t="s">
        <v>4140</v>
      </c>
      <c r="L778" s="1" t="s">
        <v>4139</v>
      </c>
      <c r="M778" s="1" t="s">
        <v>2570</v>
      </c>
      <c r="N778" s="1" t="s">
        <v>4793</v>
      </c>
      <c r="O778" s="1" t="s">
        <v>4517</v>
      </c>
      <c r="P778" s="1" t="s">
        <v>1269</v>
      </c>
      <c r="Q778" s="1">
        <v>2007</v>
      </c>
      <c r="R778" s="1" t="s">
        <v>4794</v>
      </c>
      <c r="S778" s="1" t="s">
        <v>25</v>
      </c>
      <c r="T778" s="38">
        <v>1</v>
      </c>
      <c r="U778" s="1">
        <v>0.22450000000000001</v>
      </c>
      <c r="Z778" s="1">
        <v>76.52</v>
      </c>
      <c r="AA778" s="1">
        <v>6.25</v>
      </c>
      <c r="AC778" s="1">
        <v>18.96</v>
      </c>
      <c r="AH778" s="1">
        <v>2.2400000000000002</v>
      </c>
      <c r="AK778" s="1">
        <v>0.40171459999999998</v>
      </c>
      <c r="AL778" s="1">
        <v>0.80529764000000004</v>
      </c>
      <c r="AM778" s="1">
        <v>0.61845364000000003</v>
      </c>
      <c r="AV778" s="1">
        <v>2.17</v>
      </c>
    </row>
    <row r="779" spans="1:81" x14ac:dyDescent="0.2">
      <c r="A779" s="1" t="s">
        <v>4797</v>
      </c>
      <c r="B779" s="1" t="s">
        <v>1911</v>
      </c>
      <c r="C779" s="1" t="s">
        <v>4791</v>
      </c>
      <c r="D779" s="1" t="s">
        <v>2</v>
      </c>
      <c r="E779" s="1">
        <v>41</v>
      </c>
      <c r="F779" s="1" t="s">
        <v>4137</v>
      </c>
      <c r="G779" s="1" t="s">
        <v>4517</v>
      </c>
      <c r="H779" s="1" t="s">
        <v>4798</v>
      </c>
      <c r="I779" s="1" t="s">
        <v>7</v>
      </c>
      <c r="J779" s="1" t="s">
        <v>4139</v>
      </c>
      <c r="K779" s="1" t="s">
        <v>4140</v>
      </c>
      <c r="L779" s="1" t="s">
        <v>4139</v>
      </c>
      <c r="M779" s="1" t="s">
        <v>2570</v>
      </c>
      <c r="N779" s="1" t="s">
        <v>4799</v>
      </c>
      <c r="O779" s="1" t="s">
        <v>4517</v>
      </c>
      <c r="P779" s="1" t="s">
        <v>1269</v>
      </c>
      <c r="Q779" s="1">
        <v>2007</v>
      </c>
      <c r="R779" s="1" t="s">
        <v>4794</v>
      </c>
      <c r="S779" s="1" t="s">
        <v>25</v>
      </c>
      <c r="T779" s="38">
        <v>1</v>
      </c>
      <c r="U779" s="1">
        <v>0.254</v>
      </c>
      <c r="Z779" s="1">
        <v>79.36</v>
      </c>
      <c r="AA779" s="1">
        <v>6.25</v>
      </c>
      <c r="AC779" s="1">
        <v>16.57</v>
      </c>
      <c r="AH779" s="1">
        <v>1.48</v>
      </c>
      <c r="AK779" s="1">
        <v>0.25806488</v>
      </c>
      <c r="AL779" s="1">
        <v>0.39166484000000001</v>
      </c>
      <c r="AM779" s="1">
        <v>0.40650927999999997</v>
      </c>
      <c r="AV779" s="1">
        <v>2.06</v>
      </c>
    </row>
    <row r="780" spans="1:81" x14ac:dyDescent="0.2">
      <c r="A780" s="1" t="s">
        <v>4800</v>
      </c>
      <c r="B780" s="1" t="s">
        <v>57</v>
      </c>
      <c r="C780" s="1" t="s">
        <v>4801</v>
      </c>
      <c r="D780" s="1" t="s">
        <v>2</v>
      </c>
      <c r="E780" s="1">
        <v>54</v>
      </c>
      <c r="F780" s="1" t="s">
        <v>4802</v>
      </c>
      <c r="H780" s="1" t="s">
        <v>4803</v>
      </c>
      <c r="I780" s="1" t="s">
        <v>7</v>
      </c>
      <c r="J780" s="1" t="s">
        <v>4804</v>
      </c>
      <c r="K780" s="1" t="s">
        <v>4805</v>
      </c>
      <c r="L780" s="1" t="s">
        <v>4804</v>
      </c>
      <c r="M780" s="1" t="s">
        <v>2966</v>
      </c>
      <c r="P780" s="1" t="s">
        <v>4806</v>
      </c>
      <c r="Q780" s="1">
        <v>1998</v>
      </c>
      <c r="R780" s="1" t="s">
        <v>4807</v>
      </c>
      <c r="S780" s="1" t="s">
        <v>27</v>
      </c>
      <c r="T780" s="38">
        <v>1</v>
      </c>
      <c r="W780" s="1">
        <v>126</v>
      </c>
      <c r="Z780" s="1" t="s">
        <v>4808</v>
      </c>
      <c r="AC780" s="1">
        <v>21.2</v>
      </c>
      <c r="AH780" s="1">
        <v>3.49</v>
      </c>
      <c r="AR780" s="1">
        <v>2.36</v>
      </c>
      <c r="AV780" s="1">
        <v>2.31</v>
      </c>
    </row>
    <row r="781" spans="1:81" x14ac:dyDescent="0.2">
      <c r="A781" s="1" t="s">
        <v>4809</v>
      </c>
      <c r="B781" s="1" t="s">
        <v>57</v>
      </c>
      <c r="C781" s="1" t="s">
        <v>4801</v>
      </c>
      <c r="D781" s="1" t="s">
        <v>2</v>
      </c>
      <c r="E781" s="1">
        <v>54</v>
      </c>
      <c r="F781" s="1" t="s">
        <v>4802</v>
      </c>
      <c r="H781" s="1" t="s">
        <v>4803</v>
      </c>
      <c r="I781" s="1" t="s">
        <v>7</v>
      </c>
      <c r="J781" s="1" t="s">
        <v>4804</v>
      </c>
      <c r="K781" s="1" t="s">
        <v>4805</v>
      </c>
      <c r="L781" s="1" t="s">
        <v>4804</v>
      </c>
      <c r="M781" s="1" t="s">
        <v>816</v>
      </c>
      <c r="P781" s="1" t="s">
        <v>4806</v>
      </c>
      <c r="Q781" s="1">
        <v>1998</v>
      </c>
      <c r="R781" s="1" t="s">
        <v>4807</v>
      </c>
      <c r="S781" s="1" t="s">
        <v>27</v>
      </c>
      <c r="T781" s="38">
        <v>1</v>
      </c>
      <c r="W781" s="1">
        <v>117</v>
      </c>
      <c r="Z781" s="1" t="s">
        <v>4810</v>
      </c>
      <c r="AC781" s="1">
        <v>19.100000000000001</v>
      </c>
      <c r="AH781" s="1">
        <v>3.36</v>
      </c>
      <c r="AR781" s="1">
        <v>2.67</v>
      </c>
      <c r="AV781" s="1">
        <v>2.2599999999999998</v>
      </c>
    </row>
    <row r="782" spans="1:81" x14ac:dyDescent="0.2">
      <c r="A782" s="1" t="s">
        <v>4811</v>
      </c>
      <c r="B782" s="1" t="s">
        <v>57</v>
      </c>
      <c r="C782" s="1" t="s">
        <v>4801</v>
      </c>
      <c r="D782" s="1" t="s">
        <v>2</v>
      </c>
      <c r="E782" s="1">
        <v>54</v>
      </c>
      <c r="F782" s="1" t="s">
        <v>4802</v>
      </c>
      <c r="H782" s="1" t="s">
        <v>4803</v>
      </c>
      <c r="I782" s="1" t="s">
        <v>7</v>
      </c>
      <c r="J782" s="1" t="s">
        <v>4804</v>
      </c>
      <c r="K782" s="1" t="s">
        <v>4805</v>
      </c>
      <c r="L782" s="1" t="s">
        <v>4804</v>
      </c>
      <c r="M782" s="1" t="s">
        <v>2889</v>
      </c>
      <c r="P782" s="1" t="s">
        <v>4806</v>
      </c>
      <c r="Q782" s="1">
        <v>1998</v>
      </c>
      <c r="R782" s="1" t="s">
        <v>4807</v>
      </c>
      <c r="S782" s="1" t="s">
        <v>27</v>
      </c>
      <c r="T782" s="38">
        <v>1</v>
      </c>
      <c r="W782" s="1">
        <v>124</v>
      </c>
      <c r="Z782" s="1" t="s">
        <v>4812</v>
      </c>
      <c r="AC782" s="1">
        <v>19.399999999999999</v>
      </c>
      <c r="AH782" s="1">
        <v>3.78</v>
      </c>
      <c r="AR782" s="1">
        <v>3.15</v>
      </c>
      <c r="AV782" s="1">
        <v>2.31</v>
      </c>
    </row>
    <row r="783" spans="1:81" x14ac:dyDescent="0.2">
      <c r="A783" s="1" t="s">
        <v>4813</v>
      </c>
      <c r="B783" s="1" t="s">
        <v>57</v>
      </c>
      <c r="C783" s="1" t="s">
        <v>4801</v>
      </c>
      <c r="D783" s="1" t="s">
        <v>2</v>
      </c>
      <c r="E783" s="1">
        <v>54</v>
      </c>
      <c r="F783" s="1" t="s">
        <v>4802</v>
      </c>
      <c r="H783" s="1" t="s">
        <v>4803</v>
      </c>
      <c r="I783" s="1" t="s">
        <v>7</v>
      </c>
      <c r="J783" s="1" t="s">
        <v>4804</v>
      </c>
      <c r="K783" s="1" t="s">
        <v>4805</v>
      </c>
      <c r="L783" s="1" t="s">
        <v>4804</v>
      </c>
      <c r="M783" s="1" t="s">
        <v>4269</v>
      </c>
      <c r="P783" s="1" t="s">
        <v>4806</v>
      </c>
      <c r="Q783" s="1">
        <v>1998</v>
      </c>
      <c r="R783" s="1" t="s">
        <v>4807</v>
      </c>
      <c r="S783" s="1" t="s">
        <v>27</v>
      </c>
      <c r="T783" s="38">
        <v>1</v>
      </c>
      <c r="W783" s="1">
        <v>107</v>
      </c>
      <c r="Z783" s="1" t="s">
        <v>1319</v>
      </c>
      <c r="AC783" s="1">
        <v>19.600000000000001</v>
      </c>
      <c r="AH783" s="1">
        <v>2.56</v>
      </c>
      <c r="AR783" s="1">
        <v>1.38</v>
      </c>
      <c r="AV783" s="1">
        <v>2.36</v>
      </c>
    </row>
    <row r="784" spans="1:81" x14ac:dyDescent="0.2">
      <c r="A784" s="1" t="s">
        <v>4814</v>
      </c>
      <c r="B784" s="1" t="s">
        <v>57</v>
      </c>
      <c r="C784" s="1" t="s">
        <v>4801</v>
      </c>
      <c r="D784" s="1" t="s">
        <v>2</v>
      </c>
      <c r="E784" s="1">
        <v>54</v>
      </c>
      <c r="F784" s="1" t="s">
        <v>4802</v>
      </c>
      <c r="H784" s="1" t="s">
        <v>4803</v>
      </c>
      <c r="I784" s="1" t="s">
        <v>7</v>
      </c>
      <c r="J784" s="1" t="s">
        <v>4804</v>
      </c>
      <c r="K784" s="1" t="s">
        <v>4805</v>
      </c>
      <c r="L784" s="1" t="s">
        <v>4804</v>
      </c>
      <c r="M784" s="1" t="s">
        <v>748</v>
      </c>
      <c r="P784" s="1" t="s">
        <v>4806</v>
      </c>
      <c r="Q784" s="1">
        <v>1998</v>
      </c>
      <c r="R784" s="1" t="s">
        <v>4807</v>
      </c>
      <c r="S784" s="1" t="s">
        <v>27</v>
      </c>
      <c r="T784" s="38">
        <v>1</v>
      </c>
      <c r="W784" s="1">
        <v>110</v>
      </c>
      <c r="Z784" s="1" t="s">
        <v>4815</v>
      </c>
      <c r="AC784" s="1">
        <v>20.5</v>
      </c>
      <c r="AH784" s="1">
        <v>2.69</v>
      </c>
      <c r="AR784" s="1">
        <v>0.9</v>
      </c>
      <c r="AV784" s="1">
        <v>2.66</v>
      </c>
    </row>
    <row r="785" spans="1:165" x14ac:dyDescent="0.2">
      <c r="A785" s="1" t="s">
        <v>4816</v>
      </c>
      <c r="B785" s="1" t="s">
        <v>57</v>
      </c>
      <c r="C785" s="1" t="s">
        <v>4801</v>
      </c>
      <c r="D785" s="1" t="s">
        <v>2</v>
      </c>
      <c r="E785" s="1">
        <v>54</v>
      </c>
      <c r="F785" s="1" t="s">
        <v>4802</v>
      </c>
      <c r="H785" s="1" t="s">
        <v>4803</v>
      </c>
      <c r="I785" s="1" t="s">
        <v>7</v>
      </c>
      <c r="J785" s="1" t="s">
        <v>4804</v>
      </c>
      <c r="K785" s="1" t="s">
        <v>4805</v>
      </c>
      <c r="L785" s="1" t="s">
        <v>4804</v>
      </c>
      <c r="M785" s="1" t="s">
        <v>757</v>
      </c>
      <c r="P785" s="1" t="s">
        <v>4806</v>
      </c>
      <c r="Q785" s="1">
        <v>1998</v>
      </c>
      <c r="R785" s="1" t="s">
        <v>4807</v>
      </c>
      <c r="S785" s="1" t="s">
        <v>27</v>
      </c>
      <c r="T785" s="38">
        <v>1</v>
      </c>
      <c r="W785" s="1">
        <v>118</v>
      </c>
      <c r="Z785" s="1" t="s">
        <v>4817</v>
      </c>
      <c r="AC785" s="1">
        <v>21.6</v>
      </c>
      <c r="AH785" s="1">
        <v>3.11</v>
      </c>
      <c r="AR785" s="1">
        <v>1.04</v>
      </c>
      <c r="AV785" s="1">
        <v>2.4500000000000002</v>
      </c>
    </row>
    <row r="786" spans="1:165" x14ac:dyDescent="0.2">
      <c r="A786" s="1" t="s">
        <v>4818</v>
      </c>
      <c r="B786" s="1" t="s">
        <v>57</v>
      </c>
      <c r="C786" s="1" t="s">
        <v>4801</v>
      </c>
      <c r="D786" s="1" t="s">
        <v>2</v>
      </c>
      <c r="E786" s="1">
        <v>54</v>
      </c>
      <c r="F786" s="1" t="s">
        <v>4802</v>
      </c>
      <c r="H786" s="1" t="s">
        <v>4803</v>
      </c>
      <c r="I786" s="1" t="s">
        <v>7</v>
      </c>
      <c r="J786" s="1" t="s">
        <v>4804</v>
      </c>
      <c r="K786" s="1" t="s">
        <v>4805</v>
      </c>
      <c r="L786" s="1" t="s">
        <v>4804</v>
      </c>
      <c r="M786" s="1" t="s">
        <v>3225</v>
      </c>
      <c r="P786" s="1" t="s">
        <v>4806</v>
      </c>
      <c r="Q786" s="1">
        <v>1998</v>
      </c>
      <c r="R786" s="1" t="s">
        <v>4807</v>
      </c>
      <c r="S786" s="1" t="s">
        <v>27</v>
      </c>
      <c r="T786" s="38">
        <v>1</v>
      </c>
      <c r="W786" s="1">
        <v>111</v>
      </c>
      <c r="Z786" s="1" t="s">
        <v>4819</v>
      </c>
      <c r="AC786" s="1">
        <v>19.7</v>
      </c>
      <c r="AH786" s="1">
        <v>3.18</v>
      </c>
      <c r="AR786" s="1">
        <v>0.9</v>
      </c>
      <c r="AV786" s="1">
        <v>2.74</v>
      </c>
    </row>
    <row r="787" spans="1:165" x14ac:dyDescent="0.2">
      <c r="A787" s="1" t="s">
        <v>4820</v>
      </c>
      <c r="B787" s="1" t="s">
        <v>57</v>
      </c>
      <c r="C787" s="1" t="s">
        <v>4801</v>
      </c>
      <c r="D787" s="1" t="s">
        <v>2</v>
      </c>
      <c r="E787" s="1">
        <v>54</v>
      </c>
      <c r="F787" s="1" t="s">
        <v>4802</v>
      </c>
      <c r="H787" s="1" t="s">
        <v>4803</v>
      </c>
      <c r="I787" s="1" t="s">
        <v>7</v>
      </c>
      <c r="J787" s="1" t="s">
        <v>4804</v>
      </c>
      <c r="K787" s="1" t="s">
        <v>4805</v>
      </c>
      <c r="L787" s="1" t="s">
        <v>4804</v>
      </c>
      <c r="M787" s="1" t="s">
        <v>2973</v>
      </c>
      <c r="P787" s="1" t="s">
        <v>4806</v>
      </c>
      <c r="Q787" s="1">
        <v>1998</v>
      </c>
      <c r="R787" s="1" t="s">
        <v>4807</v>
      </c>
      <c r="S787" s="1" t="s">
        <v>27</v>
      </c>
      <c r="T787" s="38">
        <v>1</v>
      </c>
      <c r="W787" s="1">
        <v>115</v>
      </c>
      <c r="Z787" s="1" t="s">
        <v>4821</v>
      </c>
      <c r="AC787" s="1">
        <v>20.7</v>
      </c>
      <c r="AH787" s="1">
        <v>3.36</v>
      </c>
      <c r="AR787" s="1">
        <v>0.63</v>
      </c>
      <c r="AV787" s="1">
        <v>2.23</v>
      </c>
    </row>
    <row r="788" spans="1:165" x14ac:dyDescent="0.2">
      <c r="A788" s="1" t="s">
        <v>4822</v>
      </c>
      <c r="B788" s="1" t="s">
        <v>57</v>
      </c>
      <c r="C788" s="1" t="s">
        <v>4801</v>
      </c>
      <c r="D788" s="1" t="s">
        <v>2</v>
      </c>
      <c r="E788" s="1">
        <v>54</v>
      </c>
      <c r="F788" s="1" t="s">
        <v>4802</v>
      </c>
      <c r="H788" s="1" t="s">
        <v>4803</v>
      </c>
      <c r="I788" s="1" t="s">
        <v>7</v>
      </c>
      <c r="J788" s="1" t="s">
        <v>4804</v>
      </c>
      <c r="K788" s="1" t="s">
        <v>4805</v>
      </c>
      <c r="L788" s="1" t="s">
        <v>4804</v>
      </c>
      <c r="M788" s="1" t="s">
        <v>1292</v>
      </c>
      <c r="P788" s="1" t="s">
        <v>4806</v>
      </c>
      <c r="Q788" s="1">
        <v>1998</v>
      </c>
      <c r="R788" s="1" t="s">
        <v>4807</v>
      </c>
      <c r="S788" s="1" t="s">
        <v>27</v>
      </c>
      <c r="T788" s="38">
        <v>1</v>
      </c>
      <c r="W788" s="1">
        <v>116</v>
      </c>
      <c r="Z788" s="1" t="s">
        <v>4823</v>
      </c>
      <c r="AC788" s="1">
        <v>20.8</v>
      </c>
      <c r="AH788" s="1">
        <v>3.35</v>
      </c>
      <c r="AR788" s="1">
        <v>0.81</v>
      </c>
      <c r="AV788" s="1">
        <v>2.7</v>
      </c>
    </row>
    <row r="789" spans="1:165" x14ac:dyDescent="0.2">
      <c r="A789" s="1" t="s">
        <v>4824</v>
      </c>
      <c r="B789" s="1" t="s">
        <v>57</v>
      </c>
      <c r="C789" s="1" t="s">
        <v>4801</v>
      </c>
      <c r="D789" s="1" t="s">
        <v>2</v>
      </c>
      <c r="E789" s="1">
        <v>54</v>
      </c>
      <c r="F789" s="1" t="s">
        <v>4802</v>
      </c>
      <c r="H789" s="1" t="s">
        <v>4803</v>
      </c>
      <c r="I789" s="1" t="s">
        <v>7</v>
      </c>
      <c r="J789" s="1" t="s">
        <v>4804</v>
      </c>
      <c r="K789" s="1" t="s">
        <v>4805</v>
      </c>
      <c r="L789" s="1" t="s">
        <v>4804</v>
      </c>
      <c r="M789" s="1" t="s">
        <v>480</v>
      </c>
      <c r="P789" s="1" t="s">
        <v>4806</v>
      </c>
      <c r="Q789" s="1">
        <v>1998</v>
      </c>
      <c r="R789" s="1" t="s">
        <v>4807</v>
      </c>
      <c r="S789" s="1" t="s">
        <v>27</v>
      </c>
      <c r="T789" s="38">
        <v>1</v>
      </c>
      <c r="W789" s="1">
        <v>126</v>
      </c>
      <c r="Z789" s="1" t="s">
        <v>4825</v>
      </c>
      <c r="AC789" s="1">
        <v>21.9</v>
      </c>
      <c r="AH789" s="1">
        <v>3.58</v>
      </c>
      <c r="AR789" s="1">
        <v>1.42</v>
      </c>
      <c r="AV789" s="1">
        <v>2.29</v>
      </c>
    </row>
    <row r="790" spans="1:165" x14ac:dyDescent="0.2">
      <c r="A790" s="1" t="s">
        <v>4826</v>
      </c>
      <c r="B790" s="1" t="s">
        <v>57</v>
      </c>
      <c r="C790" s="1" t="s">
        <v>4801</v>
      </c>
      <c r="D790" s="1" t="s">
        <v>2</v>
      </c>
      <c r="E790" s="1">
        <v>54</v>
      </c>
      <c r="F790" s="1" t="s">
        <v>4802</v>
      </c>
      <c r="H790" s="1" t="s">
        <v>4803</v>
      </c>
      <c r="I790" s="1" t="s">
        <v>7</v>
      </c>
      <c r="J790" s="1" t="s">
        <v>4804</v>
      </c>
      <c r="K790" s="1" t="s">
        <v>4805</v>
      </c>
      <c r="L790" s="1" t="s">
        <v>4804</v>
      </c>
      <c r="M790" s="1" t="s">
        <v>1283</v>
      </c>
      <c r="P790" s="1" t="s">
        <v>4806</v>
      </c>
      <c r="Q790" s="1">
        <v>1998</v>
      </c>
      <c r="R790" s="1" t="s">
        <v>4807</v>
      </c>
      <c r="S790" s="1" t="s">
        <v>27</v>
      </c>
      <c r="T790" s="38">
        <v>1</v>
      </c>
      <c r="W790" s="1">
        <v>114</v>
      </c>
      <c r="Z790" s="1" t="s">
        <v>4827</v>
      </c>
      <c r="AC790" s="1">
        <v>19.899999999999999</v>
      </c>
      <c r="AH790" s="1">
        <v>2.7</v>
      </c>
      <c r="AR790" s="1">
        <v>2.52</v>
      </c>
      <c r="AV790" s="1">
        <v>2.6</v>
      </c>
    </row>
    <row r="791" spans="1:165" x14ac:dyDescent="0.2">
      <c r="A791" s="1" t="s">
        <v>4828</v>
      </c>
      <c r="B791" s="1" t="s">
        <v>57</v>
      </c>
      <c r="C791" s="1" t="s">
        <v>4801</v>
      </c>
      <c r="D791" s="1" t="s">
        <v>2</v>
      </c>
      <c r="E791" s="1">
        <v>54</v>
      </c>
      <c r="F791" s="1" t="s">
        <v>4802</v>
      </c>
      <c r="H791" s="1" t="s">
        <v>4803</v>
      </c>
      <c r="I791" s="1" t="s">
        <v>7</v>
      </c>
      <c r="J791" s="1" t="s">
        <v>4804</v>
      </c>
      <c r="K791" s="1" t="s">
        <v>4805</v>
      </c>
      <c r="L791" s="1" t="s">
        <v>4804</v>
      </c>
      <c r="M791" s="1" t="s">
        <v>3315</v>
      </c>
      <c r="P791" s="1" t="s">
        <v>4806</v>
      </c>
      <c r="Q791" s="1">
        <v>1998</v>
      </c>
      <c r="R791" s="1" t="s">
        <v>4807</v>
      </c>
      <c r="S791" s="1" t="s">
        <v>27</v>
      </c>
      <c r="T791" s="38">
        <v>1</v>
      </c>
      <c r="W791" s="1">
        <v>131</v>
      </c>
      <c r="Z791" s="1" t="s">
        <v>4829</v>
      </c>
      <c r="AC791" s="1">
        <v>21.9</v>
      </c>
      <c r="AH791" s="1">
        <v>3.69</v>
      </c>
      <c r="AR791" s="1">
        <v>2.62</v>
      </c>
      <c r="AV791" s="1">
        <v>2.16</v>
      </c>
    </row>
    <row r="792" spans="1:165" x14ac:dyDescent="0.2">
      <c r="A792" s="1" t="s">
        <v>4830</v>
      </c>
      <c r="B792" s="1" t="s">
        <v>57</v>
      </c>
      <c r="C792" s="1" t="s">
        <v>4831</v>
      </c>
      <c r="E792" s="1">
        <v>56</v>
      </c>
      <c r="F792" s="1" t="s">
        <v>3848</v>
      </c>
      <c r="H792" s="1" t="s">
        <v>4832</v>
      </c>
      <c r="I792" s="1" t="s">
        <v>7</v>
      </c>
      <c r="J792" s="1" t="s">
        <v>4833</v>
      </c>
      <c r="K792" s="1" t="s">
        <v>3851</v>
      </c>
      <c r="L792" s="1" t="s">
        <v>4834</v>
      </c>
      <c r="P792" s="1" t="s">
        <v>4835</v>
      </c>
      <c r="Q792" s="1">
        <v>1987</v>
      </c>
      <c r="R792" s="1" t="s">
        <v>4836</v>
      </c>
      <c r="S792" s="1" t="s">
        <v>27</v>
      </c>
      <c r="T792" s="38">
        <v>1</v>
      </c>
      <c r="Z792" s="1">
        <v>81.5</v>
      </c>
      <c r="AA792" s="1">
        <v>6.25</v>
      </c>
      <c r="AC792" s="1">
        <v>11.285</v>
      </c>
      <c r="AJ792" s="1">
        <v>3.6629999999999998</v>
      </c>
      <c r="AQ792" s="1">
        <v>0.25900000000000001</v>
      </c>
      <c r="AU792" s="1">
        <v>7.3999999999999996E-2</v>
      </c>
      <c r="AV792" s="1">
        <v>3.2189999999999999</v>
      </c>
      <c r="BD792" s="1">
        <v>0.17760000000000001</v>
      </c>
      <c r="BF792" s="1">
        <v>4.9950000000000001</v>
      </c>
      <c r="BH792" s="1">
        <v>8.51</v>
      </c>
      <c r="BJ792" s="1">
        <v>10.73</v>
      </c>
      <c r="BK792" s="1">
        <v>0.65</v>
      </c>
      <c r="BM792" s="1">
        <v>6.1050000000000004</v>
      </c>
      <c r="BW792" s="1">
        <v>1.1895500000000001</v>
      </c>
      <c r="DU792" s="1">
        <v>512.45000000000005</v>
      </c>
      <c r="DV792" s="1">
        <v>458.8</v>
      </c>
      <c r="DX792" s="1">
        <v>623.45000000000005</v>
      </c>
      <c r="EA792" s="1">
        <v>1476.3</v>
      </c>
      <c r="EB792" s="1">
        <v>209.05</v>
      </c>
      <c r="EC792" s="1">
        <v>949.05</v>
      </c>
      <c r="EF792" s="1">
        <v>468.05</v>
      </c>
      <c r="EG792" s="1">
        <v>937.95</v>
      </c>
      <c r="EH792" s="1">
        <v>962</v>
      </c>
      <c r="EI792" s="1">
        <v>231.25</v>
      </c>
      <c r="EK792" s="1">
        <v>386.65</v>
      </c>
      <c r="EL792" s="1" t="s">
        <v>15</v>
      </c>
      <c r="EM792" s="1">
        <v>451.4</v>
      </c>
      <c r="EO792" s="1">
        <v>682.65</v>
      </c>
      <c r="EQ792" s="1">
        <v>329.3</v>
      </c>
      <c r="ER792" s="1">
        <v>370</v>
      </c>
    </row>
    <row r="793" spans="1:165" x14ac:dyDescent="0.2">
      <c r="A793" s="1" t="s">
        <v>4837</v>
      </c>
      <c r="B793" s="1" t="s">
        <v>57</v>
      </c>
      <c r="C793" s="1" t="s">
        <v>4838</v>
      </c>
      <c r="D793" s="1" t="s">
        <v>2</v>
      </c>
      <c r="E793" s="1">
        <v>53</v>
      </c>
      <c r="F793" s="1" t="s">
        <v>3878</v>
      </c>
      <c r="H793" s="1" t="s">
        <v>4839</v>
      </c>
      <c r="I793" s="1" t="s">
        <v>7</v>
      </c>
      <c r="J793" s="1" t="s">
        <v>3880</v>
      </c>
      <c r="K793" s="1" t="s">
        <v>3881</v>
      </c>
      <c r="L793" s="1" t="s">
        <v>3880</v>
      </c>
      <c r="M793" s="1" t="s">
        <v>3012</v>
      </c>
      <c r="O793" s="1">
        <v>3</v>
      </c>
      <c r="P793" s="1" t="s">
        <v>2929</v>
      </c>
      <c r="Q793" s="1">
        <v>2004</v>
      </c>
      <c r="R793" s="1" t="s">
        <v>4840</v>
      </c>
      <c r="S793" s="1" t="s">
        <v>27</v>
      </c>
      <c r="T793" s="38">
        <v>1</v>
      </c>
      <c r="Z793" s="1">
        <v>86.68</v>
      </c>
      <c r="AE793" s="1">
        <v>7.66</v>
      </c>
      <c r="AG793" s="1">
        <v>300</v>
      </c>
      <c r="AH793" s="1">
        <v>0.88</v>
      </c>
      <c r="AK793" s="1">
        <v>0.21020543999999999</v>
      </c>
      <c r="AL793" s="1">
        <v>7.4267135999999997E-2</v>
      </c>
      <c r="AM793" s="1">
        <v>0.233597952</v>
      </c>
      <c r="AS793" s="1">
        <v>0.63</v>
      </c>
      <c r="AV793" s="1">
        <v>2.65</v>
      </c>
      <c r="AY793" s="1">
        <v>168</v>
      </c>
      <c r="BA793" s="1">
        <v>6</v>
      </c>
      <c r="BB793" s="1">
        <v>14</v>
      </c>
      <c r="BF793" s="1">
        <v>1.9219999999999999</v>
      </c>
      <c r="BH793" s="1">
        <v>179</v>
      </c>
      <c r="BJ793" s="1">
        <v>100</v>
      </c>
      <c r="BM793" s="1">
        <v>279</v>
      </c>
      <c r="BS793" s="1">
        <v>46</v>
      </c>
      <c r="BW793" s="1">
        <v>1.9E-2</v>
      </c>
      <c r="CL793" s="1">
        <v>5.25</v>
      </c>
      <c r="CM793" s="1">
        <v>3.92</v>
      </c>
      <c r="CT793" s="1" t="s">
        <v>4689</v>
      </c>
      <c r="CV793" s="1">
        <v>0.19</v>
      </c>
      <c r="EW793" s="1">
        <v>21.05</v>
      </c>
      <c r="FI793" s="1">
        <v>3.19</v>
      </c>
    </row>
    <row r="794" spans="1:165" x14ac:dyDescent="0.2">
      <c r="A794" s="1" t="s">
        <v>4841</v>
      </c>
      <c r="B794" s="1" t="s">
        <v>57</v>
      </c>
      <c r="C794" s="1" t="s">
        <v>4838</v>
      </c>
      <c r="D794" s="1" t="s">
        <v>2</v>
      </c>
      <c r="E794" s="1">
        <v>53</v>
      </c>
      <c r="F794" s="1" t="s">
        <v>3878</v>
      </c>
      <c r="H794" s="1" t="s">
        <v>4839</v>
      </c>
      <c r="I794" s="1" t="s">
        <v>7</v>
      </c>
      <c r="J794" s="1" t="s">
        <v>3880</v>
      </c>
      <c r="K794" s="1" t="s">
        <v>3881</v>
      </c>
      <c r="L794" s="1" t="s">
        <v>3880</v>
      </c>
      <c r="M794" s="1" t="s">
        <v>4842</v>
      </c>
      <c r="O794" s="1">
        <v>3</v>
      </c>
      <c r="P794" s="1" t="s">
        <v>2929</v>
      </c>
      <c r="Q794" s="1">
        <v>2004</v>
      </c>
      <c r="R794" s="1" t="s">
        <v>4840</v>
      </c>
      <c r="S794" s="1" t="s">
        <v>27</v>
      </c>
      <c r="T794" s="38">
        <v>1</v>
      </c>
      <c r="Z794" s="1">
        <v>93.88</v>
      </c>
      <c r="AE794" s="1">
        <v>2.39</v>
      </c>
      <c r="AG794" s="1">
        <v>110</v>
      </c>
      <c r="AH794" s="1">
        <v>0.3</v>
      </c>
      <c r="AK794" s="1">
        <v>3.82421493E-2</v>
      </c>
      <c r="AL794" s="1">
        <v>2.6497510200000001E-2</v>
      </c>
      <c r="AM794" s="1">
        <v>5.4348724799999998E-2</v>
      </c>
      <c r="AS794" s="1">
        <v>7.0000000000000007E-2</v>
      </c>
      <c r="AV794" s="1">
        <v>2.63</v>
      </c>
      <c r="AY794" s="1">
        <v>161</v>
      </c>
      <c r="BA794" s="1">
        <v>3</v>
      </c>
      <c r="BB794" s="1">
        <v>7</v>
      </c>
      <c r="BF794" s="1">
        <v>1.1259999999999999</v>
      </c>
      <c r="BH794" s="1">
        <v>77</v>
      </c>
      <c r="BJ794" s="1">
        <v>109</v>
      </c>
      <c r="BM794" s="1">
        <v>768</v>
      </c>
      <c r="BS794" s="1">
        <v>18</v>
      </c>
      <c r="BW794" s="1">
        <v>1.2E-2</v>
      </c>
      <c r="CL794" s="1">
        <v>2.13</v>
      </c>
      <c r="CM794" s="1">
        <v>4.79</v>
      </c>
      <c r="CT794" s="1" t="s">
        <v>4843</v>
      </c>
      <c r="CV794" s="1">
        <v>0.05</v>
      </c>
      <c r="EW794" s="1">
        <v>8.5500000000000007</v>
      </c>
      <c r="FI794" s="1">
        <v>1.39</v>
      </c>
    </row>
    <row r="795" spans="1:165" x14ac:dyDescent="0.2">
      <c r="A795" s="1" t="s">
        <v>4844</v>
      </c>
      <c r="B795" s="1" t="s">
        <v>57</v>
      </c>
      <c r="C795" s="1" t="s">
        <v>4838</v>
      </c>
      <c r="D795" s="1" t="s">
        <v>2</v>
      </c>
      <c r="E795" s="1">
        <v>53</v>
      </c>
      <c r="F795" s="1" t="s">
        <v>3878</v>
      </c>
      <c r="H795" s="1" t="s">
        <v>4839</v>
      </c>
      <c r="I795" s="1" t="s">
        <v>7</v>
      </c>
      <c r="J795" s="1" t="s">
        <v>3880</v>
      </c>
      <c r="K795" s="1" t="s">
        <v>3881</v>
      </c>
      <c r="L795" s="1" t="s">
        <v>3880</v>
      </c>
      <c r="M795" s="1" t="s">
        <v>4845</v>
      </c>
      <c r="O795" s="1">
        <v>3</v>
      </c>
      <c r="P795" s="1" t="s">
        <v>2929</v>
      </c>
      <c r="Q795" s="1">
        <v>2004</v>
      </c>
      <c r="R795" s="1" t="s">
        <v>4840</v>
      </c>
      <c r="S795" s="1" t="s">
        <v>27</v>
      </c>
      <c r="T795" s="38">
        <v>1</v>
      </c>
      <c r="Z795" s="1">
        <v>89.72</v>
      </c>
      <c r="AE795" s="1">
        <v>4.92</v>
      </c>
      <c r="AG795" s="1">
        <v>230</v>
      </c>
      <c r="AH795" s="1">
        <v>0.66</v>
      </c>
      <c r="AK795" s="1">
        <v>9.613352E-2</v>
      </c>
      <c r="AL795" s="1">
        <v>5.5368887999999998E-2</v>
      </c>
      <c r="AM795" s="1">
        <v>0.16674308800000001</v>
      </c>
      <c r="AS795" s="1">
        <v>1.1499999999999999</v>
      </c>
      <c r="AV795" s="1">
        <v>2.25</v>
      </c>
      <c r="AY795" s="1">
        <v>195</v>
      </c>
      <c r="BA795" s="1">
        <v>3</v>
      </c>
      <c r="BB795" s="1">
        <v>6</v>
      </c>
      <c r="BF795" s="1">
        <v>1.1930000000000001</v>
      </c>
      <c r="BH795" s="1">
        <v>153</v>
      </c>
      <c r="BJ795" s="1">
        <v>80</v>
      </c>
      <c r="BM795" s="1">
        <v>234</v>
      </c>
      <c r="BS795" s="1">
        <v>35</v>
      </c>
      <c r="BW795" s="1">
        <v>1.2E-2</v>
      </c>
      <c r="CL795" s="1">
        <v>2.34</v>
      </c>
      <c r="CM795" s="1">
        <v>4.45</v>
      </c>
      <c r="CT795" s="1" t="s">
        <v>4846</v>
      </c>
      <c r="CV795" s="1">
        <v>0.25</v>
      </c>
      <c r="EW795" s="1">
        <v>16.809999999999999</v>
      </c>
      <c r="FI795" s="1">
        <v>2.2200000000000002</v>
      </c>
    </row>
    <row r="796" spans="1:165" x14ac:dyDescent="0.2">
      <c r="A796" s="1" t="s">
        <v>4847</v>
      </c>
      <c r="B796" s="1" t="s">
        <v>57</v>
      </c>
      <c r="C796" s="1" t="s">
        <v>4838</v>
      </c>
      <c r="D796" s="1" t="s">
        <v>2</v>
      </c>
      <c r="E796" s="1">
        <v>53</v>
      </c>
      <c r="F796" s="1" t="s">
        <v>3878</v>
      </c>
      <c r="H796" s="1" t="s">
        <v>4839</v>
      </c>
      <c r="I796" s="1" t="s">
        <v>7</v>
      </c>
      <c r="J796" s="1" t="s">
        <v>3880</v>
      </c>
      <c r="K796" s="1" t="s">
        <v>3881</v>
      </c>
      <c r="L796" s="1" t="s">
        <v>3880</v>
      </c>
      <c r="M796" s="1" t="s">
        <v>4156</v>
      </c>
      <c r="O796" s="1">
        <v>3</v>
      </c>
      <c r="P796" s="1" t="s">
        <v>2929</v>
      </c>
      <c r="Q796" s="1">
        <v>2004</v>
      </c>
      <c r="R796" s="1" t="s">
        <v>4840</v>
      </c>
      <c r="S796" s="1" t="s">
        <v>27</v>
      </c>
      <c r="T796" s="38">
        <v>1</v>
      </c>
      <c r="Z796" s="1">
        <v>88.67</v>
      </c>
      <c r="AE796" s="1">
        <v>6.11</v>
      </c>
      <c r="AG796" s="1">
        <v>240</v>
      </c>
      <c r="AH796" s="1">
        <v>0.72</v>
      </c>
      <c r="AK796" s="1">
        <v>0.152769408</v>
      </c>
      <c r="AL796" s="1">
        <v>5.0099263999999998E-2</v>
      </c>
      <c r="AM796" s="1">
        <v>0.16991379200000001</v>
      </c>
      <c r="AS796" s="1">
        <v>0.46</v>
      </c>
      <c r="AV796" s="1">
        <v>2.95</v>
      </c>
      <c r="AY796" s="1">
        <v>148</v>
      </c>
      <c r="BA796" s="1">
        <v>7</v>
      </c>
      <c r="BB796" s="1">
        <v>18</v>
      </c>
      <c r="BF796" s="1">
        <v>1.849</v>
      </c>
      <c r="BH796" s="1">
        <v>158</v>
      </c>
      <c r="BJ796" s="1">
        <v>113</v>
      </c>
      <c r="BM796" s="1">
        <v>369</v>
      </c>
      <c r="BS796" s="1">
        <v>34</v>
      </c>
      <c r="BW796" s="1">
        <v>1.4999999999999999E-2</v>
      </c>
      <c r="CL796" s="1">
        <v>0.61</v>
      </c>
      <c r="CM796" s="1">
        <v>2.4900000000000002</v>
      </c>
      <c r="CT796" s="1" t="s">
        <v>4848</v>
      </c>
      <c r="CV796" s="1">
        <v>0.18</v>
      </c>
      <c r="EW796" s="1">
        <v>19.5</v>
      </c>
      <c r="FI796" s="1">
        <v>3.15</v>
      </c>
    </row>
    <row r="797" spans="1:165" x14ac:dyDescent="0.2">
      <c r="A797" s="1" t="s">
        <v>4849</v>
      </c>
      <c r="B797" s="1" t="s">
        <v>57</v>
      </c>
      <c r="C797" s="1" t="s">
        <v>4838</v>
      </c>
      <c r="D797" s="1" t="s">
        <v>2</v>
      </c>
      <c r="E797" s="1">
        <v>53</v>
      </c>
      <c r="F797" s="1" t="s">
        <v>3878</v>
      </c>
      <c r="H797" s="1" t="s">
        <v>4839</v>
      </c>
      <c r="I797" s="1" t="s">
        <v>7</v>
      </c>
      <c r="J797" s="1" t="s">
        <v>3880</v>
      </c>
      <c r="K797" s="1" t="s">
        <v>3881</v>
      </c>
      <c r="L797" s="1" t="s">
        <v>3880</v>
      </c>
      <c r="M797" s="1" t="s">
        <v>2581</v>
      </c>
      <c r="O797" s="1">
        <v>3</v>
      </c>
      <c r="P797" s="1" t="s">
        <v>2929</v>
      </c>
      <c r="Q797" s="1">
        <v>2004</v>
      </c>
      <c r="R797" s="1" t="s">
        <v>4840</v>
      </c>
      <c r="S797" s="1" t="s">
        <v>27</v>
      </c>
      <c r="T797" s="38">
        <v>1</v>
      </c>
      <c r="Z797" s="1">
        <v>90.96</v>
      </c>
      <c r="AE797" s="1">
        <v>4.04</v>
      </c>
      <c r="AG797" s="1">
        <v>180</v>
      </c>
      <c r="AH797" s="1">
        <v>0.44</v>
      </c>
      <c r="AK797" s="1">
        <v>6.4802331000000005E-2</v>
      </c>
      <c r="AL797" s="1">
        <v>2.864171112E-2</v>
      </c>
      <c r="AM797" s="1">
        <v>8.1218921520000001E-2</v>
      </c>
      <c r="AS797" s="1">
        <v>0.57999999999999996</v>
      </c>
      <c r="AV797" s="1">
        <v>2.82</v>
      </c>
      <c r="AY797" s="1">
        <v>240</v>
      </c>
      <c r="BA797" s="1">
        <v>4</v>
      </c>
      <c r="BB797" s="1">
        <v>11</v>
      </c>
      <c r="BF797" s="1">
        <v>1.722</v>
      </c>
      <c r="BH797" s="1">
        <v>119</v>
      </c>
      <c r="BJ797" s="1">
        <v>116</v>
      </c>
      <c r="BM797" s="1">
        <v>372</v>
      </c>
      <c r="BS797" s="1">
        <v>30</v>
      </c>
      <c r="BW797" s="1">
        <v>1.2999999999999999E-2</v>
      </c>
      <c r="CL797" s="1">
        <v>0.77</v>
      </c>
      <c r="CM797" s="1">
        <v>1.84</v>
      </c>
      <c r="CT797" s="1" t="s">
        <v>1240</v>
      </c>
      <c r="CV797" s="1">
        <v>7.0000000000000007E-2</v>
      </c>
      <c r="EW797" s="1">
        <v>14.93</v>
      </c>
      <c r="FI797" s="1">
        <v>2.19</v>
      </c>
    </row>
    <row r="798" spans="1:165" x14ac:dyDescent="0.2">
      <c r="A798" s="1" t="s">
        <v>4850</v>
      </c>
      <c r="B798" s="1" t="s">
        <v>57</v>
      </c>
      <c r="C798" s="1" t="s">
        <v>4851</v>
      </c>
      <c r="D798" s="1" t="s">
        <v>2</v>
      </c>
      <c r="E798" s="1">
        <v>55</v>
      </c>
      <c r="F798" s="1" t="s">
        <v>4327</v>
      </c>
      <c r="H798" s="1" t="s">
        <v>4852</v>
      </c>
      <c r="I798" s="1" t="s">
        <v>7</v>
      </c>
      <c r="J798" s="1" t="s">
        <v>4853</v>
      </c>
      <c r="K798" s="1" t="s">
        <v>4330</v>
      </c>
      <c r="L798" s="1" t="s">
        <v>4331</v>
      </c>
      <c r="M798" s="1" t="s">
        <v>4854</v>
      </c>
      <c r="O798" s="1">
        <v>3</v>
      </c>
      <c r="P798" s="1" t="s">
        <v>4855</v>
      </c>
      <c r="Q798" s="1">
        <v>2006</v>
      </c>
      <c r="R798" s="1" t="s">
        <v>4856</v>
      </c>
      <c r="S798" s="1" t="s">
        <v>27</v>
      </c>
      <c r="T798" s="38">
        <v>1</v>
      </c>
      <c r="Z798" s="1">
        <v>80.7</v>
      </c>
      <c r="AE798" s="1">
        <v>15.7</v>
      </c>
      <c r="AJ798" s="1">
        <v>0.48</v>
      </c>
      <c r="AQ798" s="1">
        <v>1.8</v>
      </c>
      <c r="AS798" s="1">
        <v>0.79</v>
      </c>
      <c r="AV798" s="1">
        <v>1.3</v>
      </c>
    </row>
    <row r="799" spans="1:165" x14ac:dyDescent="0.2">
      <c r="A799" s="1" t="s">
        <v>4857</v>
      </c>
      <c r="B799" s="1" t="s">
        <v>57</v>
      </c>
      <c r="C799" s="1" t="s">
        <v>4851</v>
      </c>
      <c r="D799" s="1" t="s">
        <v>2</v>
      </c>
      <c r="E799" s="1">
        <v>55</v>
      </c>
      <c r="F799" s="1" t="s">
        <v>4327</v>
      </c>
      <c r="H799" s="1" t="s">
        <v>4852</v>
      </c>
      <c r="I799" s="1" t="s">
        <v>7</v>
      </c>
      <c r="J799" s="1" t="s">
        <v>4853</v>
      </c>
      <c r="K799" s="1" t="s">
        <v>4330</v>
      </c>
      <c r="L799" s="1" t="s">
        <v>4331</v>
      </c>
      <c r="M799" s="1" t="s">
        <v>4858</v>
      </c>
      <c r="O799" s="1">
        <v>3</v>
      </c>
      <c r="P799" s="1" t="s">
        <v>4855</v>
      </c>
      <c r="Q799" s="1">
        <v>2006</v>
      </c>
      <c r="R799" s="1" t="s">
        <v>4856</v>
      </c>
      <c r="S799" s="1" t="s">
        <v>27</v>
      </c>
      <c r="T799" s="38">
        <v>1</v>
      </c>
      <c r="Z799" s="1">
        <v>78.2</v>
      </c>
      <c r="AE799" s="1">
        <v>15.9</v>
      </c>
      <c r="AJ799" s="1">
        <v>0.5</v>
      </c>
      <c r="AQ799" s="1">
        <v>4</v>
      </c>
      <c r="AS799" s="1">
        <v>3.51</v>
      </c>
      <c r="AV799" s="1">
        <v>1.3</v>
      </c>
    </row>
    <row r="800" spans="1:165" x14ac:dyDescent="0.2">
      <c r="A800" s="1" t="s">
        <v>4859</v>
      </c>
      <c r="B800" s="1" t="s">
        <v>57</v>
      </c>
      <c r="C800" s="1" t="s">
        <v>4851</v>
      </c>
      <c r="D800" s="1" t="s">
        <v>2</v>
      </c>
      <c r="E800" s="1">
        <v>55</v>
      </c>
      <c r="F800" s="1" t="s">
        <v>4327</v>
      </c>
      <c r="H800" s="1" t="s">
        <v>4852</v>
      </c>
      <c r="I800" s="1" t="s">
        <v>7</v>
      </c>
      <c r="J800" s="1" t="s">
        <v>4853</v>
      </c>
      <c r="K800" s="1" t="s">
        <v>4330</v>
      </c>
      <c r="L800" s="1" t="s">
        <v>4331</v>
      </c>
      <c r="M800" s="1" t="s">
        <v>4860</v>
      </c>
      <c r="O800" s="1">
        <v>3</v>
      </c>
      <c r="P800" s="1" t="s">
        <v>4855</v>
      </c>
      <c r="Q800" s="1">
        <v>2006</v>
      </c>
      <c r="R800" s="1" t="s">
        <v>4856</v>
      </c>
      <c r="S800" s="1" t="s">
        <v>27</v>
      </c>
      <c r="T800" s="38">
        <v>1</v>
      </c>
      <c r="Z800" s="1">
        <v>72.5</v>
      </c>
      <c r="AE800" s="1">
        <v>15.1</v>
      </c>
      <c r="AJ800" s="1">
        <v>0.36</v>
      </c>
      <c r="AQ800" s="1">
        <v>10.5</v>
      </c>
      <c r="AS800" s="1">
        <v>7.87</v>
      </c>
      <c r="AV800" s="1">
        <v>1.5</v>
      </c>
    </row>
    <row r="801" spans="1:117" x14ac:dyDescent="0.2">
      <c r="A801" s="1" t="s">
        <v>4861</v>
      </c>
      <c r="B801" s="1" t="s">
        <v>57</v>
      </c>
      <c r="C801" s="1" t="s">
        <v>4851</v>
      </c>
      <c r="D801" s="1" t="s">
        <v>2</v>
      </c>
      <c r="E801" s="1">
        <v>55</v>
      </c>
      <c r="F801" s="1" t="s">
        <v>4327</v>
      </c>
      <c r="H801" s="1" t="s">
        <v>4852</v>
      </c>
      <c r="I801" s="1" t="s">
        <v>7</v>
      </c>
      <c r="J801" s="1" t="s">
        <v>4853</v>
      </c>
      <c r="K801" s="1" t="s">
        <v>4330</v>
      </c>
      <c r="L801" s="1" t="s">
        <v>4331</v>
      </c>
      <c r="M801" s="1" t="s">
        <v>4862</v>
      </c>
      <c r="O801" s="1">
        <v>3</v>
      </c>
      <c r="P801" s="1" t="s">
        <v>4855</v>
      </c>
      <c r="Q801" s="1">
        <v>2006</v>
      </c>
      <c r="R801" s="1" t="s">
        <v>4856</v>
      </c>
      <c r="S801" s="1" t="s">
        <v>27</v>
      </c>
      <c r="T801" s="38">
        <v>1</v>
      </c>
      <c r="Z801" s="1">
        <v>78</v>
      </c>
      <c r="AE801" s="1">
        <v>17.3</v>
      </c>
      <c r="AJ801" s="1">
        <v>0.63</v>
      </c>
      <c r="AQ801" s="1">
        <v>2.4</v>
      </c>
      <c r="AS801" s="1">
        <v>2.21</v>
      </c>
      <c r="AV801" s="1">
        <v>1.5</v>
      </c>
    </row>
    <row r="802" spans="1:117" x14ac:dyDescent="0.2">
      <c r="A802" s="1" t="s">
        <v>4863</v>
      </c>
      <c r="B802" s="1" t="s">
        <v>55</v>
      </c>
      <c r="C802" s="1" t="s">
        <v>4864</v>
      </c>
      <c r="D802" s="1" t="s">
        <v>2</v>
      </c>
      <c r="E802" s="1">
        <v>13</v>
      </c>
      <c r="F802" s="1" t="s">
        <v>1265</v>
      </c>
      <c r="H802" s="1" t="s">
        <v>4865</v>
      </c>
      <c r="I802" s="1" t="s">
        <v>7</v>
      </c>
      <c r="J802" s="1" t="s">
        <v>1267</v>
      </c>
      <c r="K802" s="1" t="s">
        <v>1268</v>
      </c>
      <c r="L802" s="1" t="s">
        <v>1267</v>
      </c>
      <c r="M802" s="1" t="s">
        <v>4866</v>
      </c>
      <c r="O802" s="1">
        <v>1</v>
      </c>
      <c r="P802" s="1" t="s">
        <v>4867</v>
      </c>
      <c r="Q802" s="1">
        <v>2004</v>
      </c>
      <c r="R802" s="1" t="s">
        <v>4868</v>
      </c>
      <c r="S802" s="1" t="s">
        <v>23</v>
      </c>
      <c r="T802" s="38">
        <v>1</v>
      </c>
      <c r="Z802" s="1">
        <v>68.599999999999994</v>
      </c>
      <c r="AE802" s="1">
        <v>17.5</v>
      </c>
      <c r="AJ802" s="1">
        <v>12.5</v>
      </c>
    </row>
    <row r="803" spans="1:117" x14ac:dyDescent="0.2">
      <c r="A803" s="1" t="s">
        <v>4869</v>
      </c>
      <c r="B803" s="1" t="s">
        <v>55</v>
      </c>
      <c r="C803" s="1" t="s">
        <v>4870</v>
      </c>
      <c r="D803" s="1" t="s">
        <v>2</v>
      </c>
      <c r="E803" s="1">
        <v>13</v>
      </c>
      <c r="F803" s="1" t="s">
        <v>1265</v>
      </c>
      <c r="H803" s="1" t="s">
        <v>4871</v>
      </c>
      <c r="I803" s="1" t="s">
        <v>7</v>
      </c>
      <c r="J803" s="1" t="s">
        <v>1267</v>
      </c>
      <c r="K803" s="1" t="s">
        <v>1268</v>
      </c>
      <c r="L803" s="1" t="s">
        <v>1267</v>
      </c>
      <c r="M803" s="1" t="s">
        <v>4872</v>
      </c>
      <c r="O803" s="1">
        <v>1</v>
      </c>
      <c r="P803" s="1" t="s">
        <v>4867</v>
      </c>
      <c r="Q803" s="1">
        <v>2004</v>
      </c>
      <c r="R803" s="1" t="s">
        <v>4868</v>
      </c>
      <c r="S803" s="1" t="s">
        <v>23</v>
      </c>
      <c r="T803" s="38">
        <v>1</v>
      </c>
      <c r="Z803" s="1">
        <v>74.2</v>
      </c>
      <c r="AE803" s="1">
        <v>14.9</v>
      </c>
      <c r="AJ803" s="1">
        <v>9.3000000000000007</v>
      </c>
    </row>
    <row r="804" spans="1:117" x14ac:dyDescent="0.2">
      <c r="A804" s="1" t="s">
        <v>4873</v>
      </c>
      <c r="B804" s="1" t="s">
        <v>55</v>
      </c>
      <c r="C804" s="1" t="s">
        <v>4870</v>
      </c>
      <c r="D804" s="1" t="s">
        <v>2</v>
      </c>
      <c r="E804" s="1">
        <v>13</v>
      </c>
      <c r="F804" s="1" t="s">
        <v>4874</v>
      </c>
      <c r="H804" s="1" t="s">
        <v>4875</v>
      </c>
      <c r="I804" s="1" t="s">
        <v>7</v>
      </c>
      <c r="J804" s="1" t="s">
        <v>4876</v>
      </c>
      <c r="K804" s="1" t="s">
        <v>4877</v>
      </c>
      <c r="L804" s="1" t="s">
        <v>4878</v>
      </c>
      <c r="O804" s="1">
        <v>1</v>
      </c>
      <c r="P804" s="1" t="s">
        <v>4867</v>
      </c>
      <c r="Q804" s="1">
        <v>2004</v>
      </c>
      <c r="R804" s="1" t="s">
        <v>4868</v>
      </c>
      <c r="S804" s="1" t="s">
        <v>23</v>
      </c>
      <c r="T804" s="38">
        <v>1</v>
      </c>
      <c r="Z804" s="1">
        <v>71.7</v>
      </c>
      <c r="AE804" s="1">
        <v>16.100000000000001</v>
      </c>
      <c r="AJ804" s="1">
        <v>11.4</v>
      </c>
    </row>
    <row r="805" spans="1:117" x14ac:dyDescent="0.2">
      <c r="A805" s="1" t="s">
        <v>4879</v>
      </c>
      <c r="B805" s="1" t="s">
        <v>57</v>
      </c>
      <c r="C805" s="1" t="s">
        <v>4880</v>
      </c>
      <c r="E805" s="1">
        <v>56</v>
      </c>
      <c r="H805" s="1" t="s">
        <v>4881</v>
      </c>
      <c r="I805" s="1" t="s">
        <v>7</v>
      </c>
      <c r="J805" s="1" t="s">
        <v>4882</v>
      </c>
      <c r="P805" s="1" t="s">
        <v>4883</v>
      </c>
      <c r="Q805" s="1">
        <v>2001</v>
      </c>
      <c r="R805" s="1" t="s">
        <v>4884</v>
      </c>
      <c r="S805" s="1" t="s">
        <v>23</v>
      </c>
      <c r="T805" s="38">
        <v>1</v>
      </c>
      <c r="DM805" s="1">
        <v>91.34</v>
      </c>
    </row>
    <row r="806" spans="1:117" x14ac:dyDescent="0.2">
      <c r="A806" s="1" t="s">
        <v>4885</v>
      </c>
      <c r="B806" s="1" t="s">
        <v>57</v>
      </c>
      <c r="C806" s="1" t="s">
        <v>4880</v>
      </c>
      <c r="E806" s="1">
        <v>52</v>
      </c>
      <c r="F806" s="1" t="s">
        <v>3761</v>
      </c>
      <c r="H806" s="1" t="s">
        <v>4886</v>
      </c>
      <c r="I806" s="1" t="s">
        <v>7</v>
      </c>
      <c r="J806" s="1" t="s">
        <v>4887</v>
      </c>
      <c r="K806" s="1" t="s">
        <v>3764</v>
      </c>
      <c r="L806" s="1" t="s">
        <v>3765</v>
      </c>
      <c r="P806" s="1" t="s">
        <v>4883</v>
      </c>
      <c r="Q806" s="1">
        <v>2001</v>
      </c>
      <c r="R806" s="1" t="s">
        <v>4884</v>
      </c>
      <c r="S806" s="1" t="s">
        <v>23</v>
      </c>
      <c r="T806" s="38">
        <v>1</v>
      </c>
      <c r="DM806" s="1">
        <v>60.81</v>
      </c>
    </row>
    <row r="807" spans="1:117" x14ac:dyDescent="0.2">
      <c r="A807" s="1" t="s">
        <v>4888</v>
      </c>
      <c r="B807" s="1" t="s">
        <v>57</v>
      </c>
      <c r="C807" s="1" t="s">
        <v>4880</v>
      </c>
      <c r="E807" s="1">
        <v>56</v>
      </c>
      <c r="F807" s="1" t="s">
        <v>3848</v>
      </c>
      <c r="H807" s="1" t="s">
        <v>4889</v>
      </c>
      <c r="I807" s="1" t="s">
        <v>7</v>
      </c>
      <c r="J807" s="1" t="s">
        <v>4890</v>
      </c>
      <c r="K807" s="1" t="s">
        <v>3851</v>
      </c>
      <c r="L807" s="1" t="s">
        <v>4834</v>
      </c>
      <c r="P807" s="1" t="s">
        <v>4883</v>
      </c>
      <c r="Q807" s="1">
        <v>2001</v>
      </c>
      <c r="R807" s="1" t="s">
        <v>4884</v>
      </c>
      <c r="S807" s="1" t="s">
        <v>23</v>
      </c>
      <c r="T807" s="38">
        <v>1</v>
      </c>
      <c r="DM807" s="1">
        <v>73.989999999999995</v>
      </c>
    </row>
    <row r="808" spans="1:117" x14ac:dyDescent="0.2">
      <c r="A808" s="1" t="s">
        <v>4891</v>
      </c>
      <c r="B808" s="1" t="s">
        <v>57</v>
      </c>
      <c r="C808" s="1" t="s">
        <v>4880</v>
      </c>
      <c r="E808" s="1">
        <v>56</v>
      </c>
      <c r="F808" s="1" t="s">
        <v>4892</v>
      </c>
      <c r="H808" s="1" t="s">
        <v>4893</v>
      </c>
      <c r="I808" s="1" t="s">
        <v>7</v>
      </c>
      <c r="J808" s="1" t="s">
        <v>4894</v>
      </c>
      <c r="K808" s="1" t="s">
        <v>4895</v>
      </c>
      <c r="L808" s="1" t="s">
        <v>4896</v>
      </c>
      <c r="P808" s="1" t="s">
        <v>4883</v>
      </c>
      <c r="Q808" s="1">
        <v>2001</v>
      </c>
      <c r="R808" s="1" t="s">
        <v>4884</v>
      </c>
      <c r="S808" s="1" t="s">
        <v>23</v>
      </c>
      <c r="T808" s="38">
        <v>1</v>
      </c>
      <c r="DM808" s="1">
        <v>58.9</v>
      </c>
    </row>
    <row r="809" spans="1:117" x14ac:dyDescent="0.2">
      <c r="A809" s="1" t="s">
        <v>4897</v>
      </c>
      <c r="B809" s="1" t="s">
        <v>57</v>
      </c>
      <c r="C809" s="1" t="s">
        <v>4880</v>
      </c>
      <c r="E809" s="1">
        <v>53</v>
      </c>
      <c r="F809" s="1" t="s">
        <v>3878</v>
      </c>
      <c r="H809" s="1" t="s">
        <v>4898</v>
      </c>
      <c r="I809" s="1" t="s">
        <v>7</v>
      </c>
      <c r="J809" s="1" t="s">
        <v>3880</v>
      </c>
      <c r="K809" s="1" t="s">
        <v>3881</v>
      </c>
      <c r="L809" s="1" t="s">
        <v>3880</v>
      </c>
      <c r="P809" s="1" t="s">
        <v>4883</v>
      </c>
      <c r="Q809" s="1">
        <v>2001</v>
      </c>
      <c r="R809" s="1" t="s">
        <v>4884</v>
      </c>
      <c r="S809" s="1" t="s">
        <v>23</v>
      </c>
      <c r="T809" s="38">
        <v>1</v>
      </c>
      <c r="DM809" s="1">
        <v>46.31</v>
      </c>
    </row>
    <row r="810" spans="1:117" x14ac:dyDescent="0.2">
      <c r="A810" s="1" t="s">
        <v>4899</v>
      </c>
      <c r="B810" s="1" t="s">
        <v>57</v>
      </c>
      <c r="C810" s="1" t="s">
        <v>4880</v>
      </c>
      <c r="E810" s="1">
        <v>51</v>
      </c>
      <c r="F810" s="1" t="s">
        <v>4900</v>
      </c>
      <c r="H810" s="1" t="s">
        <v>4901</v>
      </c>
      <c r="I810" s="1" t="s">
        <v>7</v>
      </c>
      <c r="J810" s="1" t="s">
        <v>4902</v>
      </c>
      <c r="K810" s="1" t="s">
        <v>4903</v>
      </c>
      <c r="L810" s="1" t="s">
        <v>4904</v>
      </c>
      <c r="P810" s="1" t="s">
        <v>4883</v>
      </c>
      <c r="Q810" s="1">
        <v>2001</v>
      </c>
      <c r="R810" s="1" t="s">
        <v>4884</v>
      </c>
      <c r="S810" s="1" t="s">
        <v>23</v>
      </c>
      <c r="T810" s="38">
        <v>1</v>
      </c>
      <c r="DM810" s="1">
        <v>38.42</v>
      </c>
    </row>
    <row r="811" spans="1:117" x14ac:dyDescent="0.2">
      <c r="A811" s="1" t="s">
        <v>4905</v>
      </c>
      <c r="B811" s="1" t="s">
        <v>57</v>
      </c>
      <c r="C811" s="1" t="s">
        <v>4880</v>
      </c>
      <c r="E811" s="1">
        <v>56</v>
      </c>
      <c r="F811" s="1" t="s">
        <v>4906</v>
      </c>
      <c r="H811" s="1" t="s">
        <v>4907</v>
      </c>
      <c r="I811" s="1" t="s">
        <v>7</v>
      </c>
      <c r="J811" s="1" t="s">
        <v>4908</v>
      </c>
      <c r="K811" s="1" t="s">
        <v>4909</v>
      </c>
      <c r="L811" s="1" t="s">
        <v>4910</v>
      </c>
      <c r="P811" s="1" t="s">
        <v>4883</v>
      </c>
      <c r="Q811" s="1">
        <v>2001</v>
      </c>
      <c r="R811" s="1" t="s">
        <v>4884</v>
      </c>
      <c r="S811" s="1" t="s">
        <v>23</v>
      </c>
      <c r="T811" s="38">
        <v>1</v>
      </c>
      <c r="DM811" s="1">
        <v>37.03</v>
      </c>
    </row>
    <row r="812" spans="1:117" x14ac:dyDescent="0.2">
      <c r="A812" s="1" t="s">
        <v>4911</v>
      </c>
      <c r="B812" s="1" t="s">
        <v>57</v>
      </c>
      <c r="C812" s="1" t="s">
        <v>4880</v>
      </c>
      <c r="E812" s="1">
        <v>54</v>
      </c>
      <c r="F812" s="1" t="s">
        <v>4912</v>
      </c>
      <c r="H812" s="1" t="s">
        <v>4913</v>
      </c>
      <c r="I812" s="1" t="s">
        <v>7</v>
      </c>
      <c r="J812" s="1" t="s">
        <v>4914</v>
      </c>
      <c r="K812" s="1" t="s">
        <v>4915</v>
      </c>
      <c r="L812" s="1" t="s">
        <v>4916</v>
      </c>
      <c r="P812" s="1" t="s">
        <v>4883</v>
      </c>
      <c r="Q812" s="1">
        <v>2001</v>
      </c>
      <c r="R812" s="1" t="s">
        <v>4884</v>
      </c>
      <c r="S812" s="1" t="s">
        <v>23</v>
      </c>
      <c r="T812" s="38">
        <v>1</v>
      </c>
      <c r="DM812" s="1">
        <v>15.73</v>
      </c>
    </row>
    <row r="813" spans="1:117" x14ac:dyDescent="0.2">
      <c r="A813" s="1" t="s">
        <v>4917</v>
      </c>
      <c r="B813" s="1" t="s">
        <v>57</v>
      </c>
      <c r="C813" s="1" t="s">
        <v>4880</v>
      </c>
      <c r="E813" s="1">
        <v>56</v>
      </c>
      <c r="F813" s="1" t="s">
        <v>4918</v>
      </c>
      <c r="H813" s="1" t="s">
        <v>4919</v>
      </c>
      <c r="I813" s="1" t="s">
        <v>7</v>
      </c>
      <c r="J813" s="1" t="s">
        <v>4920</v>
      </c>
      <c r="K813" s="1" t="s">
        <v>4921</v>
      </c>
      <c r="L813" s="1" t="s">
        <v>4920</v>
      </c>
      <c r="P813" s="1" t="s">
        <v>4883</v>
      </c>
      <c r="Q813" s="1">
        <v>2001</v>
      </c>
      <c r="R813" s="1" t="s">
        <v>4884</v>
      </c>
      <c r="S813" s="1" t="s">
        <v>23</v>
      </c>
      <c r="T813" s="38">
        <v>1</v>
      </c>
      <c r="DM813" s="1">
        <v>29.66</v>
      </c>
    </row>
    <row r="814" spans="1:117" x14ac:dyDescent="0.2">
      <c r="A814" s="1" t="s">
        <v>4922</v>
      </c>
      <c r="B814" s="1" t="s">
        <v>57</v>
      </c>
      <c r="C814" s="1" t="s">
        <v>4880</v>
      </c>
      <c r="E814" s="1">
        <v>52</v>
      </c>
      <c r="F814" s="1" t="s">
        <v>4923</v>
      </c>
      <c r="H814" s="1" t="s">
        <v>4924</v>
      </c>
      <c r="I814" s="1" t="s">
        <v>7</v>
      </c>
      <c r="J814" s="1" t="s">
        <v>4925</v>
      </c>
      <c r="K814" s="1" t="s">
        <v>4926</v>
      </c>
      <c r="L814" s="1" t="s">
        <v>4927</v>
      </c>
      <c r="P814" s="1" t="s">
        <v>4883</v>
      </c>
      <c r="Q814" s="1">
        <v>2001</v>
      </c>
      <c r="R814" s="1" t="s">
        <v>4884</v>
      </c>
      <c r="S814" s="1" t="s">
        <v>23</v>
      </c>
      <c r="T814" s="38">
        <v>1</v>
      </c>
      <c r="DM814" s="1">
        <v>23.65</v>
      </c>
    </row>
    <row r="815" spans="1:117" x14ac:dyDescent="0.2">
      <c r="A815" s="1" t="s">
        <v>4928</v>
      </c>
      <c r="B815" s="1" t="s">
        <v>57</v>
      </c>
      <c r="C815" s="1" t="s">
        <v>4880</v>
      </c>
      <c r="E815" s="1">
        <v>55</v>
      </c>
      <c r="F815" s="1" t="s">
        <v>4929</v>
      </c>
      <c r="H815" s="1" t="s">
        <v>4930</v>
      </c>
      <c r="I815" s="1" t="s">
        <v>7</v>
      </c>
      <c r="J815" s="1" t="s">
        <v>4931</v>
      </c>
      <c r="K815" s="1" t="s">
        <v>4932</v>
      </c>
      <c r="L815" s="1" t="s">
        <v>4933</v>
      </c>
      <c r="P815" s="1" t="s">
        <v>4883</v>
      </c>
      <c r="Q815" s="1">
        <v>2001</v>
      </c>
      <c r="R815" s="1" t="s">
        <v>4884</v>
      </c>
      <c r="S815" s="1" t="s">
        <v>23</v>
      </c>
      <c r="T815" s="38">
        <v>1</v>
      </c>
      <c r="DM815" s="1">
        <v>13.44</v>
      </c>
    </row>
    <row r="816" spans="1:117" x14ac:dyDescent="0.2">
      <c r="A816" s="1" t="s">
        <v>4934</v>
      </c>
      <c r="B816" s="1" t="s">
        <v>57</v>
      </c>
      <c r="C816" s="1" t="s">
        <v>4880</v>
      </c>
      <c r="E816" s="1">
        <v>52</v>
      </c>
      <c r="F816" s="1" t="s">
        <v>4935</v>
      </c>
      <c r="H816" s="1" t="s">
        <v>4936</v>
      </c>
      <c r="I816" s="1" t="s">
        <v>7</v>
      </c>
      <c r="J816" s="1" t="s">
        <v>4937</v>
      </c>
      <c r="K816" s="1" t="s">
        <v>4938</v>
      </c>
      <c r="L816" s="1" t="s">
        <v>4939</v>
      </c>
      <c r="P816" s="1" t="s">
        <v>4883</v>
      </c>
      <c r="Q816" s="1">
        <v>2001</v>
      </c>
      <c r="R816" s="1" t="s">
        <v>4884</v>
      </c>
      <c r="S816" s="1" t="s">
        <v>23</v>
      </c>
      <c r="T816" s="38">
        <v>1</v>
      </c>
      <c r="DM816" s="1">
        <v>0.79</v>
      </c>
    </row>
    <row r="817" spans="1:153" x14ac:dyDescent="0.2">
      <c r="A817" s="1" t="s">
        <v>4940</v>
      </c>
      <c r="B817" s="1" t="s">
        <v>1911</v>
      </c>
      <c r="C817" s="1" t="s">
        <v>4515</v>
      </c>
      <c r="E817" s="1">
        <v>45</v>
      </c>
      <c r="F817" s="1" t="s">
        <v>4941</v>
      </c>
      <c r="H817" s="1" t="s">
        <v>4942</v>
      </c>
      <c r="I817" s="1" t="s">
        <v>7</v>
      </c>
      <c r="J817" s="1" t="s">
        <v>4943</v>
      </c>
      <c r="K817" s="1" t="s">
        <v>4944</v>
      </c>
      <c r="L817" s="1" t="s">
        <v>4943</v>
      </c>
      <c r="P817" s="1" t="s">
        <v>1269</v>
      </c>
      <c r="Q817" s="1">
        <v>2002</v>
      </c>
      <c r="R817" s="1" t="s">
        <v>4945</v>
      </c>
      <c r="S817" s="1" t="s">
        <v>23</v>
      </c>
      <c r="T817" s="38">
        <v>1</v>
      </c>
      <c r="AH817" s="1">
        <v>1.1299999999999999</v>
      </c>
      <c r="AK817" s="1">
        <v>0.26559512000000002</v>
      </c>
      <c r="AL817" s="1">
        <v>0.16468511999999999</v>
      </c>
      <c r="AM817" s="1">
        <v>0.32694839999999997</v>
      </c>
      <c r="EW817" s="1">
        <v>118</v>
      </c>
    </row>
    <row r="818" spans="1:153" x14ac:dyDescent="0.2">
      <c r="A818" s="1" t="s">
        <v>4946</v>
      </c>
      <c r="B818" s="1" t="s">
        <v>57</v>
      </c>
      <c r="C818" s="1" t="s">
        <v>4947</v>
      </c>
      <c r="E818" s="1">
        <v>52</v>
      </c>
      <c r="F818" s="1" t="s">
        <v>4948</v>
      </c>
      <c r="G818" s="1" t="s">
        <v>4949</v>
      </c>
      <c r="H818" s="1" t="s">
        <v>4950</v>
      </c>
      <c r="I818" s="1" t="s">
        <v>7</v>
      </c>
      <c r="J818" s="1" t="s">
        <v>4951</v>
      </c>
      <c r="K818" s="1" t="s">
        <v>4952</v>
      </c>
      <c r="L818" s="1" t="s">
        <v>4951</v>
      </c>
      <c r="M818" s="1" t="s">
        <v>4953</v>
      </c>
      <c r="Q818" s="1">
        <v>2009</v>
      </c>
      <c r="R818" s="1" t="s">
        <v>4954</v>
      </c>
      <c r="S818" s="1" t="s">
        <v>23</v>
      </c>
      <c r="T818" s="38">
        <v>1</v>
      </c>
      <c r="AK818" s="1">
        <v>0.49199999999999999</v>
      </c>
      <c r="AL818" s="1">
        <v>0.22</v>
      </c>
      <c r="AM818" s="1">
        <v>0.313</v>
      </c>
    </row>
    <row r="819" spans="1:153" x14ac:dyDescent="0.2">
      <c r="A819" s="1" t="s">
        <v>4955</v>
      </c>
      <c r="B819" s="1" t="s">
        <v>57</v>
      </c>
      <c r="C819" s="1" t="s">
        <v>4956</v>
      </c>
      <c r="E819" s="1">
        <v>52</v>
      </c>
      <c r="F819" s="1" t="s">
        <v>4948</v>
      </c>
      <c r="G819" s="1" t="s">
        <v>4949</v>
      </c>
      <c r="H819" s="1" t="s">
        <v>4950</v>
      </c>
      <c r="I819" s="1" t="s">
        <v>7</v>
      </c>
      <c r="J819" s="1" t="s">
        <v>4951</v>
      </c>
      <c r="K819" s="1" t="s">
        <v>4952</v>
      </c>
      <c r="L819" s="1" t="s">
        <v>4951</v>
      </c>
      <c r="M819" s="1" t="s">
        <v>4953</v>
      </c>
      <c r="Q819" s="1">
        <v>2009</v>
      </c>
      <c r="R819" s="1" t="s">
        <v>4954</v>
      </c>
      <c r="S819" s="1" t="s">
        <v>23</v>
      </c>
      <c r="T819" s="38">
        <v>1</v>
      </c>
      <c r="AK819" s="1">
        <v>1.6379999999999999</v>
      </c>
      <c r="AL819" s="1">
        <v>0.72</v>
      </c>
      <c r="AM819" s="1">
        <v>1.01</v>
      </c>
    </row>
    <row r="820" spans="1:153" x14ac:dyDescent="0.2">
      <c r="A820" s="1" t="s">
        <v>4957</v>
      </c>
      <c r="B820" s="1" t="s">
        <v>57</v>
      </c>
      <c r="C820" s="1" t="s">
        <v>4947</v>
      </c>
      <c r="E820" s="1">
        <v>56</v>
      </c>
      <c r="F820" s="1" t="s">
        <v>4892</v>
      </c>
      <c r="G820" s="1" t="s">
        <v>4958</v>
      </c>
      <c r="H820" s="1" t="s">
        <v>4959</v>
      </c>
      <c r="I820" s="1" t="s">
        <v>7</v>
      </c>
      <c r="J820" s="1" t="s">
        <v>4896</v>
      </c>
      <c r="K820" s="1" t="s">
        <v>4895</v>
      </c>
      <c r="L820" s="1" t="s">
        <v>4896</v>
      </c>
      <c r="M820" s="1" t="s">
        <v>4960</v>
      </c>
      <c r="Q820" s="1">
        <v>2009</v>
      </c>
      <c r="R820" s="1" t="s">
        <v>4954</v>
      </c>
      <c r="S820" s="1" t="s">
        <v>23</v>
      </c>
      <c r="T820" s="38">
        <v>1</v>
      </c>
      <c r="AK820" s="1">
        <v>0.69799999999999995</v>
      </c>
      <c r="AL820" s="1">
        <v>0.35299999999999998</v>
      </c>
      <c r="AM820" s="1">
        <v>0.76400000000000001</v>
      </c>
    </row>
    <row r="821" spans="1:153" x14ac:dyDescent="0.2">
      <c r="A821" s="1" t="s">
        <v>4961</v>
      </c>
      <c r="B821" s="1" t="s">
        <v>57</v>
      </c>
      <c r="C821" s="1" t="s">
        <v>4956</v>
      </c>
      <c r="E821" s="1">
        <v>56</v>
      </c>
      <c r="F821" s="1" t="s">
        <v>4892</v>
      </c>
      <c r="G821" s="1" t="s">
        <v>4958</v>
      </c>
      <c r="H821" s="1" t="s">
        <v>4959</v>
      </c>
      <c r="I821" s="1" t="s">
        <v>7</v>
      </c>
      <c r="J821" s="1" t="s">
        <v>4896</v>
      </c>
      <c r="K821" s="1" t="s">
        <v>4895</v>
      </c>
      <c r="L821" s="1" t="s">
        <v>4896</v>
      </c>
      <c r="M821" s="1" t="s">
        <v>4960</v>
      </c>
      <c r="Q821" s="1">
        <v>2009</v>
      </c>
      <c r="R821" s="1" t="s">
        <v>4954</v>
      </c>
      <c r="S821" s="1" t="s">
        <v>23</v>
      </c>
      <c r="T821" s="38">
        <v>1</v>
      </c>
      <c r="AK821" s="1">
        <v>0.42199999999999999</v>
      </c>
      <c r="AL821" s="1">
        <v>0.21099999999999999</v>
      </c>
      <c r="AM821" s="1">
        <v>0.48299999999999998</v>
      </c>
    </row>
    <row r="822" spans="1:153" x14ac:dyDescent="0.2">
      <c r="A822" s="1" t="s">
        <v>4962</v>
      </c>
      <c r="B822" s="1" t="s">
        <v>57</v>
      </c>
      <c r="C822" s="1" t="s">
        <v>4963</v>
      </c>
      <c r="E822" s="1">
        <v>56</v>
      </c>
      <c r="F822" s="1" t="s">
        <v>4964</v>
      </c>
      <c r="G822" s="1" t="s">
        <v>4965</v>
      </c>
      <c r="H822" s="1" t="s">
        <v>4966</v>
      </c>
      <c r="I822" s="1" t="s">
        <v>7</v>
      </c>
      <c r="J822" s="1" t="s">
        <v>4967</v>
      </c>
      <c r="K822" s="1" t="s">
        <v>4968</v>
      </c>
      <c r="L822" s="1" t="s">
        <v>4967</v>
      </c>
      <c r="M822" s="1" t="s">
        <v>4960</v>
      </c>
      <c r="Q822" s="1">
        <v>2009</v>
      </c>
      <c r="R822" s="1" t="s">
        <v>4954</v>
      </c>
      <c r="S822" s="1" t="s">
        <v>23</v>
      </c>
      <c r="T822" s="38">
        <v>1</v>
      </c>
      <c r="AK822" s="1">
        <v>0.71599999999999997</v>
      </c>
      <c r="AL822" s="1">
        <v>0.497</v>
      </c>
      <c r="AM822" s="1">
        <v>0.70099999999999996</v>
      </c>
    </row>
    <row r="823" spans="1:153" x14ac:dyDescent="0.2">
      <c r="A823" s="1" t="s">
        <v>4969</v>
      </c>
      <c r="B823" s="1" t="s">
        <v>57</v>
      </c>
      <c r="C823" s="1" t="s">
        <v>4970</v>
      </c>
      <c r="E823" s="1">
        <v>56</v>
      </c>
      <c r="F823" s="1" t="s">
        <v>4964</v>
      </c>
      <c r="G823" s="1" t="s">
        <v>4965</v>
      </c>
      <c r="H823" s="1" t="s">
        <v>4966</v>
      </c>
      <c r="I823" s="1" t="s">
        <v>7</v>
      </c>
      <c r="J823" s="1" t="s">
        <v>4967</v>
      </c>
      <c r="K823" s="1" t="s">
        <v>4968</v>
      </c>
      <c r="L823" s="1" t="s">
        <v>4967</v>
      </c>
      <c r="M823" s="1" t="s">
        <v>4960</v>
      </c>
      <c r="Q823" s="1">
        <v>2009</v>
      </c>
      <c r="R823" s="1" t="s">
        <v>4954</v>
      </c>
      <c r="S823" s="1" t="s">
        <v>23</v>
      </c>
      <c r="T823" s="38">
        <v>1</v>
      </c>
      <c r="AK823" s="1">
        <v>0.90800000000000003</v>
      </c>
      <c r="AL823" s="1">
        <v>0.49399999999999999</v>
      </c>
      <c r="AM823" s="1">
        <v>0.73199999999999998</v>
      </c>
    </row>
    <row r="824" spans="1:153" x14ac:dyDescent="0.2">
      <c r="A824" s="1" t="s">
        <v>4971</v>
      </c>
      <c r="B824" s="1" t="s">
        <v>57</v>
      </c>
      <c r="C824" s="1" t="s">
        <v>4963</v>
      </c>
      <c r="E824" s="1">
        <v>56</v>
      </c>
      <c r="F824" s="1" t="s">
        <v>4918</v>
      </c>
      <c r="G824" s="1" t="s">
        <v>4972</v>
      </c>
      <c r="H824" s="1" t="s">
        <v>4973</v>
      </c>
      <c r="I824" s="1" t="s">
        <v>7</v>
      </c>
      <c r="J824" s="1" t="s">
        <v>4920</v>
      </c>
      <c r="K824" s="1" t="s">
        <v>4921</v>
      </c>
      <c r="L824" s="1" t="s">
        <v>4920</v>
      </c>
      <c r="M824" s="1" t="s">
        <v>4960</v>
      </c>
      <c r="Q824" s="1">
        <v>2009</v>
      </c>
      <c r="R824" s="1" t="s">
        <v>4954</v>
      </c>
      <c r="S824" s="1" t="s">
        <v>23</v>
      </c>
      <c r="T824" s="38">
        <v>1</v>
      </c>
      <c r="AK824" s="1">
        <v>0.47399999999999998</v>
      </c>
      <c r="AL824" s="1">
        <v>0.21299999999999999</v>
      </c>
      <c r="AM824" s="1">
        <v>0.4</v>
      </c>
    </row>
    <row r="825" spans="1:153" x14ac:dyDescent="0.2">
      <c r="A825" s="1" t="s">
        <v>4974</v>
      </c>
      <c r="B825" s="1" t="s">
        <v>57</v>
      </c>
      <c r="C825" s="1" t="s">
        <v>4970</v>
      </c>
      <c r="E825" s="1">
        <v>56</v>
      </c>
      <c r="F825" s="1" t="s">
        <v>4918</v>
      </c>
      <c r="G825" s="1" t="s">
        <v>4972</v>
      </c>
      <c r="H825" s="1" t="s">
        <v>4973</v>
      </c>
      <c r="I825" s="1" t="s">
        <v>7</v>
      </c>
      <c r="J825" s="1" t="s">
        <v>4920</v>
      </c>
      <c r="K825" s="1" t="s">
        <v>4921</v>
      </c>
      <c r="L825" s="1" t="s">
        <v>4920</v>
      </c>
      <c r="M825" s="1" t="s">
        <v>4960</v>
      </c>
      <c r="Q825" s="1">
        <v>2009</v>
      </c>
      <c r="R825" s="1" t="s">
        <v>4954</v>
      </c>
      <c r="S825" s="1" t="s">
        <v>23</v>
      </c>
      <c r="T825" s="38">
        <v>1</v>
      </c>
      <c r="AK825" s="1">
        <v>1.478</v>
      </c>
      <c r="AL825" s="1">
        <v>0.83799999999999997</v>
      </c>
      <c r="AM825" s="1">
        <v>1.0820000000000001</v>
      </c>
    </row>
    <row r="826" spans="1:153" x14ac:dyDescent="0.2">
      <c r="A826" s="1" t="s">
        <v>4975</v>
      </c>
      <c r="B826" s="1" t="s">
        <v>57</v>
      </c>
      <c r="C826" s="1" t="s">
        <v>4963</v>
      </c>
      <c r="E826" s="1">
        <v>56</v>
      </c>
      <c r="F826" s="1" t="s">
        <v>4906</v>
      </c>
      <c r="G826" s="1" t="s">
        <v>4976</v>
      </c>
      <c r="H826" s="1" t="s">
        <v>4909</v>
      </c>
      <c r="I826" s="1" t="s">
        <v>7</v>
      </c>
      <c r="J826" s="1" t="s">
        <v>4910</v>
      </c>
      <c r="K826" s="1" t="s">
        <v>4910</v>
      </c>
      <c r="L826" s="1" t="s">
        <v>4910</v>
      </c>
      <c r="M826" s="1" t="s">
        <v>4960</v>
      </c>
      <c r="Q826" s="1">
        <v>2009</v>
      </c>
      <c r="R826" s="1" t="s">
        <v>4954</v>
      </c>
      <c r="S826" s="1" t="s">
        <v>23</v>
      </c>
      <c r="T826" s="38">
        <v>1</v>
      </c>
      <c r="AK826" s="1">
        <v>1.1020000000000001</v>
      </c>
      <c r="AL826" s="1">
        <v>0.46800000000000003</v>
      </c>
      <c r="AM826" s="1">
        <v>0.74299999999999999</v>
      </c>
    </row>
    <row r="827" spans="1:153" x14ac:dyDescent="0.2">
      <c r="A827" s="1" t="s">
        <v>4977</v>
      </c>
      <c r="B827" s="1" t="s">
        <v>57</v>
      </c>
      <c r="C827" s="1" t="s">
        <v>4970</v>
      </c>
      <c r="E827" s="1">
        <v>56</v>
      </c>
      <c r="F827" s="1" t="s">
        <v>4906</v>
      </c>
      <c r="G827" s="1" t="s">
        <v>4976</v>
      </c>
      <c r="H827" s="1" t="s">
        <v>4909</v>
      </c>
      <c r="I827" s="1" t="s">
        <v>7</v>
      </c>
      <c r="J827" s="1" t="s">
        <v>4910</v>
      </c>
      <c r="L827" s="1" t="s">
        <v>4910</v>
      </c>
      <c r="M827" s="1" t="s">
        <v>4960</v>
      </c>
      <c r="Q827" s="1">
        <v>2009</v>
      </c>
      <c r="R827" s="1" t="s">
        <v>4954</v>
      </c>
      <c r="S827" s="1" t="s">
        <v>23</v>
      </c>
      <c r="T827" s="38">
        <v>1</v>
      </c>
      <c r="AK827" s="1">
        <v>0.504</v>
      </c>
      <c r="AL827" s="1">
        <v>0.219</v>
      </c>
      <c r="AM827" s="1">
        <v>0.34899999999999998</v>
      </c>
    </row>
    <row r="828" spans="1:153" x14ac:dyDescent="0.2">
      <c r="A828" s="1" t="s">
        <v>4978</v>
      </c>
      <c r="B828" s="1" t="s">
        <v>57</v>
      </c>
      <c r="C828" s="1" t="s">
        <v>4979</v>
      </c>
      <c r="E828" s="1">
        <v>52</v>
      </c>
      <c r="F828" s="1" t="s">
        <v>4980</v>
      </c>
      <c r="H828" s="1" t="s">
        <v>4981</v>
      </c>
      <c r="I828" s="1" t="s">
        <v>7</v>
      </c>
      <c r="J828" s="1" t="s">
        <v>4982</v>
      </c>
      <c r="K828" s="1" t="s">
        <v>4983</v>
      </c>
      <c r="L828" s="1" t="s">
        <v>4982</v>
      </c>
      <c r="N828" s="1" t="s">
        <v>4984</v>
      </c>
      <c r="P828" s="1" t="s">
        <v>4985</v>
      </c>
      <c r="Q828" s="1">
        <v>1992</v>
      </c>
      <c r="R828" s="1" t="s">
        <v>4986</v>
      </c>
      <c r="S828" s="1" t="s">
        <v>23</v>
      </c>
      <c r="T828" s="38">
        <v>1</v>
      </c>
      <c r="U828" s="1">
        <v>0.58799999999999997</v>
      </c>
      <c r="W828" s="1">
        <v>129</v>
      </c>
      <c r="Z828" s="1">
        <v>71.599999999999994</v>
      </c>
      <c r="AE828" s="1">
        <v>23.7</v>
      </c>
      <c r="AJ828" s="1">
        <v>0.3</v>
      </c>
      <c r="AR828" s="1">
        <v>1.3</v>
      </c>
      <c r="AU828" s="1">
        <v>0.2</v>
      </c>
      <c r="AV828" s="1">
        <v>2.9</v>
      </c>
      <c r="AY828" s="1">
        <v>315.7</v>
      </c>
      <c r="BD828" s="1">
        <v>0.2</v>
      </c>
      <c r="BF828" s="1">
        <v>5.3</v>
      </c>
      <c r="BH828" s="1">
        <v>315</v>
      </c>
      <c r="BJ828" s="1">
        <v>266.3</v>
      </c>
      <c r="BM828" s="1">
        <v>122.3</v>
      </c>
      <c r="BP828" s="1">
        <v>403</v>
      </c>
      <c r="BW828" s="1">
        <v>2</v>
      </c>
      <c r="CA828" s="1">
        <v>4.5999999999999996</v>
      </c>
      <c r="CC828" s="1">
        <v>19</v>
      </c>
    </row>
    <row r="829" spans="1:153" x14ac:dyDescent="0.2">
      <c r="A829" s="1" t="s">
        <v>4987</v>
      </c>
      <c r="B829" s="1" t="s">
        <v>57</v>
      </c>
      <c r="C829" s="1" t="s">
        <v>4988</v>
      </c>
      <c r="E829" s="1">
        <v>52</v>
      </c>
      <c r="F829" s="1" t="s">
        <v>4980</v>
      </c>
      <c r="H829" s="1" t="s">
        <v>4981</v>
      </c>
      <c r="I829" s="1" t="s">
        <v>7</v>
      </c>
      <c r="J829" s="1" t="s">
        <v>4982</v>
      </c>
      <c r="K829" s="1" t="s">
        <v>4983</v>
      </c>
      <c r="L829" s="1" t="s">
        <v>4982</v>
      </c>
      <c r="N829" s="1" t="s">
        <v>4989</v>
      </c>
      <c r="P829" s="1" t="s">
        <v>4985</v>
      </c>
      <c r="Q829" s="1">
        <v>1992</v>
      </c>
      <c r="R829" s="1" t="s">
        <v>4986</v>
      </c>
      <c r="S829" s="1" t="s">
        <v>23</v>
      </c>
      <c r="T829" s="38">
        <v>1</v>
      </c>
      <c r="U829" s="1">
        <v>0.41299999999999998</v>
      </c>
      <c r="W829" s="1">
        <v>126.5</v>
      </c>
      <c r="Z829" s="1">
        <v>71.7</v>
      </c>
      <c r="AE829" s="1">
        <v>23.8</v>
      </c>
      <c r="AJ829" s="1">
        <v>0.3</v>
      </c>
      <c r="AR829" s="1">
        <v>1.1000000000000001</v>
      </c>
      <c r="AU829" s="1">
        <v>0.5</v>
      </c>
      <c r="AV829" s="1">
        <v>2.6</v>
      </c>
      <c r="AY829" s="1">
        <v>233.5</v>
      </c>
      <c r="BD829" s="1">
        <v>0.4</v>
      </c>
      <c r="BF829" s="1">
        <v>1.5</v>
      </c>
      <c r="BH829" s="1">
        <v>302</v>
      </c>
      <c r="BJ829" s="1">
        <v>217.5</v>
      </c>
      <c r="BM829" s="1">
        <v>145.5</v>
      </c>
      <c r="BP829" s="1">
        <v>418.5</v>
      </c>
      <c r="BW829" s="1">
        <v>2.5</v>
      </c>
      <c r="CA829" s="1">
        <v>5.6</v>
      </c>
      <c r="CC829" s="1">
        <v>21</v>
      </c>
    </row>
    <row r="830" spans="1:153" x14ac:dyDescent="0.2">
      <c r="A830" s="1" t="s">
        <v>4990</v>
      </c>
      <c r="B830" s="1" t="s">
        <v>57</v>
      </c>
      <c r="C830" s="1" t="s">
        <v>4991</v>
      </c>
      <c r="E830" s="1">
        <v>52</v>
      </c>
      <c r="F830" s="1" t="s">
        <v>4980</v>
      </c>
      <c r="H830" s="1" t="s">
        <v>4981</v>
      </c>
      <c r="I830" s="1" t="s">
        <v>7</v>
      </c>
      <c r="J830" s="1" t="s">
        <v>4982</v>
      </c>
      <c r="K830" s="1" t="s">
        <v>4983</v>
      </c>
      <c r="L830" s="1" t="s">
        <v>4982</v>
      </c>
      <c r="N830" s="1" t="s">
        <v>4992</v>
      </c>
      <c r="P830" s="1" t="s">
        <v>4985</v>
      </c>
      <c r="Q830" s="1">
        <v>1992</v>
      </c>
      <c r="R830" s="1" t="s">
        <v>4986</v>
      </c>
      <c r="S830" s="1" t="s">
        <v>23</v>
      </c>
      <c r="T830" s="38">
        <v>1</v>
      </c>
      <c r="U830" s="1">
        <v>0.65600000000000003</v>
      </c>
      <c r="W830" s="1">
        <v>129</v>
      </c>
      <c r="Z830" s="1">
        <v>72.099999999999994</v>
      </c>
      <c r="AE830" s="1">
        <v>23.4</v>
      </c>
      <c r="AJ830" s="1">
        <v>0.2</v>
      </c>
      <c r="AR830" s="1">
        <v>1.5</v>
      </c>
      <c r="AU830" s="1">
        <v>0.2</v>
      </c>
      <c r="AV830" s="1">
        <v>2.6</v>
      </c>
      <c r="AY830" s="1">
        <v>264.3</v>
      </c>
      <c r="BD830" s="1">
        <v>0.5</v>
      </c>
      <c r="BF830" s="1">
        <v>2.2999999999999998</v>
      </c>
      <c r="BH830" s="1">
        <v>89.7</v>
      </c>
      <c r="BJ830" s="1">
        <v>249</v>
      </c>
      <c r="BM830" s="1">
        <v>125.7</v>
      </c>
      <c r="BP830" s="1">
        <v>465</v>
      </c>
      <c r="BW830" s="1">
        <v>8.6999999999999993</v>
      </c>
      <c r="CA830" s="1">
        <v>6.2</v>
      </c>
      <c r="CC830" s="1">
        <v>19</v>
      </c>
    </row>
    <row r="831" spans="1:153" x14ac:dyDescent="0.2">
      <c r="A831" s="1" t="s">
        <v>4993</v>
      </c>
      <c r="B831" s="1" t="s">
        <v>57</v>
      </c>
      <c r="C831" s="1" t="s">
        <v>4994</v>
      </c>
      <c r="E831" s="1">
        <v>56</v>
      </c>
      <c r="F831" s="1" t="s">
        <v>4906</v>
      </c>
      <c r="H831" s="1" t="s">
        <v>4995</v>
      </c>
      <c r="I831" s="1" t="s">
        <v>7</v>
      </c>
      <c r="J831" s="1" t="s">
        <v>4910</v>
      </c>
      <c r="K831" s="1" t="s">
        <v>4909</v>
      </c>
      <c r="L831" s="1" t="s">
        <v>4910</v>
      </c>
      <c r="N831" s="1" t="s">
        <v>4996</v>
      </c>
      <c r="Q831" s="1">
        <v>2006</v>
      </c>
      <c r="R831" s="1" t="s">
        <v>4997</v>
      </c>
      <c r="S831" s="1" t="s">
        <v>23</v>
      </c>
      <c r="T831" s="38">
        <v>1</v>
      </c>
      <c r="Z831" s="1">
        <v>83.98</v>
      </c>
      <c r="AC831" s="1">
        <v>9.56</v>
      </c>
      <c r="AH831" s="1">
        <v>0.98</v>
      </c>
      <c r="AR831" s="1">
        <v>1.1399999999999999</v>
      </c>
      <c r="AV831" s="1">
        <v>3.3</v>
      </c>
    </row>
    <row r="832" spans="1:153" x14ac:dyDescent="0.2">
      <c r="A832" s="1" t="s">
        <v>4998</v>
      </c>
      <c r="B832" s="1" t="s">
        <v>57</v>
      </c>
      <c r="C832" s="1" t="s">
        <v>4999</v>
      </c>
      <c r="D832" s="1" t="s">
        <v>2</v>
      </c>
      <c r="E832" s="1">
        <v>56</v>
      </c>
      <c r="F832" s="1" t="s">
        <v>4463</v>
      </c>
      <c r="H832" s="1" t="s">
        <v>5000</v>
      </c>
      <c r="I832" s="1" t="s">
        <v>7</v>
      </c>
      <c r="J832" s="1" t="s">
        <v>4465</v>
      </c>
      <c r="K832" s="1" t="s">
        <v>4466</v>
      </c>
      <c r="L832" s="1" t="s">
        <v>4465</v>
      </c>
      <c r="N832" s="1" t="s">
        <v>5001</v>
      </c>
      <c r="Q832" s="1">
        <v>2006</v>
      </c>
      <c r="R832" s="1" t="s">
        <v>4997</v>
      </c>
      <c r="S832" s="1" t="s">
        <v>23</v>
      </c>
      <c r="T832" s="38">
        <v>1</v>
      </c>
      <c r="Z832" s="1">
        <v>85.91</v>
      </c>
      <c r="AC832" s="1">
        <v>8.7100000000000009</v>
      </c>
      <c r="AH832" s="1">
        <v>0.78</v>
      </c>
      <c r="AR832" s="1">
        <v>1.1000000000000001</v>
      </c>
      <c r="AV832" s="1">
        <v>3.1</v>
      </c>
    </row>
    <row r="833" spans="1:83" x14ac:dyDescent="0.2">
      <c r="A833" s="1" t="s">
        <v>5002</v>
      </c>
      <c r="B833" s="1" t="s">
        <v>57</v>
      </c>
      <c r="C833" s="1" t="s">
        <v>5003</v>
      </c>
      <c r="E833" s="1">
        <v>57</v>
      </c>
      <c r="F833" s="1" t="s">
        <v>1922</v>
      </c>
      <c r="H833" s="1" t="s">
        <v>5004</v>
      </c>
      <c r="I833" s="1" t="s">
        <v>7</v>
      </c>
      <c r="J833" s="1" t="s">
        <v>1924</v>
      </c>
      <c r="K833" s="1" t="s">
        <v>1925</v>
      </c>
      <c r="L833" s="1" t="s">
        <v>1924</v>
      </c>
      <c r="M833" s="1" t="s">
        <v>5005</v>
      </c>
      <c r="Q833" s="1">
        <v>2009</v>
      </c>
      <c r="R833" s="1" t="s">
        <v>5006</v>
      </c>
      <c r="S833" s="1" t="s">
        <v>27</v>
      </c>
      <c r="T833" s="38">
        <v>1</v>
      </c>
      <c r="AX833" s="1">
        <v>3400</v>
      </c>
      <c r="AY833" s="1">
        <v>21.3</v>
      </c>
      <c r="AZ833" s="1">
        <v>629</v>
      </c>
      <c r="BD833" s="1">
        <v>0.38</v>
      </c>
      <c r="BF833" s="1">
        <v>0.42</v>
      </c>
      <c r="BH833" s="1">
        <v>223</v>
      </c>
      <c r="BJ833" s="1">
        <v>93.8</v>
      </c>
      <c r="BK833" s="1">
        <v>3.1E-2</v>
      </c>
      <c r="BM833" s="1">
        <v>572</v>
      </c>
      <c r="BO833" s="1">
        <v>2</v>
      </c>
      <c r="BP833" s="1">
        <v>147</v>
      </c>
      <c r="BQ833" s="1">
        <v>4.3999999999999997E-2</v>
      </c>
      <c r="BR833" s="1">
        <v>257</v>
      </c>
      <c r="BS833" s="1" t="s">
        <v>15</v>
      </c>
      <c r="BW833" s="1">
        <v>1.77</v>
      </c>
      <c r="CA833" s="1">
        <v>38</v>
      </c>
      <c r="CB833" s="1">
        <v>13</v>
      </c>
      <c r="CC833" s="1">
        <v>2</v>
      </c>
      <c r="CE833" s="1">
        <v>380</v>
      </c>
    </row>
    <row r="834" spans="1:83" x14ac:dyDescent="0.2">
      <c r="A834" s="1" t="s">
        <v>5007</v>
      </c>
      <c r="B834" s="1" t="s">
        <v>57</v>
      </c>
      <c r="C834" s="1" t="s">
        <v>5003</v>
      </c>
      <c r="E834" s="1">
        <v>57</v>
      </c>
      <c r="F834" s="1" t="s">
        <v>1939</v>
      </c>
      <c r="H834" s="1" t="s">
        <v>5008</v>
      </c>
      <c r="I834" s="1" t="s">
        <v>7</v>
      </c>
      <c r="J834" s="1" t="s">
        <v>1941</v>
      </c>
      <c r="K834" s="1" t="s">
        <v>1942</v>
      </c>
      <c r="L834" s="1" t="s">
        <v>1941</v>
      </c>
      <c r="M834" s="1" t="s">
        <v>5005</v>
      </c>
      <c r="Q834" s="1">
        <v>2009</v>
      </c>
      <c r="R834" s="1" t="s">
        <v>5006</v>
      </c>
      <c r="S834" s="1" t="s">
        <v>27</v>
      </c>
      <c r="T834" s="38">
        <v>1</v>
      </c>
      <c r="AX834" s="1">
        <v>1330</v>
      </c>
      <c r="AY834" s="1">
        <v>13.6</v>
      </c>
      <c r="AZ834" s="1">
        <v>267</v>
      </c>
      <c r="BD834" s="1">
        <v>0.15</v>
      </c>
      <c r="BF834" s="1">
        <v>0.17</v>
      </c>
      <c r="BH834" s="1">
        <v>261</v>
      </c>
      <c r="BJ834" s="1">
        <v>43.5</v>
      </c>
      <c r="BK834" s="1">
        <v>1.6E-2</v>
      </c>
      <c r="BM834" s="1">
        <v>157</v>
      </c>
      <c r="BO834" s="1">
        <v>2</v>
      </c>
      <c r="BP834" s="1">
        <v>260</v>
      </c>
      <c r="BQ834" s="1">
        <v>6.8000000000000005E-2</v>
      </c>
      <c r="BR834" s="1">
        <v>229</v>
      </c>
      <c r="BS834" s="1" t="s">
        <v>15</v>
      </c>
      <c r="BW834" s="1">
        <v>1.26</v>
      </c>
      <c r="CA834" s="1">
        <v>4</v>
      </c>
      <c r="CB834" s="1">
        <v>5</v>
      </c>
      <c r="CC834" s="1">
        <v>10</v>
      </c>
      <c r="CE834" s="1">
        <v>180</v>
      </c>
    </row>
    <row r="835" spans="1:83" x14ac:dyDescent="0.2">
      <c r="A835" s="1" t="s">
        <v>5009</v>
      </c>
      <c r="B835" s="1" t="s">
        <v>57</v>
      </c>
      <c r="C835" s="1" t="s">
        <v>5003</v>
      </c>
      <c r="E835" s="1">
        <v>57</v>
      </c>
      <c r="F835" s="1" t="s">
        <v>1901</v>
      </c>
      <c r="H835" s="1" t="s">
        <v>5010</v>
      </c>
      <c r="I835" s="1" t="s">
        <v>7</v>
      </c>
      <c r="J835" s="1" t="s">
        <v>1903</v>
      </c>
      <c r="K835" s="1" t="s">
        <v>1904</v>
      </c>
      <c r="L835" s="1" t="s">
        <v>1903</v>
      </c>
      <c r="M835" s="1" t="s">
        <v>5005</v>
      </c>
      <c r="Q835" s="1">
        <v>2009</v>
      </c>
      <c r="R835" s="1" t="s">
        <v>5006</v>
      </c>
      <c r="S835" s="1" t="s">
        <v>27</v>
      </c>
      <c r="T835" s="38">
        <v>1</v>
      </c>
      <c r="AX835" s="1">
        <v>2150</v>
      </c>
      <c r="AY835" s="1">
        <v>13.4</v>
      </c>
      <c r="AZ835" s="1">
        <v>439</v>
      </c>
      <c r="BD835" s="1">
        <v>0.45</v>
      </c>
      <c r="BF835" s="1">
        <v>0.14000000000000001</v>
      </c>
      <c r="BH835" s="1">
        <v>289</v>
      </c>
      <c r="BJ835" s="1">
        <v>56.7</v>
      </c>
      <c r="BK835" s="1">
        <v>1.0999999999999999E-2</v>
      </c>
      <c r="BM835" s="1">
        <v>266</v>
      </c>
      <c r="BO835" s="1">
        <v>5</v>
      </c>
      <c r="BP835" s="1">
        <v>249</v>
      </c>
      <c r="BQ835" s="1">
        <v>7.6999999999999999E-2</v>
      </c>
      <c r="BR835" s="1">
        <v>338</v>
      </c>
      <c r="BS835" s="1" t="s">
        <v>15</v>
      </c>
      <c r="BW835" s="1">
        <v>1.77</v>
      </c>
      <c r="CA835" s="1">
        <v>31</v>
      </c>
      <c r="CB835" s="1">
        <v>15</v>
      </c>
      <c r="CC835" s="1">
        <v>4</v>
      </c>
      <c r="CE835" s="1">
        <v>230</v>
      </c>
    </row>
    <row r="836" spans="1:83" x14ac:dyDescent="0.2">
      <c r="A836" s="1" t="s">
        <v>5011</v>
      </c>
      <c r="B836" s="1" t="s">
        <v>55</v>
      </c>
      <c r="C836" s="1" t="s">
        <v>237</v>
      </c>
      <c r="E836" s="1">
        <v>25</v>
      </c>
      <c r="F836" s="1" t="s">
        <v>5012</v>
      </c>
      <c r="H836" s="1" t="s">
        <v>5013</v>
      </c>
      <c r="I836" s="1" t="s">
        <v>7</v>
      </c>
      <c r="J836" s="1" t="s">
        <v>5014</v>
      </c>
      <c r="K836" s="1" t="s">
        <v>5015</v>
      </c>
      <c r="L836" s="1" t="s">
        <v>5014</v>
      </c>
      <c r="P836" s="1" t="s">
        <v>5016</v>
      </c>
      <c r="Q836" s="1">
        <v>2002</v>
      </c>
      <c r="R836" s="1" t="s">
        <v>5017</v>
      </c>
      <c r="S836" s="1" t="s">
        <v>27</v>
      </c>
      <c r="T836" s="38">
        <v>1</v>
      </c>
      <c r="V836" s="1">
        <v>422</v>
      </c>
      <c r="Z836" s="1">
        <v>78</v>
      </c>
      <c r="AA836" s="1">
        <v>6.25</v>
      </c>
      <c r="AC836" s="1">
        <v>18</v>
      </c>
      <c r="AI836" s="1">
        <v>2</v>
      </c>
      <c r="AV836" s="1">
        <v>1.2</v>
      </c>
      <c r="AY836" s="1">
        <v>11</v>
      </c>
      <c r="BD836" s="1">
        <v>7.0000000000000007E-2</v>
      </c>
      <c r="BF836" s="1">
        <v>0.3</v>
      </c>
      <c r="BH836" s="1">
        <v>309</v>
      </c>
      <c r="BJ836" s="1">
        <v>30</v>
      </c>
      <c r="BK836" s="1">
        <v>0.01</v>
      </c>
      <c r="BM836" s="1">
        <v>56</v>
      </c>
      <c r="BP836" s="1">
        <v>220</v>
      </c>
      <c r="BS836" s="1">
        <v>10</v>
      </c>
      <c r="BW836" s="1">
        <v>0.4</v>
      </c>
    </row>
    <row r="837" spans="1:83" x14ac:dyDescent="0.2">
      <c r="A837" s="1" t="s">
        <v>5018</v>
      </c>
      <c r="B837" s="1" t="s">
        <v>55</v>
      </c>
      <c r="C837" s="1" t="s">
        <v>237</v>
      </c>
      <c r="E837" s="1">
        <v>25</v>
      </c>
      <c r="F837" s="1" t="s">
        <v>5012</v>
      </c>
      <c r="H837" s="1" t="s">
        <v>5013</v>
      </c>
      <c r="I837" s="1" t="s">
        <v>7</v>
      </c>
      <c r="J837" s="1" t="s">
        <v>5014</v>
      </c>
      <c r="K837" s="1" t="s">
        <v>5015</v>
      </c>
      <c r="L837" s="1" t="s">
        <v>5014</v>
      </c>
      <c r="P837" s="1" t="s">
        <v>5016</v>
      </c>
      <c r="Q837" s="1">
        <v>2002</v>
      </c>
      <c r="R837" s="1" t="s">
        <v>5017</v>
      </c>
      <c r="S837" s="1" t="s">
        <v>27</v>
      </c>
      <c r="T837" s="38">
        <v>1</v>
      </c>
      <c r="V837" s="1">
        <v>494</v>
      </c>
      <c r="Z837" s="1">
        <v>76</v>
      </c>
      <c r="AA837" s="1">
        <v>6.25</v>
      </c>
      <c r="AC837" s="1">
        <v>21</v>
      </c>
      <c r="AI837" s="1">
        <v>3.3</v>
      </c>
      <c r="AV837" s="1">
        <v>1.17</v>
      </c>
      <c r="AY837" s="1">
        <v>7</v>
      </c>
      <c r="BD837" s="1">
        <v>0.1</v>
      </c>
      <c r="BF837" s="1">
        <v>0.7</v>
      </c>
      <c r="BJ837" s="1">
        <v>29</v>
      </c>
      <c r="BK837" s="1">
        <v>0.01</v>
      </c>
      <c r="BM837" s="1">
        <v>66</v>
      </c>
      <c r="BP837" s="1">
        <v>313</v>
      </c>
      <c r="BW837" s="1">
        <v>0.6</v>
      </c>
    </row>
    <row r="838" spans="1:83" x14ac:dyDescent="0.2">
      <c r="A838" s="1" t="s">
        <v>5019</v>
      </c>
      <c r="B838" s="1" t="s">
        <v>55</v>
      </c>
      <c r="C838" s="1" t="s">
        <v>237</v>
      </c>
      <c r="E838" s="1">
        <v>32</v>
      </c>
      <c r="F838" s="1" t="s">
        <v>1869</v>
      </c>
      <c r="H838" s="1" t="s">
        <v>5020</v>
      </c>
      <c r="I838" s="1" t="s">
        <v>7</v>
      </c>
      <c r="J838" s="1" t="s">
        <v>5021</v>
      </c>
      <c r="K838" s="1" t="s">
        <v>5022</v>
      </c>
      <c r="L838" s="1" t="s">
        <v>5023</v>
      </c>
      <c r="P838" s="1" t="s">
        <v>5016</v>
      </c>
      <c r="Q838" s="1">
        <v>2002</v>
      </c>
      <c r="R838" s="1" t="s">
        <v>5017</v>
      </c>
      <c r="S838" s="1" t="s">
        <v>27</v>
      </c>
      <c r="T838" s="38">
        <v>1</v>
      </c>
      <c r="Z838" s="1">
        <v>77</v>
      </c>
      <c r="AA838" s="1">
        <v>6.25</v>
      </c>
      <c r="AY838" s="1">
        <v>43</v>
      </c>
      <c r="BD838" s="1">
        <v>0.05</v>
      </c>
      <c r="BF838" s="1">
        <v>0.25</v>
      </c>
      <c r="BH838" s="1">
        <v>404</v>
      </c>
      <c r="BJ838" s="1">
        <v>26</v>
      </c>
      <c r="BK838" s="1">
        <v>0.01</v>
      </c>
      <c r="BM838" s="1">
        <v>89</v>
      </c>
      <c r="BP838" s="1">
        <v>166</v>
      </c>
      <c r="BS838" s="1" t="s">
        <v>15</v>
      </c>
      <c r="BW838" s="1">
        <v>0.37</v>
      </c>
    </row>
    <row r="839" spans="1:83" x14ac:dyDescent="0.2">
      <c r="A839" s="1" t="s">
        <v>5024</v>
      </c>
      <c r="B839" s="1" t="s">
        <v>55</v>
      </c>
      <c r="C839" s="1" t="s">
        <v>237</v>
      </c>
      <c r="E839" s="1">
        <v>32</v>
      </c>
      <c r="F839" s="1" t="s">
        <v>1869</v>
      </c>
      <c r="H839" s="1" t="s">
        <v>5025</v>
      </c>
      <c r="I839" s="1" t="s">
        <v>11</v>
      </c>
      <c r="J839" s="1" t="s">
        <v>5021</v>
      </c>
      <c r="K839" s="1" t="s">
        <v>5022</v>
      </c>
      <c r="L839" s="1" t="s">
        <v>5023</v>
      </c>
      <c r="P839" s="1" t="s">
        <v>5016</v>
      </c>
      <c r="Q839" s="1">
        <v>2002</v>
      </c>
      <c r="R839" s="1" t="s">
        <v>5017</v>
      </c>
      <c r="S839" s="1" t="s">
        <v>27</v>
      </c>
      <c r="T839" s="38">
        <v>1</v>
      </c>
      <c r="Z839" s="1">
        <v>60</v>
      </c>
      <c r="AA839" s="1">
        <v>6.25</v>
      </c>
      <c r="AY839" s="1">
        <v>128</v>
      </c>
      <c r="BD839" s="1">
        <v>0.12</v>
      </c>
      <c r="BF839" s="1">
        <v>0.25</v>
      </c>
      <c r="BH839" s="1">
        <v>373</v>
      </c>
      <c r="BJ839" s="1">
        <v>46</v>
      </c>
      <c r="BK839" s="1">
        <v>0.03</v>
      </c>
      <c r="BM839" s="1">
        <v>3521</v>
      </c>
      <c r="BP839" s="1">
        <v>172</v>
      </c>
      <c r="BS839" s="1">
        <v>30</v>
      </c>
      <c r="BW839" s="1">
        <v>0.76</v>
      </c>
    </row>
    <row r="840" spans="1:83" x14ac:dyDescent="0.2">
      <c r="A840" s="1" t="s">
        <v>5026</v>
      </c>
      <c r="B840" s="1" t="s">
        <v>55</v>
      </c>
      <c r="C840" s="1" t="s">
        <v>237</v>
      </c>
      <c r="E840" s="1">
        <v>23</v>
      </c>
      <c r="F840" s="1" t="s">
        <v>5027</v>
      </c>
      <c r="H840" s="1" t="s">
        <v>5028</v>
      </c>
      <c r="I840" s="1" t="s">
        <v>11</v>
      </c>
      <c r="J840" s="1" t="s">
        <v>5029</v>
      </c>
      <c r="K840" s="1" t="s">
        <v>5030</v>
      </c>
      <c r="L840" s="1" t="s">
        <v>5029</v>
      </c>
      <c r="P840" s="1" t="s">
        <v>5016</v>
      </c>
      <c r="Q840" s="1">
        <v>2002</v>
      </c>
      <c r="R840" s="1" t="s">
        <v>5017</v>
      </c>
      <c r="S840" s="1" t="s">
        <v>27</v>
      </c>
      <c r="T840" s="38">
        <v>1</v>
      </c>
      <c r="W840" s="1">
        <v>445</v>
      </c>
      <c r="Z840" s="1">
        <v>74</v>
      </c>
      <c r="AA840" s="1">
        <v>6.25</v>
      </c>
      <c r="AC840" s="1">
        <v>22</v>
      </c>
      <c r="AI840" s="1">
        <v>1.7</v>
      </c>
      <c r="AV840" s="1">
        <v>1.2</v>
      </c>
      <c r="AY840" s="1">
        <v>39</v>
      </c>
      <c r="BD840" s="1">
        <v>0.08</v>
      </c>
      <c r="BF840" s="1">
        <v>0.6</v>
      </c>
      <c r="BJ840" s="1">
        <v>73</v>
      </c>
      <c r="BK840" s="1">
        <v>0.02</v>
      </c>
      <c r="BS840" s="1">
        <v>60</v>
      </c>
      <c r="BW840" s="1">
        <v>1.3</v>
      </c>
    </row>
    <row r="841" spans="1:83" x14ac:dyDescent="0.2">
      <c r="A841" s="1" t="s">
        <v>5031</v>
      </c>
      <c r="B841" s="1" t="s">
        <v>55</v>
      </c>
      <c r="C841" s="1" t="s">
        <v>237</v>
      </c>
      <c r="E841" s="1">
        <v>23</v>
      </c>
      <c r="F841" s="1" t="s">
        <v>5027</v>
      </c>
      <c r="H841" s="1" t="s">
        <v>5032</v>
      </c>
      <c r="I841" s="1" t="s">
        <v>7</v>
      </c>
      <c r="J841" s="1" t="s">
        <v>5029</v>
      </c>
      <c r="K841" s="1" t="s">
        <v>5030</v>
      </c>
      <c r="L841" s="1" t="s">
        <v>5029</v>
      </c>
      <c r="P841" s="1" t="s">
        <v>5016</v>
      </c>
      <c r="Q841" s="1">
        <v>2002</v>
      </c>
      <c r="R841" s="1" t="s">
        <v>5017</v>
      </c>
      <c r="S841" s="1" t="s">
        <v>27</v>
      </c>
      <c r="T841" s="38">
        <v>1</v>
      </c>
      <c r="V841" s="1">
        <v>406</v>
      </c>
      <c r="Z841" s="1">
        <v>77</v>
      </c>
      <c r="AA841" s="1">
        <v>6.25</v>
      </c>
      <c r="AC841" s="1">
        <v>20</v>
      </c>
      <c r="AI841" s="1">
        <v>1.9</v>
      </c>
      <c r="AV841" s="1">
        <v>1.4</v>
      </c>
      <c r="AY841" s="1">
        <v>31</v>
      </c>
      <c r="BD841" s="1">
        <v>0.1</v>
      </c>
      <c r="BF841" s="1">
        <v>1</v>
      </c>
      <c r="BJ841" s="1">
        <v>63</v>
      </c>
      <c r="BK841" s="1">
        <v>0.04</v>
      </c>
      <c r="BS841" s="1">
        <v>100</v>
      </c>
      <c r="BW841" s="1">
        <v>0.7</v>
      </c>
    </row>
    <row r="842" spans="1:83" x14ac:dyDescent="0.2">
      <c r="A842" s="1" t="s">
        <v>5033</v>
      </c>
      <c r="B842" s="1" t="s">
        <v>55</v>
      </c>
      <c r="C842" s="1" t="s">
        <v>237</v>
      </c>
      <c r="E842" s="1">
        <v>23</v>
      </c>
      <c r="F842" s="1" t="s">
        <v>5034</v>
      </c>
      <c r="H842" s="1" t="s">
        <v>5035</v>
      </c>
      <c r="I842" s="1" t="s">
        <v>7</v>
      </c>
      <c r="J842" s="1" t="s">
        <v>5036</v>
      </c>
      <c r="K842" s="1" t="s">
        <v>5037</v>
      </c>
      <c r="L842" s="1" t="s">
        <v>5038</v>
      </c>
      <c r="P842" s="1" t="s">
        <v>5016</v>
      </c>
      <c r="Q842" s="1">
        <v>2002</v>
      </c>
      <c r="R842" s="1" t="s">
        <v>5017</v>
      </c>
      <c r="S842" s="1" t="s">
        <v>27</v>
      </c>
      <c r="T842" s="38">
        <v>1</v>
      </c>
      <c r="V842" s="1" t="s">
        <v>5039</v>
      </c>
      <c r="Z842" s="1" t="s">
        <v>5040</v>
      </c>
      <c r="AA842" s="1">
        <v>6.25</v>
      </c>
      <c r="AC842" s="1" t="s">
        <v>5041</v>
      </c>
      <c r="AI842" s="1" t="s">
        <v>4164</v>
      </c>
      <c r="AV842" s="1" t="s">
        <v>1569</v>
      </c>
      <c r="AY842" s="1">
        <v>40</v>
      </c>
      <c r="BD842" s="1">
        <v>0.5</v>
      </c>
      <c r="BF842" s="1">
        <v>1.6</v>
      </c>
      <c r="BJ842" s="1">
        <v>53</v>
      </c>
      <c r="BK842" s="1">
        <v>0.03</v>
      </c>
      <c r="BS842" s="1">
        <v>80</v>
      </c>
      <c r="BW842" s="1">
        <v>2</v>
      </c>
    </row>
    <row r="843" spans="1:83" x14ac:dyDescent="0.2">
      <c r="A843" s="1" t="s">
        <v>5042</v>
      </c>
      <c r="B843" s="1" t="s">
        <v>55</v>
      </c>
      <c r="C843" s="1" t="s">
        <v>237</v>
      </c>
      <c r="E843" s="1">
        <v>23</v>
      </c>
      <c r="F843" s="1" t="s">
        <v>5034</v>
      </c>
      <c r="H843" s="1" t="s">
        <v>5043</v>
      </c>
      <c r="I843" s="1" t="s">
        <v>11</v>
      </c>
      <c r="J843" s="1" t="s">
        <v>5036</v>
      </c>
      <c r="K843" s="1" t="s">
        <v>5037</v>
      </c>
      <c r="L843" s="1" t="s">
        <v>5038</v>
      </c>
      <c r="P843" s="1" t="s">
        <v>5016</v>
      </c>
      <c r="Q843" s="1">
        <v>2002</v>
      </c>
      <c r="R843" s="1" t="s">
        <v>5017</v>
      </c>
      <c r="S843" s="1" t="s">
        <v>27</v>
      </c>
      <c r="T843" s="38">
        <v>1</v>
      </c>
      <c r="W843" s="1">
        <v>613</v>
      </c>
      <c r="Z843" s="1">
        <v>70</v>
      </c>
      <c r="AA843" s="1">
        <v>6.25</v>
      </c>
      <c r="AC843" s="1">
        <v>22</v>
      </c>
      <c r="AI843" s="1">
        <v>6</v>
      </c>
      <c r="AV843" s="1">
        <v>0.9</v>
      </c>
      <c r="AY843" s="1">
        <v>32</v>
      </c>
      <c r="BD843" s="1">
        <v>7.0000000000000007E-2</v>
      </c>
      <c r="BF843" s="1">
        <v>0.7</v>
      </c>
      <c r="BJ843" s="1">
        <v>23</v>
      </c>
      <c r="BK843" s="1">
        <v>0.05</v>
      </c>
      <c r="BS843" s="1">
        <v>30</v>
      </c>
      <c r="BW843" s="1">
        <v>0.6</v>
      </c>
    </row>
    <row r="844" spans="1:83" x14ac:dyDescent="0.2">
      <c r="A844" s="1" t="s">
        <v>5044</v>
      </c>
      <c r="B844" s="1" t="s">
        <v>55</v>
      </c>
      <c r="C844" s="1" t="s">
        <v>237</v>
      </c>
      <c r="E844" s="1">
        <v>23</v>
      </c>
      <c r="F844" s="1" t="s">
        <v>5034</v>
      </c>
      <c r="H844" s="1" t="s">
        <v>5045</v>
      </c>
      <c r="I844" s="1" t="s">
        <v>7</v>
      </c>
      <c r="J844" s="1" t="s">
        <v>5036</v>
      </c>
      <c r="K844" s="1" t="s">
        <v>5037</v>
      </c>
      <c r="L844" s="1" t="s">
        <v>5038</v>
      </c>
      <c r="P844" s="1" t="s">
        <v>5016</v>
      </c>
      <c r="Q844" s="1">
        <v>2002</v>
      </c>
      <c r="R844" s="1" t="s">
        <v>5017</v>
      </c>
      <c r="S844" s="1" t="s">
        <v>27</v>
      </c>
      <c r="T844" s="38">
        <v>1</v>
      </c>
      <c r="V844" s="1">
        <v>523</v>
      </c>
      <c r="Z844" s="1">
        <v>75</v>
      </c>
      <c r="AA844" s="1">
        <v>6.25</v>
      </c>
      <c r="AC844" s="1">
        <v>19</v>
      </c>
      <c r="AI844" s="1">
        <v>5</v>
      </c>
      <c r="AV844" s="1">
        <v>0.9</v>
      </c>
      <c r="AY844" s="1">
        <v>6</v>
      </c>
      <c r="BD844" s="1">
        <v>0.1</v>
      </c>
      <c r="BF844" s="1">
        <v>0.9</v>
      </c>
      <c r="BJ844" s="1">
        <v>74</v>
      </c>
      <c r="BK844" s="1">
        <v>0.02</v>
      </c>
      <c r="BS844" s="1">
        <v>30</v>
      </c>
      <c r="BW844" s="1">
        <v>0.5</v>
      </c>
    </row>
    <row r="845" spans="1:83" x14ac:dyDescent="0.2">
      <c r="A845" s="1" t="s">
        <v>5046</v>
      </c>
      <c r="B845" s="1" t="s">
        <v>55</v>
      </c>
      <c r="C845" s="1" t="s">
        <v>237</v>
      </c>
      <c r="E845" s="1">
        <v>23</v>
      </c>
      <c r="F845" s="1" t="s">
        <v>5034</v>
      </c>
      <c r="H845" s="1" t="s">
        <v>5047</v>
      </c>
      <c r="I845" s="1" t="s">
        <v>11</v>
      </c>
      <c r="J845" s="1" t="s">
        <v>5036</v>
      </c>
      <c r="K845" s="1" t="s">
        <v>5037</v>
      </c>
      <c r="L845" s="1" t="s">
        <v>5038</v>
      </c>
      <c r="P845" s="1" t="s">
        <v>5016</v>
      </c>
      <c r="Q845" s="1">
        <v>2002</v>
      </c>
      <c r="R845" s="1" t="s">
        <v>5017</v>
      </c>
      <c r="S845" s="1" t="s">
        <v>27</v>
      </c>
      <c r="T845" s="38">
        <v>1</v>
      </c>
      <c r="W845" s="1">
        <v>1018</v>
      </c>
      <c r="Z845" s="1">
        <v>46</v>
      </c>
      <c r="AA845" s="1">
        <v>6.25</v>
      </c>
      <c r="AC845" s="1">
        <v>42</v>
      </c>
      <c r="AI845" s="1">
        <v>8</v>
      </c>
      <c r="AV845" s="1">
        <v>3</v>
      </c>
      <c r="AY845" s="1">
        <v>25</v>
      </c>
      <c r="BD845" s="1">
        <v>0.2</v>
      </c>
      <c r="BF845" s="1">
        <v>2</v>
      </c>
      <c r="BJ845" s="1">
        <v>143</v>
      </c>
      <c r="BK845" s="1">
        <v>7.0000000000000007E-2</v>
      </c>
      <c r="BS845" s="1">
        <v>50</v>
      </c>
      <c r="BW845" s="1">
        <v>1</v>
      </c>
    </row>
    <row r="846" spans="1:83" x14ac:dyDescent="0.2">
      <c r="A846" s="1" t="s">
        <v>5048</v>
      </c>
      <c r="B846" s="1" t="s">
        <v>55</v>
      </c>
      <c r="C846" s="1" t="s">
        <v>237</v>
      </c>
      <c r="E846" s="1">
        <v>23</v>
      </c>
      <c r="F846" s="1" t="s">
        <v>5034</v>
      </c>
      <c r="H846" s="1" t="s">
        <v>5049</v>
      </c>
      <c r="I846" s="1" t="s">
        <v>11</v>
      </c>
      <c r="J846" s="1" t="s">
        <v>5050</v>
      </c>
      <c r="K846" s="1" t="s">
        <v>5037</v>
      </c>
      <c r="L846" s="1" t="s">
        <v>5038</v>
      </c>
      <c r="P846" s="1" t="s">
        <v>5016</v>
      </c>
      <c r="Q846" s="1">
        <v>2002</v>
      </c>
      <c r="R846" s="1" t="s">
        <v>5017</v>
      </c>
      <c r="S846" s="1" t="s">
        <v>27</v>
      </c>
      <c r="T846" s="38">
        <v>1</v>
      </c>
      <c r="W846" s="1">
        <v>655</v>
      </c>
      <c r="Z846" s="1">
        <v>69</v>
      </c>
      <c r="AA846" s="1">
        <v>6.25</v>
      </c>
      <c r="AC846" s="1">
        <v>23</v>
      </c>
      <c r="AI846" s="1">
        <v>7</v>
      </c>
      <c r="AV846" s="1">
        <v>0.7</v>
      </c>
      <c r="AY846" s="1">
        <v>29</v>
      </c>
      <c r="BD846" s="1">
        <v>0.04</v>
      </c>
      <c r="BF846" s="1">
        <v>0.6</v>
      </c>
      <c r="BJ846" s="1">
        <v>21</v>
      </c>
      <c r="BK846" s="1">
        <v>0.06</v>
      </c>
      <c r="BS846" s="1">
        <v>60</v>
      </c>
      <c r="BW846" s="1">
        <v>0.6</v>
      </c>
    </row>
    <row r="847" spans="1:83" x14ac:dyDescent="0.2">
      <c r="A847" s="1" t="s">
        <v>5051</v>
      </c>
      <c r="B847" s="1" t="s">
        <v>55</v>
      </c>
      <c r="C847" s="1" t="s">
        <v>237</v>
      </c>
      <c r="E847" s="1">
        <v>23</v>
      </c>
      <c r="F847" s="1" t="s">
        <v>5034</v>
      </c>
      <c r="H847" s="1" t="s">
        <v>5049</v>
      </c>
      <c r="I847" s="1" t="s">
        <v>11</v>
      </c>
      <c r="J847" s="1" t="s">
        <v>5050</v>
      </c>
      <c r="K847" s="1" t="s">
        <v>5037</v>
      </c>
      <c r="L847" s="1" t="s">
        <v>5038</v>
      </c>
      <c r="P847" s="1" t="s">
        <v>5016</v>
      </c>
      <c r="Q847" s="1">
        <v>2002</v>
      </c>
      <c r="R847" s="1" t="s">
        <v>5017</v>
      </c>
      <c r="S847" s="1" t="s">
        <v>27</v>
      </c>
      <c r="T847" s="38">
        <v>1</v>
      </c>
      <c r="W847" s="1">
        <v>540</v>
      </c>
      <c r="Z847" s="1">
        <v>72</v>
      </c>
      <c r="AA847" s="1">
        <v>6.25</v>
      </c>
      <c r="AC847" s="1">
        <v>21</v>
      </c>
      <c r="AI847" s="1">
        <v>4.2</v>
      </c>
      <c r="AV847" s="1">
        <v>1.2</v>
      </c>
      <c r="AY847" s="1">
        <v>12</v>
      </c>
      <c r="BD847" s="1">
        <v>0.05</v>
      </c>
      <c r="BF847" s="1">
        <v>0.7</v>
      </c>
      <c r="BH847" s="1">
        <v>410</v>
      </c>
      <c r="BJ847" s="1">
        <v>26</v>
      </c>
      <c r="BK847" s="1">
        <v>0.01</v>
      </c>
      <c r="BM847" s="1">
        <v>50</v>
      </c>
      <c r="BP847" s="1">
        <v>220</v>
      </c>
      <c r="BW847" s="1">
        <v>0.6</v>
      </c>
    </row>
    <row r="848" spans="1:83" x14ac:dyDescent="0.2">
      <c r="A848" s="1" t="s">
        <v>5052</v>
      </c>
      <c r="B848" s="1" t="s">
        <v>55</v>
      </c>
      <c r="C848" s="1" t="s">
        <v>237</v>
      </c>
      <c r="E848" s="1">
        <v>23</v>
      </c>
      <c r="F848" s="1" t="s">
        <v>5034</v>
      </c>
      <c r="H848" s="1" t="s">
        <v>5053</v>
      </c>
      <c r="I848" s="1" t="s">
        <v>7</v>
      </c>
      <c r="J848" s="1" t="s">
        <v>5050</v>
      </c>
      <c r="K848" s="1" t="s">
        <v>5037</v>
      </c>
      <c r="L848" s="1" t="s">
        <v>5038</v>
      </c>
      <c r="P848" s="1" t="s">
        <v>5016</v>
      </c>
      <c r="Q848" s="1">
        <v>2002</v>
      </c>
      <c r="R848" s="1" t="s">
        <v>5017</v>
      </c>
      <c r="S848" s="1" t="s">
        <v>27</v>
      </c>
      <c r="T848" s="38">
        <v>1</v>
      </c>
      <c r="V848" s="1">
        <v>474</v>
      </c>
      <c r="Z848" s="1">
        <v>75</v>
      </c>
      <c r="AA848" s="1">
        <v>6.25</v>
      </c>
      <c r="AC848" s="1">
        <v>19</v>
      </c>
      <c r="AI848" s="1">
        <v>3</v>
      </c>
      <c r="AV848" s="1">
        <v>0.9</v>
      </c>
      <c r="AY848" s="1">
        <v>38</v>
      </c>
      <c r="BD848" s="1">
        <v>0.03</v>
      </c>
      <c r="BF848" s="1">
        <v>0.4</v>
      </c>
      <c r="BH848" s="1">
        <v>273</v>
      </c>
      <c r="BJ848" s="1">
        <v>26</v>
      </c>
      <c r="BK848" s="1">
        <v>0.01</v>
      </c>
      <c r="BM848" s="1">
        <v>50</v>
      </c>
      <c r="BP848" s="1">
        <v>240</v>
      </c>
      <c r="BS848" s="1">
        <v>30</v>
      </c>
      <c r="BW848" s="1">
        <v>0.4</v>
      </c>
    </row>
    <row r="849" spans="1:148" x14ac:dyDescent="0.2">
      <c r="A849" s="1" t="s">
        <v>5054</v>
      </c>
      <c r="B849" s="1" t="s">
        <v>55</v>
      </c>
      <c r="C849" s="1" t="s">
        <v>237</v>
      </c>
      <c r="E849" s="1">
        <v>23</v>
      </c>
      <c r="F849" s="1" t="s">
        <v>5034</v>
      </c>
      <c r="H849" s="1" t="s">
        <v>5053</v>
      </c>
      <c r="I849" s="1" t="s">
        <v>7</v>
      </c>
      <c r="J849" s="1" t="s">
        <v>5050</v>
      </c>
      <c r="K849" s="1" t="s">
        <v>5037</v>
      </c>
      <c r="L849" s="1" t="s">
        <v>5038</v>
      </c>
      <c r="P849" s="1" t="s">
        <v>5016</v>
      </c>
      <c r="Q849" s="1">
        <v>2002</v>
      </c>
      <c r="R849" s="1" t="s">
        <v>5017</v>
      </c>
      <c r="S849" s="1" t="s">
        <v>27</v>
      </c>
      <c r="T849" s="38">
        <v>1</v>
      </c>
      <c r="V849" s="1">
        <v>528</v>
      </c>
      <c r="Z849" s="1">
        <v>75</v>
      </c>
      <c r="AA849" s="1">
        <v>6.25</v>
      </c>
      <c r="AC849" s="1">
        <v>21</v>
      </c>
      <c r="AI849" s="1">
        <v>3.9</v>
      </c>
      <c r="AV849" s="1">
        <v>1.2</v>
      </c>
      <c r="AY849" s="1">
        <v>7</v>
      </c>
      <c r="BD849" s="1">
        <v>0.05</v>
      </c>
      <c r="BF849" s="1">
        <v>0.5</v>
      </c>
      <c r="BH849" s="1">
        <v>440</v>
      </c>
      <c r="BJ849" s="1">
        <v>27</v>
      </c>
      <c r="BK849" s="1">
        <v>0.01</v>
      </c>
      <c r="BM849" s="1">
        <v>45</v>
      </c>
      <c r="BP849" s="1">
        <v>231</v>
      </c>
      <c r="BW849" s="1">
        <v>0.4</v>
      </c>
    </row>
    <row r="850" spans="1:148" x14ac:dyDescent="0.2">
      <c r="A850" s="1" t="s">
        <v>5055</v>
      </c>
      <c r="B850" s="1" t="s">
        <v>55</v>
      </c>
      <c r="C850" s="1" t="s">
        <v>237</v>
      </c>
      <c r="E850" s="1">
        <v>23</v>
      </c>
      <c r="F850" s="1" t="s">
        <v>5034</v>
      </c>
      <c r="H850" s="1" t="s">
        <v>5056</v>
      </c>
      <c r="I850" s="1" t="s">
        <v>11</v>
      </c>
      <c r="J850" s="1" t="s">
        <v>5050</v>
      </c>
      <c r="K850" s="1" t="s">
        <v>5037</v>
      </c>
      <c r="L850" s="1" t="s">
        <v>5038</v>
      </c>
      <c r="P850" s="1" t="s">
        <v>5016</v>
      </c>
      <c r="Q850" s="1">
        <v>2002</v>
      </c>
      <c r="R850" s="1" t="s">
        <v>5017</v>
      </c>
      <c r="S850" s="1" t="s">
        <v>27</v>
      </c>
      <c r="T850" s="38">
        <v>1</v>
      </c>
      <c r="W850" s="1">
        <v>393</v>
      </c>
      <c r="Z850" s="1">
        <v>77</v>
      </c>
      <c r="AA850" s="1">
        <v>6.25</v>
      </c>
      <c r="AC850" s="1">
        <v>19</v>
      </c>
      <c r="AI850" s="1">
        <v>1.7</v>
      </c>
      <c r="AV850" s="1">
        <v>1.36</v>
      </c>
      <c r="AY850" s="1">
        <v>15</v>
      </c>
      <c r="BD850" s="1">
        <v>0.04</v>
      </c>
      <c r="BF850" s="1">
        <v>0.47</v>
      </c>
      <c r="BK850" s="1">
        <v>0.02</v>
      </c>
      <c r="BS850" s="1">
        <v>60</v>
      </c>
      <c r="BW850" s="1">
        <v>0.51</v>
      </c>
    </row>
    <row r="851" spans="1:148" x14ac:dyDescent="0.2">
      <c r="A851" s="1" t="s">
        <v>5057</v>
      </c>
      <c r="B851" s="1" t="s">
        <v>55</v>
      </c>
      <c r="C851" s="1" t="s">
        <v>237</v>
      </c>
      <c r="E851" s="1">
        <v>23</v>
      </c>
      <c r="F851" s="1" t="s">
        <v>5058</v>
      </c>
      <c r="H851" s="1" t="s">
        <v>5059</v>
      </c>
      <c r="I851" s="1" t="s">
        <v>11</v>
      </c>
      <c r="J851" s="1" t="s">
        <v>5060</v>
      </c>
      <c r="K851" s="1" t="s">
        <v>5061</v>
      </c>
      <c r="L851" s="1" t="s">
        <v>5062</v>
      </c>
      <c r="P851" s="1" t="s">
        <v>5016</v>
      </c>
      <c r="Q851" s="1">
        <v>2002</v>
      </c>
      <c r="R851" s="1" t="s">
        <v>5017</v>
      </c>
      <c r="S851" s="1" t="s">
        <v>27</v>
      </c>
      <c r="T851" s="38">
        <v>1</v>
      </c>
      <c r="W851" s="1">
        <v>640</v>
      </c>
      <c r="Z851" s="1">
        <v>69</v>
      </c>
      <c r="AA851" s="1">
        <v>6.25</v>
      </c>
      <c r="AC851" s="1">
        <v>23</v>
      </c>
      <c r="AI851" s="1">
        <v>6</v>
      </c>
      <c r="AV851" s="1" t="s">
        <v>5063</v>
      </c>
      <c r="AY851" s="1" t="s">
        <v>2547</v>
      </c>
      <c r="BD851" s="1" t="s">
        <v>5064</v>
      </c>
      <c r="BF851" s="1" t="s">
        <v>5065</v>
      </c>
      <c r="BH851" s="1" t="s">
        <v>5066</v>
      </c>
      <c r="BJ851" s="1" t="s">
        <v>5067</v>
      </c>
      <c r="BK851" s="1" t="s">
        <v>5068</v>
      </c>
      <c r="BM851" s="1" t="s">
        <v>5069</v>
      </c>
      <c r="BP851" s="1" t="s">
        <v>5070</v>
      </c>
      <c r="BS851" s="1" t="s">
        <v>4164</v>
      </c>
      <c r="BW851" s="1" t="s">
        <v>5064</v>
      </c>
    </row>
    <row r="852" spans="1:148" x14ac:dyDescent="0.2">
      <c r="A852" s="1" t="s">
        <v>5071</v>
      </c>
      <c r="B852" s="1" t="s">
        <v>55</v>
      </c>
      <c r="C852" s="1" t="s">
        <v>237</v>
      </c>
      <c r="E852" s="1">
        <v>23</v>
      </c>
      <c r="F852" s="1" t="s">
        <v>5058</v>
      </c>
      <c r="H852" s="1" t="s">
        <v>5059</v>
      </c>
      <c r="I852" s="1" t="s">
        <v>11</v>
      </c>
      <c r="J852" s="1" t="s">
        <v>5060</v>
      </c>
      <c r="K852" s="1" t="s">
        <v>5061</v>
      </c>
      <c r="L852" s="1" t="s">
        <v>5062</v>
      </c>
      <c r="P852" s="1" t="s">
        <v>5016</v>
      </c>
      <c r="Q852" s="1">
        <v>2002</v>
      </c>
      <c r="R852" s="1" t="s">
        <v>5017</v>
      </c>
      <c r="S852" s="1" t="s">
        <v>27</v>
      </c>
      <c r="T852" s="38">
        <v>1</v>
      </c>
      <c r="W852" s="1">
        <v>477</v>
      </c>
      <c r="Z852" s="1">
        <v>75</v>
      </c>
      <c r="AA852" s="1">
        <v>6.25</v>
      </c>
      <c r="AC852" s="1">
        <v>22</v>
      </c>
      <c r="AI852" s="1">
        <v>2.6</v>
      </c>
      <c r="AV852" s="1">
        <v>1.31</v>
      </c>
      <c r="AY852" s="1">
        <v>19</v>
      </c>
      <c r="BD852" s="1">
        <v>0.48</v>
      </c>
      <c r="BF852" s="1">
        <v>0.48</v>
      </c>
      <c r="BH852" s="1">
        <v>409</v>
      </c>
      <c r="BJ852" s="1">
        <v>25</v>
      </c>
      <c r="BK852" s="1">
        <v>0.01</v>
      </c>
      <c r="BM852" s="1">
        <v>48</v>
      </c>
      <c r="BP852" s="1">
        <v>224</v>
      </c>
      <c r="BW852" s="1">
        <v>0.48</v>
      </c>
    </row>
    <row r="853" spans="1:148" x14ac:dyDescent="0.2">
      <c r="A853" s="1" t="s">
        <v>5072</v>
      </c>
      <c r="B853" s="1" t="s">
        <v>55</v>
      </c>
      <c r="C853" s="1" t="s">
        <v>237</v>
      </c>
      <c r="E853" s="1">
        <v>23</v>
      </c>
      <c r="F853" s="1" t="s">
        <v>5058</v>
      </c>
      <c r="H853" s="1" t="s">
        <v>5073</v>
      </c>
      <c r="I853" s="1" t="s">
        <v>7</v>
      </c>
      <c r="J853" s="1" t="s">
        <v>5060</v>
      </c>
      <c r="K853" s="1" t="s">
        <v>5061</v>
      </c>
      <c r="L853" s="1" t="s">
        <v>5062</v>
      </c>
      <c r="P853" s="1" t="s">
        <v>5016</v>
      </c>
      <c r="Q853" s="1">
        <v>2002</v>
      </c>
      <c r="R853" s="1" t="s">
        <v>5017</v>
      </c>
      <c r="S853" s="1" t="s">
        <v>27</v>
      </c>
      <c r="T853" s="38">
        <v>1</v>
      </c>
      <c r="V853" s="1">
        <v>506</v>
      </c>
      <c r="Z853" s="1">
        <v>74</v>
      </c>
      <c r="AA853" s="1">
        <v>6.25</v>
      </c>
      <c r="AC853" s="1">
        <v>20</v>
      </c>
      <c r="AI853" s="1">
        <v>4</v>
      </c>
      <c r="AV853" s="1">
        <v>1.1000000000000001</v>
      </c>
      <c r="AY853" s="1">
        <v>26</v>
      </c>
      <c r="BD853" s="1">
        <v>0.6</v>
      </c>
      <c r="BF853" s="1">
        <v>0.4</v>
      </c>
      <c r="BH853" s="1">
        <v>514</v>
      </c>
      <c r="BJ853" s="1">
        <v>32</v>
      </c>
      <c r="BK853" s="1">
        <v>0.01</v>
      </c>
      <c r="BM853" s="1">
        <v>45</v>
      </c>
      <c r="BP853" s="1">
        <v>242</v>
      </c>
      <c r="BS853" s="1">
        <v>20</v>
      </c>
      <c r="BW853" s="1">
        <v>0.6</v>
      </c>
    </row>
    <row r="854" spans="1:148" x14ac:dyDescent="0.2">
      <c r="A854" s="1" t="s">
        <v>5074</v>
      </c>
      <c r="B854" s="1" t="s">
        <v>55</v>
      </c>
      <c r="C854" s="1" t="s">
        <v>237</v>
      </c>
      <c r="E854" s="1">
        <v>23</v>
      </c>
      <c r="F854" s="1" t="s">
        <v>5058</v>
      </c>
      <c r="H854" s="1" t="s">
        <v>5073</v>
      </c>
      <c r="I854" s="1" t="s">
        <v>7</v>
      </c>
      <c r="J854" s="1" t="s">
        <v>5060</v>
      </c>
      <c r="K854" s="1" t="s">
        <v>5061</v>
      </c>
      <c r="L854" s="1" t="s">
        <v>5062</v>
      </c>
      <c r="P854" s="1" t="s">
        <v>5016</v>
      </c>
      <c r="Q854" s="1">
        <v>2002</v>
      </c>
      <c r="R854" s="1" t="s">
        <v>5017</v>
      </c>
      <c r="S854" s="1" t="s">
        <v>27</v>
      </c>
      <c r="T854" s="38">
        <v>1</v>
      </c>
      <c r="V854" s="1">
        <v>443</v>
      </c>
      <c r="Z854" s="1">
        <v>77</v>
      </c>
      <c r="AA854" s="1">
        <v>6.25</v>
      </c>
      <c r="AC854" s="1">
        <v>18</v>
      </c>
      <c r="AI854" s="1">
        <v>3.6</v>
      </c>
      <c r="AV854" s="1">
        <v>1.54</v>
      </c>
      <c r="AY854" s="1">
        <v>36</v>
      </c>
      <c r="BD854" s="1">
        <v>0.45</v>
      </c>
      <c r="BF854" s="1">
        <v>0.5</v>
      </c>
      <c r="BH854" s="1">
        <v>396</v>
      </c>
      <c r="BJ854" s="1">
        <v>25</v>
      </c>
      <c r="BK854" s="1">
        <v>0.03</v>
      </c>
      <c r="BM854" s="1">
        <v>44</v>
      </c>
      <c r="BP854" s="1">
        <v>235</v>
      </c>
      <c r="BW854" s="1">
        <v>0.45</v>
      </c>
    </row>
    <row r="855" spans="1:148" x14ac:dyDescent="0.2">
      <c r="A855" s="1" t="s">
        <v>5075</v>
      </c>
      <c r="B855" s="1" t="s">
        <v>57</v>
      </c>
      <c r="C855" s="1" t="s">
        <v>5076</v>
      </c>
      <c r="D855" s="1" t="s">
        <v>2</v>
      </c>
      <c r="E855" s="1">
        <v>54</v>
      </c>
      <c r="F855" s="1" t="s">
        <v>4912</v>
      </c>
      <c r="H855" s="1" t="s">
        <v>5077</v>
      </c>
      <c r="I855" s="1" t="s">
        <v>7</v>
      </c>
      <c r="J855" s="1" t="s">
        <v>4916</v>
      </c>
      <c r="K855" s="1" t="s">
        <v>4915</v>
      </c>
      <c r="L855" s="1" t="s">
        <v>4916</v>
      </c>
      <c r="M855" s="1" t="s">
        <v>5078</v>
      </c>
      <c r="O855" s="1">
        <v>3</v>
      </c>
      <c r="P855" s="1" t="s">
        <v>5079</v>
      </c>
      <c r="Q855" s="1">
        <v>2010</v>
      </c>
      <c r="R855" s="1" t="s">
        <v>5080</v>
      </c>
      <c r="S855" s="1" t="s">
        <v>27</v>
      </c>
      <c r="T855" s="38">
        <v>1</v>
      </c>
      <c r="Z855" s="1">
        <v>73.319999999999993</v>
      </c>
      <c r="AC855" s="1">
        <v>14.18042</v>
      </c>
      <c r="AI855" s="1">
        <v>1.875604</v>
      </c>
      <c r="AK855" s="1">
        <v>0.43415245295999999</v>
      </c>
      <c r="AL855" s="1">
        <v>0.33384826555199998</v>
      </c>
      <c r="AM855" s="1">
        <v>0.73057378291200004</v>
      </c>
      <c r="AS855" s="1">
        <v>5.7522080000000004</v>
      </c>
      <c r="AV855" s="1">
        <v>2.804068</v>
      </c>
      <c r="AY855" s="1">
        <v>37.565440000000002</v>
      </c>
      <c r="BB855" s="1">
        <v>14.4072</v>
      </c>
      <c r="BD855" s="1">
        <v>0.13073199999999999</v>
      </c>
      <c r="BF855" s="1">
        <v>1.7742199999999999</v>
      </c>
      <c r="BJ855" s="1">
        <v>44.1554</v>
      </c>
      <c r="BK855" s="1">
        <v>9.6047999999999994E-2</v>
      </c>
      <c r="BO855" s="1">
        <v>6.4032</v>
      </c>
      <c r="BS855" s="1">
        <v>58.695999999999998</v>
      </c>
      <c r="BW855" s="1">
        <v>1.219276</v>
      </c>
      <c r="BX855" s="1">
        <v>997.83199999999999</v>
      </c>
      <c r="CA855" s="1">
        <v>40.020000000000003</v>
      </c>
      <c r="CC855" s="1">
        <v>16.274799999999999</v>
      </c>
      <c r="DR855" s="1">
        <v>4375.5200000000004</v>
      </c>
      <c r="DS855" s="1">
        <v>12699.68</v>
      </c>
      <c r="DT855" s="1">
        <v>8297.48</v>
      </c>
      <c r="DU855" s="1">
        <v>987.16</v>
      </c>
      <c r="DV855" s="1">
        <v>560.28</v>
      </c>
      <c r="DX855" s="1">
        <v>453.56</v>
      </c>
      <c r="DY855" s="1">
        <v>213.44</v>
      </c>
      <c r="EA855" s="1">
        <v>213.44</v>
      </c>
      <c r="EB855" s="1">
        <v>3575.12</v>
      </c>
      <c r="EC855" s="1">
        <v>80.040000000000006</v>
      </c>
      <c r="EF855" s="1">
        <v>293.48</v>
      </c>
      <c r="EG855" s="1">
        <v>293.48</v>
      </c>
      <c r="EH855" s="1">
        <v>613.64</v>
      </c>
      <c r="EI855" s="1">
        <v>240.12</v>
      </c>
      <c r="EK855" s="1">
        <v>586.96</v>
      </c>
      <c r="EL855" s="1">
        <v>1093.8800000000001</v>
      </c>
      <c r="EM855" s="1">
        <v>1173.92</v>
      </c>
      <c r="EO855" s="1">
        <v>800.4</v>
      </c>
      <c r="EQ855" s="1">
        <v>667</v>
      </c>
      <c r="ER855" s="1">
        <v>933.8</v>
      </c>
    </row>
    <row r="856" spans="1:148" x14ac:dyDescent="0.2">
      <c r="A856" s="1" t="s">
        <v>5081</v>
      </c>
      <c r="B856" s="1" t="s">
        <v>57</v>
      </c>
      <c r="C856" s="1" t="s">
        <v>5076</v>
      </c>
      <c r="D856" s="1" t="s">
        <v>2</v>
      </c>
      <c r="E856" s="1">
        <v>54</v>
      </c>
      <c r="F856" s="1" t="s">
        <v>4912</v>
      </c>
      <c r="H856" s="1" t="s">
        <v>5077</v>
      </c>
      <c r="I856" s="1" t="s">
        <v>7</v>
      </c>
      <c r="J856" s="1" t="s">
        <v>4916</v>
      </c>
      <c r="K856" s="1" t="s">
        <v>4915</v>
      </c>
      <c r="L856" s="1" t="s">
        <v>4916</v>
      </c>
      <c r="M856" s="1" t="s">
        <v>5082</v>
      </c>
      <c r="O856" s="1">
        <v>3</v>
      </c>
      <c r="P856" s="1" t="s">
        <v>5079</v>
      </c>
      <c r="Q856" s="1">
        <v>2010</v>
      </c>
      <c r="R856" s="1" t="s">
        <v>5080</v>
      </c>
      <c r="S856" s="1" t="s">
        <v>27</v>
      </c>
      <c r="T856" s="38">
        <v>1</v>
      </c>
      <c r="Z856" s="1">
        <v>75.66</v>
      </c>
      <c r="AC856" s="1">
        <v>10.220366</v>
      </c>
      <c r="AI856" s="1">
        <v>2.3926219999999998</v>
      </c>
      <c r="AK856" s="1">
        <v>0.73679825383999997</v>
      </c>
      <c r="AL856" s="1">
        <v>0.47593184504800001</v>
      </c>
      <c r="AM856" s="1">
        <v>0.77861653311199996</v>
      </c>
      <c r="AS856" s="1">
        <v>7.827744</v>
      </c>
      <c r="AV856" s="1">
        <v>2.6627960000000002</v>
      </c>
      <c r="AY856" s="1">
        <v>29.743480000000002</v>
      </c>
      <c r="BB856" s="1">
        <v>19.2286</v>
      </c>
      <c r="BD856" s="1">
        <v>0.19958799999999999</v>
      </c>
      <c r="BF856" s="1">
        <v>2.3853200000000001</v>
      </c>
      <c r="BJ856" s="1">
        <v>45.272399999999998</v>
      </c>
      <c r="BK856" s="1">
        <v>8.2755999999999996E-2</v>
      </c>
      <c r="BO856" s="1">
        <v>10.222799999999999</v>
      </c>
      <c r="BS856" s="1">
        <v>48.68</v>
      </c>
      <c r="BW856" s="1">
        <v>1.190226</v>
      </c>
      <c r="BX856" s="1">
        <v>1440.9280000000001</v>
      </c>
      <c r="CA856" s="1">
        <v>43.811999999999998</v>
      </c>
      <c r="CC856" s="1">
        <v>15.334199999999999</v>
      </c>
      <c r="DR856" s="1">
        <v>3285.9</v>
      </c>
      <c r="DS856" s="1">
        <v>9224.86</v>
      </c>
      <c r="DT856" s="1">
        <v>5938.96</v>
      </c>
      <c r="DU856" s="1">
        <v>778.88</v>
      </c>
      <c r="DV856" s="1">
        <v>389.44</v>
      </c>
      <c r="DX856" s="1">
        <v>121.7</v>
      </c>
      <c r="DY856" s="1">
        <v>146.04</v>
      </c>
      <c r="EA856" s="1">
        <v>121.7</v>
      </c>
      <c r="EB856" s="1">
        <v>2604.38</v>
      </c>
      <c r="EC856" s="1">
        <v>121.7</v>
      </c>
      <c r="EF856" s="1">
        <v>657.18</v>
      </c>
      <c r="EG856" s="1">
        <v>243.4</v>
      </c>
      <c r="EH856" s="1">
        <v>413.78</v>
      </c>
      <c r="EI856" s="1">
        <v>194.72</v>
      </c>
      <c r="EK856" s="1">
        <v>438.12</v>
      </c>
      <c r="EL856" s="1">
        <v>778.88</v>
      </c>
      <c r="EM856" s="1">
        <v>754.54</v>
      </c>
      <c r="EO856" s="1">
        <v>559.82000000000005</v>
      </c>
      <c r="EQ856" s="1">
        <v>608.5</v>
      </c>
      <c r="ER856" s="1">
        <v>292.08</v>
      </c>
    </row>
    <row r="857" spans="1:148" x14ac:dyDescent="0.2">
      <c r="A857" s="1" t="s">
        <v>5083</v>
      </c>
      <c r="B857" s="1" t="s">
        <v>57</v>
      </c>
      <c r="C857" s="1" t="s">
        <v>5076</v>
      </c>
      <c r="D857" s="1" t="s">
        <v>2</v>
      </c>
      <c r="E857" s="1">
        <v>54</v>
      </c>
      <c r="F857" s="1" t="s">
        <v>4912</v>
      </c>
      <c r="H857" s="1" t="s">
        <v>5077</v>
      </c>
      <c r="I857" s="1" t="s">
        <v>7</v>
      </c>
      <c r="J857" s="1" t="s">
        <v>4916</v>
      </c>
      <c r="K857" s="1" t="s">
        <v>4915</v>
      </c>
      <c r="L857" s="1" t="s">
        <v>4916</v>
      </c>
      <c r="M857" s="1" t="s">
        <v>5084</v>
      </c>
      <c r="O857" s="1">
        <v>3</v>
      </c>
      <c r="P857" s="1" t="s">
        <v>5079</v>
      </c>
      <c r="Q857" s="1">
        <v>2010</v>
      </c>
      <c r="R857" s="1" t="s">
        <v>5080</v>
      </c>
      <c r="S857" s="1" t="s">
        <v>27</v>
      </c>
      <c r="T857" s="38">
        <v>1</v>
      </c>
      <c r="Z857" s="1">
        <v>73.790000000000006</v>
      </c>
      <c r="AC857" s="1">
        <v>12.337047</v>
      </c>
      <c r="AI857" s="1">
        <v>3.5566970000000002</v>
      </c>
      <c r="AK857" s="1">
        <v>1.0926792208639999</v>
      </c>
      <c r="AL857" s="1">
        <v>0.68602871537200005</v>
      </c>
      <c r="AM857" s="1">
        <v>1.328598598096</v>
      </c>
      <c r="AS857" s="1">
        <v>6.0912040000000003</v>
      </c>
      <c r="AV857" s="1">
        <v>3.661537</v>
      </c>
      <c r="AY857" s="1">
        <v>37.4803</v>
      </c>
      <c r="BB857" s="1">
        <v>12.5808</v>
      </c>
      <c r="BD857" s="1">
        <v>0.38266600000000001</v>
      </c>
      <c r="BF857" s="1">
        <v>1.535906</v>
      </c>
      <c r="BJ857" s="1">
        <v>16.879239999999999</v>
      </c>
      <c r="BK857" s="1">
        <v>8.1251000000000004E-2</v>
      </c>
      <c r="BO857" s="1">
        <v>6.0282999999999998</v>
      </c>
      <c r="BS857" s="1">
        <v>39.314999999999998</v>
      </c>
      <c r="BW857" s="1">
        <v>1.6721980000000001</v>
      </c>
      <c r="BX857" s="1">
        <v>935.697</v>
      </c>
      <c r="CA857" s="1">
        <v>39.314999999999998</v>
      </c>
      <c r="CC857" s="1">
        <v>15.988099999999999</v>
      </c>
      <c r="DR857" s="1">
        <v>4796.43</v>
      </c>
      <c r="DS857" s="1">
        <v>11165.46</v>
      </c>
      <c r="DT857" s="1">
        <v>6369.03</v>
      </c>
      <c r="DU857" s="1">
        <v>733.88</v>
      </c>
      <c r="DV857" s="1">
        <v>760.09</v>
      </c>
      <c r="DX857" s="1">
        <v>157.26</v>
      </c>
      <c r="DY857" s="1">
        <v>157.26</v>
      </c>
      <c r="EA857" s="1">
        <v>183.47</v>
      </c>
      <c r="EB857" s="1">
        <v>2542.37</v>
      </c>
      <c r="EC857" s="1">
        <v>157.26</v>
      </c>
      <c r="EF857" s="1">
        <v>288.31</v>
      </c>
      <c r="EG857" s="1">
        <v>262.10000000000002</v>
      </c>
      <c r="EH857" s="1">
        <v>864.93</v>
      </c>
      <c r="EI857" s="1">
        <v>497.99</v>
      </c>
      <c r="EK857" s="1">
        <v>838.72</v>
      </c>
      <c r="EL857" s="1">
        <v>995.98</v>
      </c>
      <c r="EM857" s="1">
        <v>838.72</v>
      </c>
      <c r="EO857" s="1">
        <v>681.46</v>
      </c>
      <c r="EQ857" s="1">
        <v>733.88</v>
      </c>
      <c r="ER857" s="1">
        <v>419.36</v>
      </c>
    </row>
    <row r="858" spans="1:148" x14ac:dyDescent="0.2">
      <c r="A858" s="1" t="s">
        <v>5085</v>
      </c>
      <c r="B858" s="1" t="s">
        <v>57</v>
      </c>
      <c r="C858" s="1" t="s">
        <v>5076</v>
      </c>
      <c r="D858" s="1" t="s">
        <v>2</v>
      </c>
      <c r="E858" s="1">
        <v>54</v>
      </c>
      <c r="F858" s="1" t="s">
        <v>4912</v>
      </c>
      <c r="H858" s="1" t="s">
        <v>5077</v>
      </c>
      <c r="I858" s="1" t="s">
        <v>7</v>
      </c>
      <c r="J858" s="1" t="s">
        <v>4916</v>
      </c>
      <c r="K858" s="1" t="s">
        <v>4915</v>
      </c>
      <c r="L858" s="1" t="s">
        <v>4916</v>
      </c>
      <c r="M858" s="1" t="s">
        <v>5086</v>
      </c>
      <c r="O858" s="1">
        <v>3</v>
      </c>
      <c r="P858" s="1" t="s">
        <v>5079</v>
      </c>
      <c r="Q858" s="1">
        <v>2010</v>
      </c>
      <c r="R858" s="1" t="s">
        <v>5080</v>
      </c>
      <c r="S858" s="1" t="s">
        <v>27</v>
      </c>
      <c r="T858" s="38">
        <v>1</v>
      </c>
      <c r="Z858" s="1">
        <v>71.38</v>
      </c>
      <c r="AC858" s="1">
        <v>12.801726</v>
      </c>
      <c r="AI858" s="1">
        <v>2.4384239999999999</v>
      </c>
      <c r="AK858" s="1">
        <v>0.80591280422400002</v>
      </c>
      <c r="AL858" s="1">
        <v>0.388710468704</v>
      </c>
      <c r="AM858" s="1">
        <v>0.84051007107200004</v>
      </c>
      <c r="AS858" s="1">
        <v>8.7920639999999999</v>
      </c>
      <c r="AV858" s="1">
        <v>2.5729380000000002</v>
      </c>
      <c r="AY858" s="1">
        <v>62.792279999999998</v>
      </c>
      <c r="BB858" s="1">
        <v>19.747800000000002</v>
      </c>
      <c r="BD858" s="1">
        <v>0.183168</v>
      </c>
      <c r="BF858" s="1">
        <v>3.328506</v>
      </c>
      <c r="BJ858" s="1">
        <v>55.207979999999999</v>
      </c>
      <c r="BK858" s="1">
        <v>0.13165199999999999</v>
      </c>
      <c r="BO858" s="1">
        <v>9.7308000000000003</v>
      </c>
      <c r="BS858" s="1">
        <v>48.654000000000003</v>
      </c>
      <c r="BW858" s="1">
        <v>1.3251059999999999</v>
      </c>
      <c r="BX858" s="1">
        <v>2175.12</v>
      </c>
      <c r="CA858" s="1">
        <v>25.757999999999999</v>
      </c>
      <c r="CC858" s="1">
        <v>18.316800000000001</v>
      </c>
      <c r="DR858" s="1">
        <v>4521.96</v>
      </c>
      <c r="DS858" s="1">
        <v>11362.14</v>
      </c>
      <c r="DT858" s="1">
        <v>6840.18</v>
      </c>
      <c r="DU858" s="1">
        <v>915.84</v>
      </c>
      <c r="DV858" s="1">
        <v>572.4</v>
      </c>
      <c r="DX858" s="1">
        <v>200.34</v>
      </c>
      <c r="DY858" s="1">
        <v>85.86</v>
      </c>
      <c r="EA858" s="1">
        <v>143.1</v>
      </c>
      <c r="EB858" s="1">
        <v>3033.72</v>
      </c>
      <c r="EC858" s="1">
        <v>143.1</v>
      </c>
      <c r="EF858" s="1">
        <v>257.58</v>
      </c>
      <c r="EG858" s="1">
        <v>228.96</v>
      </c>
      <c r="EH858" s="1">
        <v>715.5</v>
      </c>
      <c r="EI858" s="1">
        <v>829.98</v>
      </c>
      <c r="EK858" s="1">
        <v>629.64</v>
      </c>
      <c r="EL858" s="1">
        <v>887.22</v>
      </c>
      <c r="EM858" s="1">
        <v>944.46</v>
      </c>
      <c r="EO858" s="1">
        <v>658.26</v>
      </c>
      <c r="EQ858" s="1">
        <v>629.64</v>
      </c>
      <c r="ER858" s="1">
        <v>486.54</v>
      </c>
    </row>
    <row r="859" spans="1:148" x14ac:dyDescent="0.2">
      <c r="A859" s="1" t="s">
        <v>5087</v>
      </c>
      <c r="B859" s="1" t="s">
        <v>55</v>
      </c>
      <c r="C859" s="1" t="s">
        <v>5088</v>
      </c>
      <c r="D859" s="1" t="s">
        <v>2</v>
      </c>
      <c r="E859" s="1">
        <v>23</v>
      </c>
      <c r="F859" s="1" t="s">
        <v>5012</v>
      </c>
      <c r="G859" s="1" t="s">
        <v>5089</v>
      </c>
      <c r="H859" s="1" t="s">
        <v>5090</v>
      </c>
      <c r="I859" s="1" t="s">
        <v>7</v>
      </c>
      <c r="J859" s="1" t="s">
        <v>5014</v>
      </c>
      <c r="K859" s="1" t="s">
        <v>5015</v>
      </c>
      <c r="L859" s="1" t="s">
        <v>5014</v>
      </c>
      <c r="N859" s="1" t="s">
        <v>5091</v>
      </c>
      <c r="O859" s="1">
        <v>6</v>
      </c>
      <c r="Q859" s="1">
        <v>2011</v>
      </c>
      <c r="R859" s="1" t="s">
        <v>5092</v>
      </c>
      <c r="S859" s="1" t="s">
        <v>27</v>
      </c>
      <c r="T859" s="38">
        <v>1</v>
      </c>
      <c r="W859" s="1">
        <v>185</v>
      </c>
      <c r="Z859" s="1">
        <v>68.599999999999994</v>
      </c>
      <c r="AC859" s="1">
        <v>18.899999999999999</v>
      </c>
      <c r="AI859" s="1">
        <v>12.1</v>
      </c>
      <c r="AV859" s="1">
        <v>1.2</v>
      </c>
      <c r="AY859" s="1">
        <v>8.8000000000000007</v>
      </c>
      <c r="BD859" s="1">
        <v>3.2000000000000001E-2</v>
      </c>
      <c r="BF859" s="1">
        <v>0.23</v>
      </c>
      <c r="BH859" s="1">
        <v>364</v>
      </c>
      <c r="BJ859" s="1">
        <v>25</v>
      </c>
      <c r="BM859" s="1">
        <v>35</v>
      </c>
      <c r="BP859" s="1">
        <v>268</v>
      </c>
      <c r="BS859" s="1">
        <v>34.299999999999997</v>
      </c>
      <c r="BW859" s="1">
        <v>0.4</v>
      </c>
      <c r="CB859" s="1">
        <v>6.2</v>
      </c>
    </row>
    <row r="860" spans="1:148" x14ac:dyDescent="0.2">
      <c r="A860" s="1" t="s">
        <v>5093</v>
      </c>
      <c r="B860" s="1" t="s">
        <v>55</v>
      </c>
      <c r="C860" s="1" t="s">
        <v>5088</v>
      </c>
      <c r="D860" s="1" t="s">
        <v>2</v>
      </c>
      <c r="E860" s="1">
        <v>23</v>
      </c>
      <c r="F860" s="1" t="s">
        <v>1273</v>
      </c>
      <c r="G860" s="1" t="s">
        <v>5094</v>
      </c>
      <c r="H860" s="1" t="s">
        <v>5095</v>
      </c>
      <c r="I860" s="1" t="s">
        <v>7</v>
      </c>
      <c r="J860" s="1" t="s">
        <v>5096</v>
      </c>
      <c r="K860" s="1" t="s">
        <v>1276</v>
      </c>
      <c r="L860" s="1" t="s">
        <v>1275</v>
      </c>
      <c r="N860" s="1" t="s">
        <v>5091</v>
      </c>
      <c r="O860" s="1">
        <v>5</v>
      </c>
      <c r="Q860" s="1">
        <v>2011</v>
      </c>
      <c r="R860" s="1" t="s">
        <v>5092</v>
      </c>
      <c r="S860" s="1" t="s">
        <v>27</v>
      </c>
      <c r="T860" s="38">
        <v>1</v>
      </c>
      <c r="W860" s="1">
        <v>187</v>
      </c>
      <c r="Z860" s="1">
        <v>67.5</v>
      </c>
      <c r="AC860" s="1">
        <v>19.899999999999999</v>
      </c>
      <c r="AI860" s="1">
        <v>11.9</v>
      </c>
      <c r="AV860" s="1">
        <v>1.2</v>
      </c>
      <c r="AY860" s="1">
        <v>18</v>
      </c>
      <c r="BD860" s="1">
        <v>3.2000000000000001E-2</v>
      </c>
      <c r="BF860" s="1">
        <v>0.27</v>
      </c>
      <c r="BH860" s="1">
        <v>367</v>
      </c>
      <c r="BJ860" s="1">
        <v>22</v>
      </c>
      <c r="BM860" s="1">
        <v>40</v>
      </c>
      <c r="BP860" s="1">
        <v>221</v>
      </c>
      <c r="BS860" s="1">
        <v>21</v>
      </c>
      <c r="BW860" s="1">
        <v>0.36</v>
      </c>
      <c r="CB860" s="1">
        <v>5.4</v>
      </c>
    </row>
    <row r="861" spans="1:148" x14ac:dyDescent="0.2">
      <c r="A861" s="1" t="s">
        <v>5097</v>
      </c>
      <c r="B861" s="1" t="s">
        <v>55</v>
      </c>
      <c r="C861" s="1" t="s">
        <v>5098</v>
      </c>
      <c r="D861" s="1" t="s">
        <v>4</v>
      </c>
      <c r="E861" s="1">
        <v>34</v>
      </c>
      <c r="F861" s="1" t="s">
        <v>5099</v>
      </c>
      <c r="G861" s="1" t="s">
        <v>5100</v>
      </c>
      <c r="H861" s="1" t="s">
        <v>5101</v>
      </c>
      <c r="I861" s="1" t="s">
        <v>7</v>
      </c>
      <c r="K861" s="1" t="s">
        <v>5102</v>
      </c>
      <c r="L861" s="1" t="s">
        <v>5103</v>
      </c>
      <c r="O861" s="1">
        <v>1</v>
      </c>
      <c r="Q861" s="1">
        <v>2011</v>
      </c>
      <c r="R861" s="1" t="s">
        <v>5092</v>
      </c>
      <c r="S861" s="1" t="s">
        <v>27</v>
      </c>
      <c r="T861" s="38">
        <v>1</v>
      </c>
      <c r="W861" s="1">
        <v>75</v>
      </c>
      <c r="Z861" s="1">
        <v>78.099999999999994</v>
      </c>
      <c r="AC861" s="1">
        <v>11.1</v>
      </c>
      <c r="AI861" s="1">
        <v>3.4</v>
      </c>
      <c r="AV861" s="1">
        <v>4.7</v>
      </c>
      <c r="AY861" s="1">
        <v>9.4</v>
      </c>
      <c r="BD861" s="1">
        <v>3.3000000000000002E-2</v>
      </c>
      <c r="BF861" s="1">
        <v>0.35</v>
      </c>
      <c r="BH861" s="1">
        <v>31.4</v>
      </c>
      <c r="BJ861" s="1">
        <v>3.4</v>
      </c>
      <c r="BM861" s="1">
        <v>163</v>
      </c>
      <c r="BP861" s="1">
        <v>124</v>
      </c>
      <c r="BS861" s="1">
        <v>34.299999999999997</v>
      </c>
      <c r="BW861" s="1">
        <v>1.163</v>
      </c>
      <c r="CB861" s="1" t="s">
        <v>15</v>
      </c>
    </row>
    <row r="862" spans="1:148" x14ac:dyDescent="0.2">
      <c r="A862" s="1" t="s">
        <v>5104</v>
      </c>
      <c r="B862" s="1" t="s">
        <v>55</v>
      </c>
      <c r="C862" s="1" t="s">
        <v>5088</v>
      </c>
      <c r="D862" s="1" t="s">
        <v>2</v>
      </c>
      <c r="E862" s="1">
        <v>23</v>
      </c>
      <c r="F862" s="1" t="s">
        <v>5034</v>
      </c>
      <c r="G862" s="1" t="s">
        <v>5105</v>
      </c>
      <c r="H862" s="1" t="s">
        <v>5106</v>
      </c>
      <c r="I862" s="1" t="s">
        <v>11</v>
      </c>
      <c r="K862" s="1" t="s">
        <v>5107</v>
      </c>
      <c r="L862" s="1" t="s">
        <v>5108</v>
      </c>
      <c r="O862" s="1">
        <v>1</v>
      </c>
      <c r="Q862" s="1">
        <v>2011</v>
      </c>
      <c r="R862" s="1" t="s">
        <v>5092</v>
      </c>
      <c r="S862" s="1" t="s">
        <v>27</v>
      </c>
      <c r="T862" s="38">
        <v>1</v>
      </c>
      <c r="W862" s="1">
        <v>204</v>
      </c>
      <c r="Z862" s="1">
        <v>61.5</v>
      </c>
      <c r="AC862" s="1">
        <v>22.8</v>
      </c>
      <c r="AI862" s="1">
        <v>12.5</v>
      </c>
      <c r="AV862" s="1">
        <v>3.3</v>
      </c>
      <c r="AY862" s="1">
        <v>16.8</v>
      </c>
      <c r="BD862" s="1">
        <v>4.7E-2</v>
      </c>
      <c r="BF862" s="1">
        <v>1.08</v>
      </c>
      <c r="BH862" s="1">
        <v>429</v>
      </c>
      <c r="BJ862" s="1">
        <v>31.8</v>
      </c>
      <c r="BM862" s="1">
        <v>886</v>
      </c>
      <c r="BP862" s="1">
        <v>372</v>
      </c>
      <c r="BS862" s="1">
        <v>15.86</v>
      </c>
      <c r="BW862" s="1">
        <v>0.41</v>
      </c>
      <c r="CB862" s="1" t="s">
        <v>15</v>
      </c>
    </row>
    <row r="863" spans="1:148" x14ac:dyDescent="0.2">
      <c r="A863" s="1" t="s">
        <v>5109</v>
      </c>
      <c r="B863" s="1" t="s">
        <v>55</v>
      </c>
      <c r="C863" s="1" t="s">
        <v>5098</v>
      </c>
      <c r="D863" s="1" t="s">
        <v>4</v>
      </c>
      <c r="E863" s="1">
        <v>32</v>
      </c>
      <c r="F863" s="1" t="s">
        <v>1869</v>
      </c>
      <c r="G863" s="1" t="s">
        <v>5110</v>
      </c>
      <c r="H863" s="1" t="s">
        <v>5111</v>
      </c>
      <c r="I863" s="1" t="s">
        <v>11</v>
      </c>
      <c r="K863" s="1" t="s">
        <v>5112</v>
      </c>
      <c r="L863" s="1" t="s">
        <v>5113</v>
      </c>
      <c r="O863" s="1">
        <v>1</v>
      </c>
      <c r="Q863" s="1">
        <v>2011</v>
      </c>
      <c r="R863" s="1" t="s">
        <v>5092</v>
      </c>
      <c r="S863" s="1" t="s">
        <v>27</v>
      </c>
      <c r="T863" s="38">
        <v>1</v>
      </c>
      <c r="W863" s="1">
        <v>84</v>
      </c>
      <c r="Z863" s="1">
        <v>58.5</v>
      </c>
      <c r="AC863" s="1">
        <v>20.6</v>
      </c>
      <c r="AI863" s="1">
        <v>0.2</v>
      </c>
      <c r="AV863" s="1">
        <v>20.8</v>
      </c>
    </row>
    <row r="864" spans="1:148" x14ac:dyDescent="0.2">
      <c r="A864" s="1" t="s">
        <v>5114</v>
      </c>
      <c r="B864" s="1" t="s">
        <v>55</v>
      </c>
      <c r="C864" s="1" t="s">
        <v>5098</v>
      </c>
      <c r="D864" s="1" t="s">
        <v>4</v>
      </c>
      <c r="E864" s="1">
        <v>32</v>
      </c>
      <c r="F864" s="1" t="s">
        <v>1869</v>
      </c>
      <c r="G864" s="1" t="s">
        <v>5115</v>
      </c>
      <c r="H864" s="1" t="s">
        <v>5116</v>
      </c>
      <c r="I864" s="1" t="s">
        <v>11</v>
      </c>
      <c r="K864" s="1" t="s">
        <v>5112</v>
      </c>
      <c r="L864" s="1" t="s">
        <v>5113</v>
      </c>
      <c r="N864" s="1" t="s">
        <v>5091</v>
      </c>
      <c r="O864" s="1">
        <v>2</v>
      </c>
      <c r="Q864" s="1">
        <v>2011</v>
      </c>
      <c r="R864" s="1" t="s">
        <v>5092</v>
      </c>
      <c r="S864" s="1" t="s">
        <v>27</v>
      </c>
      <c r="T864" s="38">
        <v>1</v>
      </c>
      <c r="W864" s="1">
        <v>64</v>
      </c>
      <c r="Z864" s="1">
        <v>80.900000000000006</v>
      </c>
      <c r="AC864" s="1">
        <v>15.7</v>
      </c>
      <c r="AI864" s="1">
        <v>0.1</v>
      </c>
      <c r="AV864" s="1">
        <v>3.6</v>
      </c>
    </row>
    <row r="865" spans="1:110" x14ac:dyDescent="0.2">
      <c r="A865" s="1" t="s">
        <v>5117</v>
      </c>
      <c r="B865" s="1" t="s">
        <v>55</v>
      </c>
      <c r="C865" s="1" t="s">
        <v>5098</v>
      </c>
      <c r="D865" s="1" t="s">
        <v>4</v>
      </c>
      <c r="E865" s="1">
        <v>32</v>
      </c>
      <c r="F865" s="1" t="s">
        <v>1869</v>
      </c>
      <c r="G865" s="1" t="s">
        <v>5118</v>
      </c>
      <c r="H865" s="1" t="s">
        <v>5116</v>
      </c>
      <c r="I865" s="1" t="s">
        <v>11</v>
      </c>
      <c r="K865" s="1" t="s">
        <v>5112</v>
      </c>
      <c r="L865" s="1" t="s">
        <v>5113</v>
      </c>
      <c r="N865" s="1" t="s">
        <v>5091</v>
      </c>
      <c r="O865" s="1">
        <v>2</v>
      </c>
      <c r="Q865" s="1">
        <v>2011</v>
      </c>
      <c r="R865" s="1" t="s">
        <v>5092</v>
      </c>
      <c r="S865" s="1" t="s">
        <v>27</v>
      </c>
      <c r="T865" s="38">
        <v>1</v>
      </c>
      <c r="W865" s="1">
        <v>95</v>
      </c>
      <c r="Z865" s="1">
        <v>73.599999999999994</v>
      </c>
      <c r="AC865" s="1">
        <v>23.4</v>
      </c>
      <c r="AI865" s="1">
        <v>0.2</v>
      </c>
      <c r="AV865" s="1">
        <v>3.2</v>
      </c>
    </row>
    <row r="866" spans="1:110" x14ac:dyDescent="0.2">
      <c r="A866" s="1" t="s">
        <v>5119</v>
      </c>
      <c r="B866" s="1" t="s">
        <v>55</v>
      </c>
      <c r="C866" s="1" t="s">
        <v>5098</v>
      </c>
      <c r="D866" s="1" t="s">
        <v>4</v>
      </c>
      <c r="E866" s="1">
        <v>35</v>
      </c>
      <c r="F866" s="1" t="s">
        <v>5120</v>
      </c>
      <c r="G866" s="1" t="s">
        <v>5121</v>
      </c>
      <c r="H866" s="1" t="s">
        <v>5122</v>
      </c>
      <c r="I866" s="1" t="s">
        <v>11</v>
      </c>
      <c r="K866" s="1" t="s">
        <v>5123</v>
      </c>
      <c r="L866" s="1" t="s">
        <v>5124</v>
      </c>
      <c r="O866" s="1">
        <v>1</v>
      </c>
      <c r="Q866" s="1">
        <v>2011</v>
      </c>
      <c r="R866" s="1" t="s">
        <v>5092</v>
      </c>
      <c r="S866" s="1" t="s">
        <v>27</v>
      </c>
      <c r="T866" s="38">
        <v>1</v>
      </c>
      <c r="W866" s="1">
        <v>253</v>
      </c>
      <c r="Z866" s="1">
        <v>55.7</v>
      </c>
      <c r="AC866" s="1">
        <v>18.8</v>
      </c>
      <c r="AI866" s="1">
        <v>19.7</v>
      </c>
      <c r="AV866" s="1">
        <v>5.6</v>
      </c>
      <c r="AY866" s="1">
        <v>30</v>
      </c>
      <c r="BD866" s="1">
        <v>8.7999999999999995E-2</v>
      </c>
      <c r="BF866" s="1">
        <v>1.42</v>
      </c>
      <c r="BH866" s="1">
        <v>243</v>
      </c>
      <c r="BJ866" s="1">
        <v>38.5</v>
      </c>
      <c r="BM866" s="1">
        <v>1950</v>
      </c>
      <c r="BP866" s="1">
        <v>320</v>
      </c>
      <c r="BS866" s="1">
        <v>31.74</v>
      </c>
      <c r="BW866" s="1">
        <v>0.66100000000000003</v>
      </c>
      <c r="CB866" s="1">
        <v>8.3000000000000007</v>
      </c>
    </row>
    <row r="867" spans="1:110" x14ac:dyDescent="0.2">
      <c r="A867" s="1" t="s">
        <v>5125</v>
      </c>
      <c r="B867" s="1" t="s">
        <v>55</v>
      </c>
      <c r="C867" s="1" t="s">
        <v>5098</v>
      </c>
      <c r="D867" s="1" t="s">
        <v>4</v>
      </c>
      <c r="E867" s="1">
        <v>32</v>
      </c>
      <c r="F867" s="1" t="s">
        <v>1869</v>
      </c>
      <c r="G867" s="1" t="s">
        <v>5126</v>
      </c>
      <c r="H867" s="1" t="s">
        <v>5127</v>
      </c>
      <c r="I867" s="1" t="s">
        <v>9</v>
      </c>
      <c r="K867" s="1" t="s">
        <v>5112</v>
      </c>
      <c r="L867" s="1" t="s">
        <v>5113</v>
      </c>
      <c r="O867" s="1">
        <v>1</v>
      </c>
      <c r="Q867" s="1">
        <v>2011</v>
      </c>
      <c r="R867" s="1" t="s">
        <v>5092</v>
      </c>
      <c r="S867" s="1" t="s">
        <v>27</v>
      </c>
      <c r="T867" s="38">
        <v>1</v>
      </c>
      <c r="Z867" s="1">
        <v>67.7</v>
      </c>
      <c r="AC867" s="1">
        <v>31.4</v>
      </c>
      <c r="AY867" s="1">
        <v>19.100000000000001</v>
      </c>
      <c r="BD867" s="1">
        <v>1.8074412003178199E-2</v>
      </c>
      <c r="BF867" s="1">
        <v>0.12596370827480699</v>
      </c>
      <c r="BH867" s="1">
        <v>519</v>
      </c>
      <c r="BJ867" s="1">
        <v>28.4</v>
      </c>
      <c r="BM867" s="1">
        <v>233</v>
      </c>
      <c r="BP867" s="1">
        <v>357</v>
      </c>
      <c r="BS867" s="1">
        <v>50.33</v>
      </c>
      <c r="BW867" s="1">
        <v>0.54540519392140097</v>
      </c>
      <c r="CB867" s="1">
        <v>6.53</v>
      </c>
    </row>
    <row r="868" spans="1:110" x14ac:dyDescent="0.2">
      <c r="A868" s="1" t="s">
        <v>5128</v>
      </c>
      <c r="B868" s="1" t="s">
        <v>55</v>
      </c>
      <c r="C868" s="1" t="s">
        <v>5098</v>
      </c>
      <c r="D868" s="1" t="s">
        <v>4</v>
      </c>
      <c r="E868" s="1">
        <v>32</v>
      </c>
      <c r="F868" s="1" t="s">
        <v>1869</v>
      </c>
      <c r="G868" s="1" t="s">
        <v>5129</v>
      </c>
      <c r="H868" s="1" t="s">
        <v>5130</v>
      </c>
      <c r="I868" s="1" t="s">
        <v>11</v>
      </c>
      <c r="K868" s="1" t="s">
        <v>5112</v>
      </c>
      <c r="L868" s="1" t="s">
        <v>5113</v>
      </c>
      <c r="O868" s="1">
        <v>1</v>
      </c>
      <c r="Q868" s="1">
        <v>2011</v>
      </c>
      <c r="R868" s="1" t="s">
        <v>5092</v>
      </c>
      <c r="S868" s="1" t="s">
        <v>27</v>
      </c>
      <c r="T868" s="38">
        <v>1</v>
      </c>
      <c r="Z868" s="1">
        <v>75.3</v>
      </c>
      <c r="AC868" s="1">
        <v>24</v>
      </c>
      <c r="AY868" s="1">
        <v>19.2</v>
      </c>
      <c r="BD868" s="1">
        <v>1.2999999999999999E-2</v>
      </c>
      <c r="BF868" s="1">
        <v>0.11799999999999999</v>
      </c>
      <c r="BH868" s="1">
        <v>270</v>
      </c>
      <c r="BJ868" s="1">
        <v>21.5</v>
      </c>
      <c r="BM868" s="1">
        <v>122</v>
      </c>
      <c r="BP868" s="1">
        <v>202</v>
      </c>
      <c r="BS868" s="1">
        <v>35.75</v>
      </c>
      <c r="BW868" s="1">
        <v>0.39200000000000002</v>
      </c>
      <c r="CB868" s="1">
        <v>5.23</v>
      </c>
    </row>
    <row r="869" spans="1:110" x14ac:dyDescent="0.2">
      <c r="A869" s="1" t="s">
        <v>5131</v>
      </c>
      <c r="B869" s="1" t="s">
        <v>55</v>
      </c>
      <c r="C869" s="1" t="s">
        <v>5088</v>
      </c>
      <c r="D869" s="1" t="s">
        <v>2</v>
      </c>
      <c r="E869" s="1">
        <v>23</v>
      </c>
      <c r="F869" s="1" t="s">
        <v>5012</v>
      </c>
      <c r="G869" s="1" t="s">
        <v>5089</v>
      </c>
      <c r="H869" s="1" t="s">
        <v>5090</v>
      </c>
      <c r="I869" s="1" t="s">
        <v>7</v>
      </c>
      <c r="J869" s="1" t="s">
        <v>5132</v>
      </c>
      <c r="K869" s="1" t="s">
        <v>5015</v>
      </c>
      <c r="L869" s="1" t="s">
        <v>5014</v>
      </c>
      <c r="P869" s="1" t="s">
        <v>1670</v>
      </c>
      <c r="Q869" s="1">
        <v>2011</v>
      </c>
      <c r="R869" s="1" t="s">
        <v>5092</v>
      </c>
      <c r="S869" s="1" t="s">
        <v>27</v>
      </c>
      <c r="T869" s="38">
        <v>1</v>
      </c>
      <c r="AH869" s="1">
        <v>11.6</v>
      </c>
      <c r="AK869" s="1">
        <v>1.9464059719468001</v>
      </c>
      <c r="AL869" s="1">
        <v>5.2606024664779296</v>
      </c>
      <c r="AM869" s="1">
        <v>2.5090326904801499</v>
      </c>
      <c r="AN869" s="1">
        <v>0.93549803454126901</v>
      </c>
      <c r="AO869" s="1">
        <v>2.8260836553856299E-2</v>
      </c>
    </row>
    <row r="870" spans="1:110" x14ac:dyDescent="0.2">
      <c r="A870" s="1" t="s">
        <v>5133</v>
      </c>
      <c r="B870" s="1" t="s">
        <v>55</v>
      </c>
      <c r="C870" s="1" t="s">
        <v>5088</v>
      </c>
      <c r="D870" s="1" t="s">
        <v>2</v>
      </c>
      <c r="E870" s="1">
        <v>23</v>
      </c>
      <c r="F870" s="1" t="s">
        <v>5012</v>
      </c>
      <c r="G870" s="1" t="s">
        <v>5089</v>
      </c>
      <c r="H870" s="1" t="s">
        <v>5090</v>
      </c>
      <c r="I870" s="1" t="s">
        <v>7</v>
      </c>
      <c r="J870" s="1" t="s">
        <v>5132</v>
      </c>
      <c r="K870" s="1" t="s">
        <v>5015</v>
      </c>
      <c r="L870" s="1" t="s">
        <v>5014</v>
      </c>
      <c r="P870" s="1" t="s">
        <v>1670</v>
      </c>
      <c r="Q870" s="1">
        <v>2011</v>
      </c>
      <c r="R870" s="1" t="s">
        <v>5092</v>
      </c>
      <c r="S870" s="1" t="s">
        <v>27</v>
      </c>
      <c r="T870" s="38">
        <v>1</v>
      </c>
      <c r="AH870" s="1">
        <v>15.4</v>
      </c>
      <c r="AK870" s="1">
        <v>2.5056640704452802</v>
      </c>
      <c r="AL870" s="1">
        <v>6.99430146542473</v>
      </c>
      <c r="AM870" s="1">
        <v>3.5678061845238398</v>
      </c>
      <c r="AN870" s="1">
        <v>1.1195510104178801</v>
      </c>
      <c r="AO870" s="1">
        <v>3.78772691882635E-2</v>
      </c>
    </row>
    <row r="871" spans="1:110" x14ac:dyDescent="0.2">
      <c r="A871" s="1" t="s">
        <v>5134</v>
      </c>
      <c r="B871" s="1" t="s">
        <v>55</v>
      </c>
      <c r="C871" s="1" t="s">
        <v>5088</v>
      </c>
      <c r="D871" s="1" t="s">
        <v>2</v>
      </c>
      <c r="E871" s="1">
        <v>23</v>
      </c>
      <c r="F871" s="1" t="s">
        <v>5012</v>
      </c>
      <c r="G871" s="1" t="s">
        <v>5089</v>
      </c>
      <c r="H871" s="1" t="s">
        <v>5090</v>
      </c>
      <c r="I871" s="1" t="s">
        <v>7</v>
      </c>
      <c r="J871" s="1" t="s">
        <v>5132</v>
      </c>
      <c r="K871" s="1" t="s">
        <v>5015</v>
      </c>
      <c r="L871" s="1" t="s">
        <v>5014</v>
      </c>
      <c r="P871" s="1" t="s">
        <v>1670</v>
      </c>
      <c r="Q871" s="1">
        <v>2011</v>
      </c>
      <c r="R871" s="1" t="s">
        <v>5092</v>
      </c>
      <c r="S871" s="1" t="s">
        <v>27</v>
      </c>
      <c r="T871" s="38">
        <v>1</v>
      </c>
      <c r="AH871" s="1">
        <v>8.6999999999999993</v>
      </c>
      <c r="AK871" s="1">
        <v>1.4412888491028599</v>
      </c>
      <c r="AL871" s="1">
        <v>3.9573944862748101</v>
      </c>
      <c r="AM871" s="1">
        <v>1.84827497115055</v>
      </c>
      <c r="AN871" s="1">
        <v>0.70404566976911098</v>
      </c>
      <c r="AO871" s="1">
        <v>2.30960237026685E-2</v>
      </c>
    </row>
    <row r="872" spans="1:110" x14ac:dyDescent="0.2">
      <c r="A872" s="1" t="s">
        <v>5135</v>
      </c>
      <c r="B872" s="1" t="s">
        <v>55</v>
      </c>
      <c r="C872" s="1" t="s">
        <v>5088</v>
      </c>
      <c r="D872" s="1" t="s">
        <v>2</v>
      </c>
      <c r="E872" s="1">
        <v>23</v>
      </c>
      <c r="F872" s="1" t="s">
        <v>5012</v>
      </c>
      <c r="G872" s="1" t="s">
        <v>5089</v>
      </c>
      <c r="H872" s="1" t="s">
        <v>5090</v>
      </c>
      <c r="I872" s="1" t="s">
        <v>7</v>
      </c>
      <c r="J872" s="1" t="s">
        <v>5132</v>
      </c>
      <c r="K872" s="1" t="s">
        <v>5015</v>
      </c>
      <c r="L872" s="1" t="s">
        <v>5014</v>
      </c>
      <c r="P872" s="1" t="s">
        <v>1670</v>
      </c>
      <c r="Q872" s="1">
        <v>2011</v>
      </c>
      <c r="R872" s="1" t="s">
        <v>5092</v>
      </c>
      <c r="S872" s="1" t="s">
        <v>27</v>
      </c>
      <c r="T872" s="38">
        <v>1</v>
      </c>
      <c r="AH872" s="1">
        <v>13.9</v>
      </c>
      <c r="AK872" s="1">
        <v>2.3120390538451301</v>
      </c>
      <c r="AL872" s="1">
        <v>6.2651563668271004</v>
      </c>
      <c r="AM872" s="1">
        <v>3.3239222234294101</v>
      </c>
      <c r="AN872" s="1">
        <v>0.89210874529956696</v>
      </c>
      <c r="AO872" s="1">
        <v>3.2473610598795999E-2</v>
      </c>
    </row>
    <row r="873" spans="1:110" x14ac:dyDescent="0.2">
      <c r="A873" s="1" t="s">
        <v>5136</v>
      </c>
      <c r="B873" s="1" t="s">
        <v>55</v>
      </c>
      <c r="C873" s="1" t="s">
        <v>5088</v>
      </c>
      <c r="D873" s="1" t="s">
        <v>2</v>
      </c>
      <c r="E873" s="1">
        <v>23</v>
      </c>
      <c r="F873" s="1" t="s">
        <v>1273</v>
      </c>
      <c r="G873" s="1" t="s">
        <v>5094</v>
      </c>
      <c r="H873" s="1" t="s">
        <v>5095</v>
      </c>
      <c r="I873" s="1" t="s">
        <v>7</v>
      </c>
      <c r="J873" s="1" t="s">
        <v>5096</v>
      </c>
      <c r="K873" s="1" t="s">
        <v>1276</v>
      </c>
      <c r="L873" s="1" t="s">
        <v>1275</v>
      </c>
      <c r="P873" s="1" t="s">
        <v>1670</v>
      </c>
      <c r="Q873" s="1">
        <v>2011</v>
      </c>
      <c r="R873" s="1" t="s">
        <v>5092</v>
      </c>
      <c r="S873" s="1" t="s">
        <v>27</v>
      </c>
      <c r="T873" s="38">
        <v>1</v>
      </c>
      <c r="AH873" s="1">
        <v>8.3000000000000007</v>
      </c>
      <c r="AK873" s="1">
        <v>1.4342567324947</v>
      </c>
      <c r="AL873" s="1">
        <v>3.5229601462404898</v>
      </c>
      <c r="AM873" s="1">
        <v>2.0082907040640001</v>
      </c>
      <c r="AN873" s="1">
        <v>0.61397831654413604</v>
      </c>
      <c r="AO873" s="1">
        <v>2.14141006566817E-2</v>
      </c>
    </row>
    <row r="874" spans="1:110" x14ac:dyDescent="0.2">
      <c r="A874" s="1" t="s">
        <v>5137</v>
      </c>
      <c r="B874" s="1" t="s">
        <v>55</v>
      </c>
      <c r="C874" s="1" t="s">
        <v>5088</v>
      </c>
      <c r="D874" s="1" t="s">
        <v>2</v>
      </c>
      <c r="E874" s="1">
        <v>23</v>
      </c>
      <c r="F874" s="1" t="s">
        <v>1273</v>
      </c>
      <c r="G874" s="1" t="s">
        <v>5094</v>
      </c>
      <c r="H874" s="1" t="s">
        <v>5095</v>
      </c>
      <c r="I874" s="1" t="s">
        <v>7</v>
      </c>
      <c r="J874" s="1" t="s">
        <v>5096</v>
      </c>
      <c r="K874" s="1" t="s">
        <v>1276</v>
      </c>
      <c r="L874" s="1" t="s">
        <v>1275</v>
      </c>
      <c r="P874" s="1" t="s">
        <v>1670</v>
      </c>
      <c r="Q874" s="1">
        <v>2011</v>
      </c>
      <c r="R874" s="1" t="s">
        <v>5092</v>
      </c>
      <c r="S874" s="1" t="s">
        <v>27</v>
      </c>
      <c r="T874" s="38">
        <v>1</v>
      </c>
      <c r="AH874" s="1">
        <v>14.9</v>
      </c>
      <c r="AK874" s="1">
        <v>3.0112956050610702</v>
      </c>
      <c r="AL874" s="1">
        <v>6.5474023364034704</v>
      </c>
      <c r="AM874" s="1">
        <v>3.1600220597223099</v>
      </c>
      <c r="AN874" s="1">
        <v>0.99844569799735805</v>
      </c>
      <c r="AO874" s="1">
        <v>4.1534300815801901E-2</v>
      </c>
    </row>
    <row r="875" spans="1:110" x14ac:dyDescent="0.2">
      <c r="A875" s="1" t="s">
        <v>5138</v>
      </c>
      <c r="B875" s="1" t="s">
        <v>55</v>
      </c>
      <c r="C875" s="1" t="s">
        <v>5088</v>
      </c>
      <c r="D875" s="1" t="s">
        <v>2</v>
      </c>
      <c r="E875" s="1">
        <v>23</v>
      </c>
      <c r="F875" s="1" t="s">
        <v>1273</v>
      </c>
      <c r="G875" s="1" t="s">
        <v>5094</v>
      </c>
      <c r="H875" s="1" t="s">
        <v>5095</v>
      </c>
      <c r="I875" s="1" t="s">
        <v>7</v>
      </c>
      <c r="J875" s="1" t="s">
        <v>5096</v>
      </c>
      <c r="K875" s="1" t="s">
        <v>1276</v>
      </c>
      <c r="L875" s="1" t="s">
        <v>1275</v>
      </c>
      <c r="P875" s="1" t="s">
        <v>1670</v>
      </c>
      <c r="Q875" s="1">
        <v>2011</v>
      </c>
      <c r="R875" s="1" t="s">
        <v>5092</v>
      </c>
      <c r="S875" s="1" t="s">
        <v>27</v>
      </c>
      <c r="T875" s="38">
        <v>1</v>
      </c>
      <c r="AH875" s="1">
        <v>12</v>
      </c>
      <c r="AK875" s="1">
        <v>2.50363199538607</v>
      </c>
      <c r="AL875" s="1">
        <v>4.8078242939039901</v>
      </c>
      <c r="AM875" s="1">
        <v>2.79955051563977</v>
      </c>
      <c r="AN875" s="1">
        <v>0.90881098942272698</v>
      </c>
      <c r="AO875" s="1">
        <v>3.3182205647444001E-2</v>
      </c>
    </row>
    <row r="876" spans="1:110" x14ac:dyDescent="0.2">
      <c r="A876" s="1" t="s">
        <v>5139</v>
      </c>
      <c r="B876" s="1" t="s">
        <v>55</v>
      </c>
      <c r="C876" s="1" t="s">
        <v>5088</v>
      </c>
      <c r="D876" s="1" t="s">
        <v>2</v>
      </c>
      <c r="E876" s="1">
        <v>23</v>
      </c>
      <c r="F876" s="1" t="s">
        <v>1273</v>
      </c>
      <c r="G876" s="1" t="s">
        <v>5094</v>
      </c>
      <c r="H876" s="1" t="s">
        <v>5095</v>
      </c>
      <c r="I876" s="1" t="s">
        <v>7</v>
      </c>
      <c r="J876" s="1" t="s">
        <v>5096</v>
      </c>
      <c r="K876" s="1" t="s">
        <v>1276</v>
      </c>
      <c r="L876" s="1" t="s">
        <v>1275</v>
      </c>
      <c r="Q876" s="1">
        <v>2011</v>
      </c>
      <c r="R876" s="1" t="s">
        <v>5092</v>
      </c>
      <c r="S876" s="1" t="s">
        <v>27</v>
      </c>
      <c r="T876" s="38">
        <v>1</v>
      </c>
      <c r="BG876" s="1">
        <v>3</v>
      </c>
      <c r="CV876" s="1">
        <v>1.66</v>
      </c>
      <c r="DF876" s="1">
        <v>0.67</v>
      </c>
    </row>
    <row r="877" spans="1:110" x14ac:dyDescent="0.2">
      <c r="A877" s="1" t="s">
        <v>5140</v>
      </c>
      <c r="B877" s="1" t="s">
        <v>55</v>
      </c>
      <c r="C877" s="1" t="s">
        <v>5088</v>
      </c>
      <c r="D877" s="1" t="s">
        <v>2</v>
      </c>
      <c r="E877" s="1">
        <v>23</v>
      </c>
      <c r="F877" s="1" t="s">
        <v>1273</v>
      </c>
      <c r="G877" s="1" t="s">
        <v>5094</v>
      </c>
      <c r="H877" s="1" t="s">
        <v>5095</v>
      </c>
      <c r="I877" s="1" t="s">
        <v>7</v>
      </c>
      <c r="J877" s="1" t="s">
        <v>5096</v>
      </c>
      <c r="K877" s="1" t="s">
        <v>1276</v>
      </c>
      <c r="L877" s="1" t="s">
        <v>1275</v>
      </c>
      <c r="Q877" s="1">
        <v>2011</v>
      </c>
      <c r="R877" s="1" t="s">
        <v>5092</v>
      </c>
      <c r="S877" s="1" t="s">
        <v>27</v>
      </c>
      <c r="T877" s="38">
        <v>1</v>
      </c>
      <c r="BG877" s="1">
        <v>5</v>
      </c>
      <c r="CV877" s="1">
        <v>1.69</v>
      </c>
      <c r="DF877" s="1">
        <v>0.79</v>
      </c>
    </row>
    <row r="878" spans="1:110" x14ac:dyDescent="0.2">
      <c r="A878" s="1" t="s">
        <v>5141</v>
      </c>
      <c r="B878" s="1" t="s">
        <v>55</v>
      </c>
      <c r="C878" s="1" t="s">
        <v>5088</v>
      </c>
      <c r="D878" s="1" t="s">
        <v>2</v>
      </c>
      <c r="E878" s="1">
        <v>23</v>
      </c>
      <c r="F878" s="1" t="s">
        <v>5012</v>
      </c>
      <c r="G878" s="1" t="s">
        <v>5089</v>
      </c>
      <c r="H878" s="1" t="s">
        <v>5090</v>
      </c>
      <c r="I878" s="1" t="s">
        <v>7</v>
      </c>
      <c r="J878" s="1" t="s">
        <v>5132</v>
      </c>
      <c r="K878" s="1" t="s">
        <v>5015</v>
      </c>
      <c r="L878" s="1" t="s">
        <v>5014</v>
      </c>
      <c r="Q878" s="1">
        <v>2011</v>
      </c>
      <c r="R878" s="1" t="s">
        <v>5092</v>
      </c>
      <c r="S878" s="1" t="s">
        <v>27</v>
      </c>
      <c r="T878" s="38">
        <v>1</v>
      </c>
      <c r="CR878" s="1">
        <v>11.6</v>
      </c>
    </row>
    <row r="879" spans="1:110" x14ac:dyDescent="0.2">
      <c r="A879" s="1" t="s">
        <v>5142</v>
      </c>
      <c r="B879" s="1" t="s">
        <v>55</v>
      </c>
      <c r="C879" s="1" t="s">
        <v>5088</v>
      </c>
      <c r="D879" s="1" t="s">
        <v>2</v>
      </c>
      <c r="E879" s="1">
        <v>23</v>
      </c>
      <c r="F879" s="1" t="s">
        <v>1273</v>
      </c>
      <c r="G879" s="1" t="s">
        <v>5094</v>
      </c>
      <c r="H879" s="1" t="s">
        <v>5095</v>
      </c>
      <c r="I879" s="1" t="s">
        <v>7</v>
      </c>
      <c r="J879" s="1" t="s">
        <v>5096</v>
      </c>
      <c r="K879" s="1" t="s">
        <v>1276</v>
      </c>
      <c r="L879" s="1" t="s">
        <v>1275</v>
      </c>
      <c r="Q879" s="1">
        <v>2011</v>
      </c>
      <c r="R879" s="1" t="s">
        <v>5092</v>
      </c>
      <c r="S879" s="1" t="s">
        <v>27</v>
      </c>
      <c r="T879" s="38">
        <v>1</v>
      </c>
      <c r="CR879" s="1">
        <v>10.9</v>
      </c>
    </row>
    <row r="880" spans="1:110" x14ac:dyDescent="0.2">
      <c r="A880" s="1" t="s">
        <v>5143</v>
      </c>
      <c r="B880" s="1" t="s">
        <v>55</v>
      </c>
      <c r="C880" s="1" t="s">
        <v>5144</v>
      </c>
      <c r="E880" s="1">
        <v>11</v>
      </c>
      <c r="F880" s="1" t="s">
        <v>2131</v>
      </c>
      <c r="G880" s="1" t="s">
        <v>5145</v>
      </c>
      <c r="H880" s="1" t="s">
        <v>5146</v>
      </c>
      <c r="I880" s="1" t="s">
        <v>7</v>
      </c>
      <c r="J880" s="1" t="s">
        <v>2134</v>
      </c>
      <c r="K880" s="1" t="s">
        <v>2135</v>
      </c>
      <c r="L880" s="1" t="s">
        <v>2134</v>
      </c>
      <c r="M880" s="1" t="s">
        <v>5147</v>
      </c>
      <c r="N880" s="1" t="s">
        <v>5148</v>
      </c>
      <c r="P880" s="1" t="s">
        <v>5149</v>
      </c>
      <c r="Q880" s="1">
        <v>2002</v>
      </c>
      <c r="R880" s="1" t="s">
        <v>5150</v>
      </c>
      <c r="S880" s="1" t="s">
        <v>27</v>
      </c>
      <c r="T880" s="38">
        <v>1</v>
      </c>
      <c r="U880" s="1">
        <v>0.83</v>
      </c>
      <c r="Y880" s="1">
        <v>26.6</v>
      </c>
      <c r="CF880" s="1">
        <v>9</v>
      </c>
      <c r="CG880" s="1">
        <v>2</v>
      </c>
      <c r="CH880" s="1">
        <v>11</v>
      </c>
      <c r="CM880" s="1">
        <v>0</v>
      </c>
    </row>
    <row r="881" spans="1:117" x14ac:dyDescent="0.2">
      <c r="A881" s="1" t="s">
        <v>5151</v>
      </c>
      <c r="B881" s="1" t="s">
        <v>55</v>
      </c>
      <c r="C881" s="1" t="s">
        <v>5144</v>
      </c>
      <c r="E881" s="1">
        <v>11</v>
      </c>
      <c r="F881" s="1" t="s">
        <v>2123</v>
      </c>
      <c r="G881" s="1" t="s">
        <v>5152</v>
      </c>
      <c r="H881" s="1" t="s">
        <v>5153</v>
      </c>
      <c r="I881" s="1" t="s">
        <v>7</v>
      </c>
      <c r="J881" s="1" t="s">
        <v>2164</v>
      </c>
      <c r="K881" s="1" t="s">
        <v>2127</v>
      </c>
      <c r="L881" s="1" t="s">
        <v>2164</v>
      </c>
      <c r="M881" s="1" t="s">
        <v>5147</v>
      </c>
      <c r="N881" s="1" t="s">
        <v>5148</v>
      </c>
      <c r="P881" s="1" t="s">
        <v>5149</v>
      </c>
      <c r="Q881" s="1">
        <v>2002</v>
      </c>
      <c r="R881" s="1" t="s">
        <v>5150</v>
      </c>
      <c r="S881" s="1" t="s">
        <v>27</v>
      </c>
      <c r="T881" s="38">
        <v>1</v>
      </c>
      <c r="U881" s="1">
        <v>0.83</v>
      </c>
      <c r="CF881" s="1">
        <v>9</v>
      </c>
      <c r="CG881" s="1">
        <v>2</v>
      </c>
      <c r="CH881" s="1">
        <v>5</v>
      </c>
      <c r="CM881" s="1">
        <v>6</v>
      </c>
    </row>
    <row r="882" spans="1:117" x14ac:dyDescent="0.2">
      <c r="A882" s="15" t="s">
        <v>6509</v>
      </c>
      <c r="B882" s="1" t="s">
        <v>1911</v>
      </c>
      <c r="C882" s="1" t="s">
        <v>6176</v>
      </c>
      <c r="H882" s="1" t="s">
        <v>6361</v>
      </c>
      <c r="I882" s="1" t="s">
        <v>11</v>
      </c>
      <c r="M882" s="1" t="s">
        <v>6179</v>
      </c>
      <c r="P882" s="1" t="s">
        <v>6180</v>
      </c>
      <c r="Q882" s="1">
        <v>1989</v>
      </c>
      <c r="R882" s="1" t="s">
        <v>6181</v>
      </c>
      <c r="S882" s="1" t="s">
        <v>6182</v>
      </c>
      <c r="T882" s="17" t="str">
        <f>"1.1"</f>
        <v>1.1</v>
      </c>
      <c r="Z882" s="1">
        <v>51</v>
      </c>
      <c r="AY882" s="17">
        <v>3292</v>
      </c>
      <c r="BH882" s="1">
        <v>304</v>
      </c>
      <c r="BJ882" s="44">
        <v>259</v>
      </c>
      <c r="BM882" s="1">
        <v>578</v>
      </c>
      <c r="BP882" s="1">
        <v>553</v>
      </c>
    </row>
    <row r="883" spans="1:117" x14ac:dyDescent="0.2">
      <c r="A883" s="15" t="s">
        <v>6510</v>
      </c>
      <c r="B883" s="1" t="s">
        <v>55</v>
      </c>
      <c r="C883" s="1" t="s">
        <v>6176</v>
      </c>
      <c r="H883" s="1" t="s">
        <v>6362</v>
      </c>
      <c r="I883" s="1" t="s">
        <v>11</v>
      </c>
      <c r="J883" s="1" t="s">
        <v>6363</v>
      </c>
      <c r="M883" s="1" t="s">
        <v>6179</v>
      </c>
      <c r="P883" s="1" t="s">
        <v>6180</v>
      </c>
      <c r="Q883" s="1">
        <v>1989</v>
      </c>
      <c r="R883" s="1" t="s">
        <v>6181</v>
      </c>
      <c r="S883" s="1" t="s">
        <v>6182</v>
      </c>
      <c r="T883" s="17" t="str">
        <f t="shared" ref="T883:T903" si="6">"1.1"</f>
        <v>1.1</v>
      </c>
      <c r="Z883" s="1">
        <v>9</v>
      </c>
      <c r="AY883" s="17">
        <v>1565</v>
      </c>
      <c r="BD883" s="1">
        <v>0.1</v>
      </c>
      <c r="BH883" s="1">
        <v>1274</v>
      </c>
      <c r="BJ883" s="44">
        <v>172</v>
      </c>
      <c r="BK883" s="1">
        <v>1.23</v>
      </c>
      <c r="BM883" s="1">
        <v>364</v>
      </c>
      <c r="BP883" s="1">
        <v>1278</v>
      </c>
      <c r="BW883" s="1">
        <v>3.2</v>
      </c>
    </row>
    <row r="884" spans="1:117" x14ac:dyDescent="0.2">
      <c r="A884" s="15" t="s">
        <v>6511</v>
      </c>
      <c r="B884" s="1" t="s">
        <v>55</v>
      </c>
      <c r="C884" s="1" t="s">
        <v>6176</v>
      </c>
      <c r="H884" s="1" t="s">
        <v>6364</v>
      </c>
      <c r="I884" s="1" t="s">
        <v>11</v>
      </c>
      <c r="J884" s="1" t="s">
        <v>6363</v>
      </c>
      <c r="M884" s="1" t="s">
        <v>6179</v>
      </c>
      <c r="P884" s="1" t="s">
        <v>6180</v>
      </c>
      <c r="Q884" s="1">
        <v>1989</v>
      </c>
      <c r="R884" s="1" t="s">
        <v>6181</v>
      </c>
      <c r="S884" s="1" t="s">
        <v>6182</v>
      </c>
      <c r="T884" s="17" t="str">
        <f t="shared" si="6"/>
        <v>1.1</v>
      </c>
      <c r="Z884" s="1">
        <v>6</v>
      </c>
      <c r="AY884" s="17">
        <v>1664</v>
      </c>
      <c r="BD884" s="1">
        <v>0.6</v>
      </c>
      <c r="BH884" s="1">
        <v>1184</v>
      </c>
      <c r="BJ884" s="44">
        <v>161</v>
      </c>
      <c r="BK884" s="1">
        <v>2.79</v>
      </c>
      <c r="BM884" s="1">
        <v>263</v>
      </c>
      <c r="BP884" s="1">
        <v>1369</v>
      </c>
      <c r="BW884" s="1">
        <v>3.7</v>
      </c>
    </row>
    <row r="885" spans="1:117" x14ac:dyDescent="0.2">
      <c r="A885" s="15" t="s">
        <v>6512</v>
      </c>
      <c r="B885" s="1" t="s">
        <v>55</v>
      </c>
      <c r="C885" s="1" t="s">
        <v>6176</v>
      </c>
      <c r="H885" s="1" t="s">
        <v>6365</v>
      </c>
      <c r="I885" s="1" t="s">
        <v>11</v>
      </c>
      <c r="J885" s="1" t="s">
        <v>1211</v>
      </c>
      <c r="M885" s="1" t="s">
        <v>6179</v>
      </c>
      <c r="P885" s="1" t="s">
        <v>6180</v>
      </c>
      <c r="Q885" s="1">
        <v>1989</v>
      </c>
      <c r="R885" s="1" t="s">
        <v>6181</v>
      </c>
      <c r="S885" s="1" t="s">
        <v>6182</v>
      </c>
      <c r="T885" s="17" t="str">
        <f t="shared" si="6"/>
        <v>1.1</v>
      </c>
      <c r="Z885" s="1">
        <v>14</v>
      </c>
      <c r="AY885" s="17">
        <v>929</v>
      </c>
      <c r="BD885" s="1">
        <v>0.1</v>
      </c>
      <c r="BH885" s="1">
        <v>1273</v>
      </c>
      <c r="BJ885" s="44">
        <v>139</v>
      </c>
      <c r="BK885" s="1">
        <v>3.08</v>
      </c>
      <c r="BM885" s="1">
        <v>258</v>
      </c>
      <c r="BP885" s="1">
        <v>1016</v>
      </c>
      <c r="BW885" s="1">
        <v>5.8</v>
      </c>
    </row>
    <row r="886" spans="1:117" x14ac:dyDescent="0.2">
      <c r="A886" s="15" t="s">
        <v>6513</v>
      </c>
      <c r="B886" s="1" t="s">
        <v>55</v>
      </c>
      <c r="C886" s="1" t="s">
        <v>6176</v>
      </c>
      <c r="H886" s="1" t="s">
        <v>6366</v>
      </c>
      <c r="I886" s="1" t="s">
        <v>11</v>
      </c>
      <c r="J886" s="1" t="s">
        <v>1211</v>
      </c>
      <c r="M886" s="1" t="s">
        <v>6179</v>
      </c>
      <c r="P886" s="1" t="s">
        <v>6180</v>
      </c>
      <c r="Q886" s="1">
        <v>1989</v>
      </c>
      <c r="R886" s="1" t="s">
        <v>6181</v>
      </c>
      <c r="S886" s="1" t="s">
        <v>6182</v>
      </c>
      <c r="T886" s="17" t="str">
        <f t="shared" si="6"/>
        <v>1.1</v>
      </c>
      <c r="Z886" s="1">
        <v>17</v>
      </c>
      <c r="AY886" s="17">
        <v>1145</v>
      </c>
      <c r="BD886" s="1">
        <v>0.2</v>
      </c>
      <c r="BH886" s="1">
        <v>1328</v>
      </c>
      <c r="BJ886" s="44">
        <v>143</v>
      </c>
      <c r="BK886" s="1">
        <v>3.4</v>
      </c>
      <c r="BM886" s="1">
        <v>340</v>
      </c>
      <c r="BP886" s="1">
        <v>1345</v>
      </c>
      <c r="BW886" s="1">
        <v>5.5</v>
      </c>
    </row>
    <row r="887" spans="1:117" x14ac:dyDescent="0.2">
      <c r="A887" s="15" t="s">
        <v>6514</v>
      </c>
      <c r="B887" s="1" t="s">
        <v>55</v>
      </c>
      <c r="C887" s="1" t="s">
        <v>6176</v>
      </c>
      <c r="H887" s="1" t="s">
        <v>6367</v>
      </c>
      <c r="I887" s="1" t="s">
        <v>11</v>
      </c>
      <c r="J887" s="1" t="s">
        <v>6368</v>
      </c>
      <c r="M887" s="1" t="s">
        <v>6179</v>
      </c>
      <c r="P887" s="1" t="s">
        <v>6180</v>
      </c>
      <c r="Q887" s="1">
        <v>1989</v>
      </c>
      <c r="R887" s="1" t="s">
        <v>6181</v>
      </c>
      <c r="S887" s="1" t="s">
        <v>6182</v>
      </c>
      <c r="T887" s="17" t="str">
        <f t="shared" si="6"/>
        <v>1.1</v>
      </c>
      <c r="Z887" s="1">
        <v>8</v>
      </c>
      <c r="AY887" s="17">
        <v>2263</v>
      </c>
      <c r="BD887" s="1">
        <v>0.3</v>
      </c>
      <c r="BH887" s="1">
        <v>1205</v>
      </c>
      <c r="BJ887" s="44">
        <v>172</v>
      </c>
      <c r="BK887" s="1">
        <v>2.4900000000000002</v>
      </c>
      <c r="BM887" s="1">
        <v>359</v>
      </c>
      <c r="BP887" s="1">
        <v>1702</v>
      </c>
      <c r="BW887" s="1">
        <v>11.6</v>
      </c>
    </row>
    <row r="888" spans="1:117" x14ac:dyDescent="0.2">
      <c r="A888" s="15" t="s">
        <v>6515</v>
      </c>
      <c r="B888" s="1" t="s">
        <v>55</v>
      </c>
      <c r="C888" s="1" t="s">
        <v>6176</v>
      </c>
      <c r="H888" s="1" t="s">
        <v>6369</v>
      </c>
      <c r="I888" s="1" t="s">
        <v>11</v>
      </c>
      <c r="J888" s="1" t="s">
        <v>6370</v>
      </c>
      <c r="M888" s="1" t="s">
        <v>6179</v>
      </c>
      <c r="P888" s="1" t="s">
        <v>6180</v>
      </c>
      <c r="Q888" s="1">
        <v>1989</v>
      </c>
      <c r="R888" s="1" t="s">
        <v>6181</v>
      </c>
      <c r="S888" s="1" t="s">
        <v>6182</v>
      </c>
      <c r="T888" s="17" t="str">
        <f t="shared" si="6"/>
        <v>1.1</v>
      </c>
      <c r="Z888" s="1">
        <v>13</v>
      </c>
      <c r="AY888" s="17">
        <v>1453</v>
      </c>
      <c r="BD888" s="1">
        <v>0.4</v>
      </c>
      <c r="BH888" s="1">
        <v>1235</v>
      </c>
      <c r="BJ888" s="44">
        <v>155</v>
      </c>
      <c r="BK888" s="1">
        <v>0.97</v>
      </c>
      <c r="BM888" s="1">
        <v>235</v>
      </c>
      <c r="BP888" s="1">
        <v>1630</v>
      </c>
      <c r="BW888" s="1">
        <v>25.4</v>
      </c>
    </row>
    <row r="889" spans="1:117" x14ac:dyDescent="0.2">
      <c r="A889" s="15" t="s">
        <v>6607</v>
      </c>
      <c r="B889" s="1" t="s">
        <v>55</v>
      </c>
      <c r="C889" s="1" t="s">
        <v>6524</v>
      </c>
      <c r="D889" s="1" t="s">
        <v>2</v>
      </c>
      <c r="E889" s="1">
        <v>11</v>
      </c>
      <c r="F889" s="1" t="s">
        <v>2138</v>
      </c>
      <c r="G889" s="1" t="s">
        <v>2142</v>
      </c>
      <c r="H889" s="1" t="s">
        <v>6541</v>
      </c>
      <c r="I889" s="1" t="s">
        <v>7</v>
      </c>
      <c r="J889" s="1" t="s">
        <v>2141</v>
      </c>
      <c r="K889" s="19" t="s">
        <v>2142</v>
      </c>
      <c r="L889" s="1" t="s">
        <v>2141</v>
      </c>
      <c r="M889" s="1" t="s">
        <v>6563</v>
      </c>
      <c r="N889" s="1" t="s">
        <v>6568</v>
      </c>
      <c r="Q889" s="1">
        <v>2015</v>
      </c>
      <c r="R889" s="1" t="str">
        <f>"fi367"</f>
        <v>fi367</v>
      </c>
      <c r="S889" s="1" t="s">
        <v>27</v>
      </c>
      <c r="T889" s="17" t="str">
        <f t="shared" si="6"/>
        <v>1.1</v>
      </c>
      <c r="V889" s="1">
        <v>267</v>
      </c>
      <c r="Z889" s="1">
        <v>84.1</v>
      </c>
      <c r="AC889" s="1">
        <v>14.9</v>
      </c>
      <c r="AH889" s="1">
        <v>0.7</v>
      </c>
      <c r="AV889" s="1">
        <v>1</v>
      </c>
      <c r="AY889" s="1">
        <v>210</v>
      </c>
      <c r="BD889" s="1">
        <v>2.9000000000000001E-2</v>
      </c>
      <c r="BF889" s="1">
        <v>0.83</v>
      </c>
      <c r="BG889" s="17">
        <v>18</v>
      </c>
      <c r="BH889" s="17">
        <v>310</v>
      </c>
      <c r="BI889" s="17"/>
      <c r="BJ889" s="1">
        <v>28</v>
      </c>
      <c r="BK889" s="1">
        <v>7.0000000000000007E-2</v>
      </c>
      <c r="BM889" s="1">
        <v>74</v>
      </c>
      <c r="BP889" s="1">
        <v>260</v>
      </c>
      <c r="BR889" s="1">
        <v>170</v>
      </c>
      <c r="BS889" s="1">
        <v>27</v>
      </c>
      <c r="BW889" s="1">
        <v>1.1000000000000001</v>
      </c>
      <c r="CF889" s="17">
        <v>9</v>
      </c>
      <c r="CI889" s="18"/>
      <c r="CJ889" s="17">
        <v>15</v>
      </c>
      <c r="CM889" s="17" t="s">
        <v>17</v>
      </c>
      <c r="CN889" s="17"/>
      <c r="CO889" s="17"/>
      <c r="CP889" s="17"/>
      <c r="CQ889" s="17">
        <v>0.39</v>
      </c>
      <c r="CR889" s="1">
        <v>0.61599999999999999</v>
      </c>
      <c r="CV889" s="1" t="s">
        <v>17</v>
      </c>
      <c r="DK889" s="17" t="s">
        <v>17</v>
      </c>
      <c r="DL889" s="17"/>
      <c r="DM889" s="1">
        <v>5.57</v>
      </c>
    </row>
    <row r="890" spans="1:117" x14ac:dyDescent="0.2">
      <c r="A890" s="15" t="s">
        <v>6608</v>
      </c>
      <c r="B890" s="1" t="s">
        <v>55</v>
      </c>
      <c r="C890" s="1" t="s">
        <v>6524</v>
      </c>
      <c r="D890" s="1" t="s">
        <v>2</v>
      </c>
      <c r="E890" s="1">
        <v>11</v>
      </c>
      <c r="F890" s="1" t="s">
        <v>2131</v>
      </c>
      <c r="G890" s="1" t="s">
        <v>5145</v>
      </c>
      <c r="H890" s="1" t="s">
        <v>6542</v>
      </c>
      <c r="I890" s="1" t="s">
        <v>7</v>
      </c>
      <c r="J890" s="1" t="s">
        <v>2134</v>
      </c>
      <c r="K890" s="19" t="s">
        <v>2135</v>
      </c>
      <c r="L890" s="1" t="s">
        <v>2134</v>
      </c>
      <c r="M890" s="1" t="s">
        <v>6563</v>
      </c>
      <c r="N890" s="1" t="s">
        <v>6568</v>
      </c>
      <c r="Q890" s="1">
        <v>2015</v>
      </c>
      <c r="R890" s="1" t="str">
        <f t="shared" ref="R890:R899" si="7">"fi367"</f>
        <v>fi367</v>
      </c>
      <c r="S890" s="1" t="s">
        <v>27</v>
      </c>
      <c r="T890" s="17" t="str">
        <f t="shared" si="6"/>
        <v>1.1</v>
      </c>
      <c r="V890" s="1">
        <v>363</v>
      </c>
      <c r="Z890" s="1">
        <v>78.900000000000006</v>
      </c>
      <c r="AC890" s="1">
        <v>18.899999999999999</v>
      </c>
      <c r="AH890" s="1">
        <v>1.1000000000000001</v>
      </c>
      <c r="AV890" s="1">
        <v>1.1000000000000001</v>
      </c>
      <c r="AY890" s="1">
        <v>960</v>
      </c>
      <c r="BF890" s="1">
        <v>2.5</v>
      </c>
      <c r="BG890" s="17">
        <v>15</v>
      </c>
      <c r="BH890" s="17">
        <v>266</v>
      </c>
      <c r="BI890" s="17"/>
      <c r="BJ890" s="1">
        <v>39</v>
      </c>
      <c r="BM890" s="1">
        <v>71</v>
      </c>
      <c r="BS890" s="1">
        <v>19</v>
      </c>
      <c r="BW890" s="1">
        <v>1.5</v>
      </c>
      <c r="CF890" s="17">
        <v>9</v>
      </c>
      <c r="CI890" s="18"/>
      <c r="CJ890" s="17">
        <v>13</v>
      </c>
      <c r="CM890" s="18" t="s">
        <v>6582</v>
      </c>
      <c r="CN890" s="18"/>
      <c r="CO890" s="18"/>
      <c r="CP890" s="18"/>
      <c r="CQ890" s="17" t="s">
        <v>17</v>
      </c>
      <c r="CR890" s="1">
        <v>1.17</v>
      </c>
      <c r="CV890" s="1">
        <v>0.12</v>
      </c>
      <c r="DK890" s="17" t="s">
        <v>17</v>
      </c>
      <c r="DL890" s="17"/>
      <c r="DM890" s="1">
        <v>5.05</v>
      </c>
    </row>
    <row r="891" spans="1:117" x14ac:dyDescent="0.2">
      <c r="A891" s="15" t="s">
        <v>6609</v>
      </c>
      <c r="B891" s="1" t="s">
        <v>55</v>
      </c>
      <c r="C891" s="1" t="s">
        <v>6524</v>
      </c>
      <c r="D891" s="1" t="s">
        <v>2</v>
      </c>
      <c r="E891" s="1">
        <v>11</v>
      </c>
      <c r="F891" s="1" t="s">
        <v>2123</v>
      </c>
      <c r="G891" s="1" t="s">
        <v>5152</v>
      </c>
      <c r="H891" s="1" t="s">
        <v>6543</v>
      </c>
      <c r="I891" s="1" t="s">
        <v>7</v>
      </c>
      <c r="J891" s="1" t="s">
        <v>2164</v>
      </c>
      <c r="K891" s="19" t="s">
        <v>2127</v>
      </c>
      <c r="L891" s="1" t="s">
        <v>2164</v>
      </c>
      <c r="M891" s="1" t="s">
        <v>6563</v>
      </c>
      <c r="N891" s="1" t="s">
        <v>6569</v>
      </c>
      <c r="Q891" s="1">
        <v>2015</v>
      </c>
      <c r="R891" s="1" t="str">
        <f t="shared" si="7"/>
        <v>fi367</v>
      </c>
      <c r="S891" s="1" t="s">
        <v>27</v>
      </c>
      <c r="T891" s="17" t="str">
        <f t="shared" si="6"/>
        <v>1.1</v>
      </c>
      <c r="V891" s="1">
        <v>422</v>
      </c>
      <c r="Z891" s="1">
        <v>77.7</v>
      </c>
      <c r="AC891" s="1">
        <v>18.2</v>
      </c>
      <c r="AH891" s="1">
        <v>3</v>
      </c>
      <c r="AV891" s="1">
        <v>1</v>
      </c>
      <c r="AY891" s="1">
        <v>51</v>
      </c>
      <c r="BD891" s="1">
        <v>3.7999999999999999E-2</v>
      </c>
      <c r="BF891" s="1">
        <v>0.98</v>
      </c>
      <c r="BG891" s="17">
        <v>20</v>
      </c>
      <c r="BH891" s="17">
        <v>330</v>
      </c>
      <c r="BI891" s="17"/>
      <c r="BJ891" s="1">
        <v>28</v>
      </c>
      <c r="BK891" s="1">
        <v>5.0999999999999997E-2</v>
      </c>
      <c r="BM891" s="1">
        <v>61</v>
      </c>
      <c r="BP891" s="1">
        <v>210</v>
      </c>
      <c r="BR891" s="1">
        <v>200</v>
      </c>
      <c r="BS891" s="1">
        <v>29</v>
      </c>
      <c r="BW891" s="1">
        <v>1</v>
      </c>
      <c r="CF891" s="17"/>
      <c r="CI891" s="18"/>
      <c r="CJ891" s="17"/>
      <c r="DK891" s="17"/>
      <c r="DL891" s="17"/>
    </row>
    <row r="892" spans="1:117" x14ac:dyDescent="0.2">
      <c r="A892" s="15" t="s">
        <v>6610</v>
      </c>
      <c r="B892" s="1" t="s">
        <v>55</v>
      </c>
      <c r="C892" s="1" t="s">
        <v>6525</v>
      </c>
      <c r="D892" s="1" t="s">
        <v>2</v>
      </c>
      <c r="E892" s="1">
        <v>11</v>
      </c>
      <c r="F892" s="1" t="s">
        <v>1389</v>
      </c>
      <c r="G892" s="1" t="s">
        <v>6531</v>
      </c>
      <c r="H892" s="1" t="s">
        <v>6544</v>
      </c>
      <c r="I892" s="1" t="s">
        <v>7</v>
      </c>
      <c r="J892" s="1" t="s">
        <v>1392</v>
      </c>
      <c r="K892" s="19" t="s">
        <v>1393</v>
      </c>
      <c r="L892" s="1" t="s">
        <v>1392</v>
      </c>
      <c r="M892" s="1" t="s">
        <v>6563</v>
      </c>
      <c r="N892" s="1" t="s">
        <v>6570</v>
      </c>
      <c r="Q892" s="1">
        <v>2015</v>
      </c>
      <c r="R892" s="1" t="str">
        <f t="shared" si="7"/>
        <v>fi367</v>
      </c>
      <c r="S892" s="1" t="s">
        <v>27</v>
      </c>
      <c r="T892" s="17" t="str">
        <f t="shared" si="6"/>
        <v>1.1</v>
      </c>
      <c r="V892" s="1">
        <v>381</v>
      </c>
      <c r="Z892" s="1">
        <v>80</v>
      </c>
      <c r="AC892" s="1">
        <v>16.399999999999999</v>
      </c>
      <c r="AH892" s="1">
        <v>2.9</v>
      </c>
      <c r="AV892" s="1">
        <v>1</v>
      </c>
      <c r="AY892" s="1">
        <v>37</v>
      </c>
      <c r="BD892" s="1">
        <v>3.3000000000000002E-2</v>
      </c>
      <c r="BF892" s="1">
        <v>1.1000000000000001</v>
      </c>
      <c r="BG892" s="17">
        <v>13</v>
      </c>
      <c r="BH892" s="17">
        <v>300</v>
      </c>
      <c r="BI892" s="17"/>
      <c r="BJ892" s="1">
        <v>26</v>
      </c>
      <c r="BK892" s="1">
        <v>0.02</v>
      </c>
      <c r="BM892" s="1">
        <v>67</v>
      </c>
      <c r="BP892" s="1">
        <v>180</v>
      </c>
      <c r="BR892" s="1">
        <v>190</v>
      </c>
      <c r="BS892" s="1">
        <v>22</v>
      </c>
      <c r="BW892" s="1">
        <v>2.2000000000000002</v>
      </c>
      <c r="CF892" s="17"/>
      <c r="CI892" s="17"/>
      <c r="CJ892" s="17"/>
      <c r="DK892" s="17"/>
      <c r="DL892" s="17"/>
    </row>
    <row r="893" spans="1:117" x14ac:dyDescent="0.2">
      <c r="A893" s="15" t="s">
        <v>6611</v>
      </c>
      <c r="B893" s="1" t="s">
        <v>55</v>
      </c>
      <c r="C893" s="1" t="s">
        <v>6524</v>
      </c>
      <c r="D893" s="1" t="s">
        <v>2</v>
      </c>
      <c r="E893" s="1">
        <v>11</v>
      </c>
      <c r="F893" s="1" t="s">
        <v>2895</v>
      </c>
      <c r="G893" s="1" t="s">
        <v>6532</v>
      </c>
      <c r="H893" s="1" t="s">
        <v>6545</v>
      </c>
      <c r="I893" s="1" t="s">
        <v>7</v>
      </c>
      <c r="J893" s="1" t="s">
        <v>6554</v>
      </c>
      <c r="K893" s="19" t="s">
        <v>6560</v>
      </c>
      <c r="L893" s="1" t="s">
        <v>2897</v>
      </c>
      <c r="M893" s="1" t="s">
        <v>6563</v>
      </c>
      <c r="N893" s="1" t="s">
        <v>6570</v>
      </c>
      <c r="Q893" s="1">
        <v>2015</v>
      </c>
      <c r="R893" s="1" t="str">
        <f t="shared" si="7"/>
        <v>fi367</v>
      </c>
      <c r="S893" s="1" t="s">
        <v>27</v>
      </c>
      <c r="T893" s="17" t="str">
        <f t="shared" si="6"/>
        <v>1.1</v>
      </c>
      <c r="V893" s="1">
        <v>341</v>
      </c>
      <c r="Z893" s="1">
        <v>80.2</v>
      </c>
      <c r="AC893" s="1">
        <v>15.2</v>
      </c>
      <c r="AH893" s="1">
        <v>1.1000000000000001</v>
      </c>
      <c r="AV893" s="1">
        <v>1.1000000000000001</v>
      </c>
      <c r="AY893" s="1">
        <v>54</v>
      </c>
      <c r="BD893" s="1">
        <v>3.4000000000000002E-2</v>
      </c>
      <c r="BF893" s="1">
        <v>0.46</v>
      </c>
      <c r="BG893" s="17" t="s">
        <v>17</v>
      </c>
      <c r="BH893" s="17">
        <v>300</v>
      </c>
      <c r="BI893" s="17"/>
      <c r="BJ893" s="1">
        <v>27</v>
      </c>
      <c r="BK893" s="1">
        <v>1.7999999999999999E-2</v>
      </c>
      <c r="BM893" s="1">
        <v>73</v>
      </c>
      <c r="BP893" s="1">
        <v>190</v>
      </c>
      <c r="BR893" s="1">
        <v>170</v>
      </c>
      <c r="BS893" s="1">
        <v>31</v>
      </c>
      <c r="BW893" s="1">
        <v>0.91</v>
      </c>
      <c r="CF893" s="17"/>
      <c r="CI893" s="17"/>
      <c r="CJ893" s="17"/>
      <c r="DK893" s="17"/>
      <c r="DL893" s="17"/>
    </row>
    <row r="894" spans="1:117" x14ac:dyDescent="0.2">
      <c r="A894" s="15" t="s">
        <v>6612</v>
      </c>
      <c r="B894" s="1" t="s">
        <v>55</v>
      </c>
      <c r="C894" s="1" t="s">
        <v>6524</v>
      </c>
      <c r="D894" s="1" t="s">
        <v>2</v>
      </c>
      <c r="E894" s="1">
        <v>11</v>
      </c>
      <c r="F894" s="1" t="s">
        <v>1312</v>
      </c>
      <c r="G894" s="1" t="s">
        <v>6533</v>
      </c>
      <c r="H894" s="1" t="s">
        <v>6546</v>
      </c>
      <c r="I894" s="1" t="s">
        <v>7</v>
      </c>
      <c r="J894" s="1" t="s">
        <v>1314</v>
      </c>
      <c r="K894" s="19" t="s">
        <v>1315</v>
      </c>
      <c r="L894" s="1" t="s">
        <v>1314</v>
      </c>
      <c r="M894" s="1" t="s">
        <v>6563</v>
      </c>
      <c r="N894" s="1" t="s">
        <v>6571</v>
      </c>
      <c r="Q894" s="1">
        <v>2015</v>
      </c>
      <c r="R894" s="1" t="str">
        <f t="shared" si="7"/>
        <v>fi367</v>
      </c>
      <c r="S894" s="1" t="s">
        <v>27</v>
      </c>
      <c r="T894" s="17" t="str">
        <f t="shared" si="6"/>
        <v>1.1</v>
      </c>
      <c r="V894" s="1">
        <v>435</v>
      </c>
      <c r="Z894" s="1">
        <v>77.8</v>
      </c>
      <c r="AC894" s="1">
        <v>17.2</v>
      </c>
      <c r="AH894" s="1">
        <v>4.0999999999999996</v>
      </c>
      <c r="AV894" s="1">
        <v>1.5</v>
      </c>
      <c r="AY894" s="1">
        <v>903</v>
      </c>
      <c r="BF894" s="1">
        <v>4.4000000000000004</v>
      </c>
      <c r="BG894" s="17" t="s">
        <v>17</v>
      </c>
      <c r="BH894" s="17">
        <v>225</v>
      </c>
      <c r="BI894" s="17"/>
      <c r="BJ894" s="1">
        <v>34</v>
      </c>
      <c r="BM894" s="1">
        <v>96</v>
      </c>
      <c r="BS894" s="18" t="s">
        <v>62</v>
      </c>
      <c r="BT894" s="18"/>
      <c r="BW894" s="1">
        <v>1.4</v>
      </c>
      <c r="CF894" s="17" t="s">
        <v>17</v>
      </c>
      <c r="CI894" s="17"/>
      <c r="CJ894" s="17" t="s">
        <v>17</v>
      </c>
      <c r="CR894" s="1">
        <v>0.24</v>
      </c>
      <c r="CV894" s="1">
        <v>0.49</v>
      </c>
      <c r="DK894" s="17">
        <v>7.7</v>
      </c>
      <c r="DL894" s="17"/>
      <c r="DM894" s="1">
        <v>0.55000000000000004</v>
      </c>
    </row>
    <row r="895" spans="1:117" x14ac:dyDescent="0.2">
      <c r="A895" s="15" t="s">
        <v>6613</v>
      </c>
      <c r="B895" s="1" t="s">
        <v>55</v>
      </c>
      <c r="C895" s="1" t="s">
        <v>6524</v>
      </c>
      <c r="D895" s="1" t="s">
        <v>2</v>
      </c>
      <c r="E895" s="1">
        <v>13</v>
      </c>
      <c r="F895" s="1" t="s">
        <v>1265</v>
      </c>
      <c r="G895" s="1" t="s">
        <v>6534</v>
      </c>
      <c r="H895" s="1" t="s">
        <v>6547</v>
      </c>
      <c r="I895" s="1" t="s">
        <v>7</v>
      </c>
      <c r="J895" s="1" t="s">
        <v>6555</v>
      </c>
      <c r="K895" s="1" t="s">
        <v>1268</v>
      </c>
      <c r="L895" s="1" t="s">
        <v>1267</v>
      </c>
      <c r="M895" s="1" t="s">
        <v>6563</v>
      </c>
      <c r="N895" s="1" t="s">
        <v>6571</v>
      </c>
      <c r="Q895" s="1">
        <v>2015</v>
      </c>
      <c r="R895" s="1" t="str">
        <f t="shared" si="7"/>
        <v>fi367</v>
      </c>
      <c r="S895" s="1" t="s">
        <v>27</v>
      </c>
      <c r="T895" s="17" t="str">
        <f t="shared" si="6"/>
        <v>1.1</v>
      </c>
      <c r="V895" s="1">
        <v>925</v>
      </c>
      <c r="Z895" s="1">
        <v>65.5</v>
      </c>
      <c r="AC895" s="1">
        <v>16</v>
      </c>
      <c r="AH895" s="1">
        <v>17.7</v>
      </c>
      <c r="AV895" s="1">
        <v>0.9</v>
      </c>
      <c r="AY895" s="1">
        <v>8.6</v>
      </c>
      <c r="BD895" s="1">
        <v>2.3E-2</v>
      </c>
      <c r="BF895" s="1">
        <v>0.69</v>
      </c>
      <c r="BG895" s="17" t="s">
        <v>17</v>
      </c>
      <c r="BH895" s="17">
        <v>250</v>
      </c>
      <c r="BI895" s="17"/>
      <c r="BJ895" s="1">
        <v>21</v>
      </c>
      <c r="BK895" s="1">
        <v>0.01</v>
      </c>
      <c r="BM895" s="1">
        <v>47</v>
      </c>
      <c r="BP895" s="1">
        <v>150</v>
      </c>
      <c r="BR895" s="1">
        <v>220</v>
      </c>
      <c r="BS895" s="1">
        <v>19</v>
      </c>
      <c r="BW895" s="1">
        <v>0.65</v>
      </c>
      <c r="CF895" s="17" t="s">
        <v>17</v>
      </c>
      <c r="CI895" s="17"/>
      <c r="CJ895" s="17">
        <v>31</v>
      </c>
      <c r="CR895" s="1">
        <v>0.13</v>
      </c>
      <c r="CV895" s="1">
        <v>0.32</v>
      </c>
      <c r="DK895" s="17">
        <v>9</v>
      </c>
      <c r="DL895" s="17"/>
      <c r="DM895" s="1">
        <v>1.5</v>
      </c>
    </row>
    <row r="896" spans="1:117" x14ac:dyDescent="0.2">
      <c r="A896" s="15" t="s">
        <v>6614</v>
      </c>
      <c r="B896" s="1" t="s">
        <v>55</v>
      </c>
      <c r="C896" s="1" t="s">
        <v>6526</v>
      </c>
      <c r="D896" s="1" t="s">
        <v>2</v>
      </c>
      <c r="E896" s="1">
        <v>13</v>
      </c>
      <c r="F896" s="1" t="s">
        <v>1265</v>
      </c>
      <c r="G896" s="1" t="s">
        <v>6535</v>
      </c>
      <c r="H896" s="1" t="s">
        <v>6547</v>
      </c>
      <c r="I896" s="1" t="s">
        <v>7</v>
      </c>
      <c r="J896" s="1" t="s">
        <v>6556</v>
      </c>
      <c r="K896" s="1" t="s">
        <v>1268</v>
      </c>
      <c r="L896" s="1" t="s">
        <v>1267</v>
      </c>
      <c r="M896" s="1" t="s">
        <v>6563</v>
      </c>
      <c r="N896" s="1" t="s">
        <v>6572</v>
      </c>
      <c r="Q896" s="1">
        <v>2015</v>
      </c>
      <c r="R896" s="1" t="str">
        <f t="shared" si="7"/>
        <v>fi367</v>
      </c>
      <c r="S896" s="1" t="s">
        <v>27</v>
      </c>
      <c r="T896" s="17" t="str">
        <f t="shared" si="6"/>
        <v>1.1</v>
      </c>
      <c r="V896" s="1">
        <v>360</v>
      </c>
      <c r="Z896" s="1">
        <v>79.2</v>
      </c>
      <c r="AC896" s="1">
        <v>18.600000000000001</v>
      </c>
      <c r="AH896" s="1">
        <v>1.4</v>
      </c>
      <c r="AV896" s="1">
        <v>1.4</v>
      </c>
      <c r="AY896" s="1">
        <v>59</v>
      </c>
      <c r="BD896" s="1">
        <v>8.5999999999999993E-2</v>
      </c>
      <c r="BF896" s="1">
        <v>2.7</v>
      </c>
      <c r="BG896" s="17">
        <v>17</v>
      </c>
      <c r="BH896" s="17">
        <v>260</v>
      </c>
      <c r="BI896" s="17"/>
      <c r="BJ896" s="1">
        <v>21</v>
      </c>
      <c r="BK896" s="1">
        <v>9.1999999999999998E-2</v>
      </c>
      <c r="BM896" s="1">
        <v>81</v>
      </c>
      <c r="BP896" s="1">
        <v>160</v>
      </c>
      <c r="BR896" s="1">
        <v>170</v>
      </c>
      <c r="BS896" s="1">
        <v>11</v>
      </c>
      <c r="BW896" s="1">
        <v>1.1000000000000001</v>
      </c>
      <c r="CF896" s="17" t="s">
        <v>17</v>
      </c>
      <c r="CI896" s="17"/>
      <c r="CJ896" s="17">
        <v>12</v>
      </c>
      <c r="CR896" s="1">
        <v>0.12</v>
      </c>
      <c r="CV896" s="1">
        <v>0.1</v>
      </c>
      <c r="DK896" s="17">
        <v>15</v>
      </c>
      <c r="DL896" s="17"/>
      <c r="DM896" s="1">
        <v>14</v>
      </c>
    </row>
    <row r="897" spans="1:154" x14ac:dyDescent="0.2">
      <c r="A897" s="15" t="s">
        <v>6615</v>
      </c>
      <c r="B897" s="1" t="s">
        <v>55</v>
      </c>
      <c r="C897" s="1" t="s">
        <v>6524</v>
      </c>
      <c r="D897" s="1" t="s">
        <v>2</v>
      </c>
      <c r="E897" s="1">
        <v>11</v>
      </c>
      <c r="F897" s="1" t="s">
        <v>6530</v>
      </c>
      <c r="G897" s="1" t="s">
        <v>6536</v>
      </c>
      <c r="H897" s="1" t="s">
        <v>6548</v>
      </c>
      <c r="I897" s="1" t="s">
        <v>7</v>
      </c>
      <c r="J897" s="1" t="s">
        <v>6557</v>
      </c>
      <c r="K897" s="19" t="s">
        <v>6561</v>
      </c>
      <c r="L897" s="1" t="s">
        <v>6557</v>
      </c>
      <c r="M897" s="1" t="s">
        <v>6563</v>
      </c>
      <c r="N897" s="1" t="s">
        <v>6570</v>
      </c>
      <c r="Q897" s="1">
        <v>2015</v>
      </c>
      <c r="R897" s="1" t="str">
        <f t="shared" si="7"/>
        <v>fi367</v>
      </c>
      <c r="S897" s="1" t="s">
        <v>27</v>
      </c>
      <c r="T897" s="17" t="str">
        <f t="shared" si="6"/>
        <v>1.1</v>
      </c>
      <c r="V897" s="1">
        <v>466</v>
      </c>
      <c r="Z897" s="1">
        <v>76.2</v>
      </c>
      <c r="AC897" s="1">
        <v>18.399999999999999</v>
      </c>
      <c r="AH897" s="1">
        <v>4.4000000000000004</v>
      </c>
      <c r="AV897" s="1">
        <v>1.6</v>
      </c>
      <c r="AY897" s="1">
        <v>270</v>
      </c>
      <c r="BD897" s="1">
        <v>3.5999999999999997E-2</v>
      </c>
      <c r="BF897" s="1">
        <v>1.6</v>
      </c>
      <c r="BG897" s="17">
        <v>38</v>
      </c>
      <c r="BH897" s="17">
        <v>240</v>
      </c>
      <c r="BI897" s="17"/>
      <c r="BJ897" s="1">
        <v>29</v>
      </c>
      <c r="BK897" s="1">
        <v>7.2999999999999995E-2</v>
      </c>
      <c r="BM897" s="1">
        <v>72</v>
      </c>
      <c r="BP897" s="1">
        <v>280</v>
      </c>
      <c r="BR897" s="1">
        <v>250</v>
      </c>
      <c r="BS897" s="1">
        <v>22</v>
      </c>
      <c r="BW897" s="1">
        <v>1.8</v>
      </c>
      <c r="CF897" s="17">
        <v>12</v>
      </c>
      <c r="CI897" s="17"/>
      <c r="CJ897" s="17">
        <v>12</v>
      </c>
      <c r="CR897" s="1">
        <v>23</v>
      </c>
      <c r="CV897" s="1">
        <v>0.32</v>
      </c>
      <c r="DK897" s="17">
        <v>2.2000000000000002</v>
      </c>
      <c r="DL897" s="17"/>
      <c r="DM897" s="1">
        <v>2.2000000000000002</v>
      </c>
    </row>
    <row r="898" spans="1:154" x14ac:dyDescent="0.2">
      <c r="A898" s="15" t="s">
        <v>6616</v>
      </c>
      <c r="B898" s="1" t="s">
        <v>55</v>
      </c>
      <c r="C898" s="1" t="s">
        <v>6524</v>
      </c>
      <c r="D898" s="1" t="s">
        <v>2</v>
      </c>
      <c r="E898" s="1">
        <v>12</v>
      </c>
      <c r="F898" s="1" t="s">
        <v>1373</v>
      </c>
      <c r="G898" s="1" t="s">
        <v>2516</v>
      </c>
      <c r="H898" s="1" t="s">
        <v>6549</v>
      </c>
      <c r="I898" s="1" t="s">
        <v>7</v>
      </c>
      <c r="J898" s="1" t="s">
        <v>1375</v>
      </c>
      <c r="K898" s="19" t="s">
        <v>1376</v>
      </c>
      <c r="L898" s="1" t="s">
        <v>1375</v>
      </c>
      <c r="M898" s="1" t="s">
        <v>6563</v>
      </c>
      <c r="N898" s="1" t="s">
        <v>6568</v>
      </c>
      <c r="Q898" s="1">
        <v>2015</v>
      </c>
      <c r="R898" s="1" t="str">
        <f t="shared" si="7"/>
        <v>fi367</v>
      </c>
      <c r="S898" s="1" t="s">
        <v>27</v>
      </c>
      <c r="T898" s="17" t="str">
        <f t="shared" si="6"/>
        <v>1.1</v>
      </c>
      <c r="V898" s="1">
        <v>390</v>
      </c>
      <c r="Z898" s="1">
        <v>77.599999999999994</v>
      </c>
      <c r="AC898" s="1">
        <v>19.5</v>
      </c>
      <c r="AH898" s="1">
        <v>2</v>
      </c>
      <c r="AV898" s="1">
        <v>1.8</v>
      </c>
      <c r="AY898" s="1">
        <v>95</v>
      </c>
      <c r="BD898" s="1">
        <v>3.1E-2</v>
      </c>
      <c r="BF898" s="1">
        <v>1.1000000000000001</v>
      </c>
      <c r="BG898" s="17">
        <v>11</v>
      </c>
      <c r="BH898" s="17">
        <v>280</v>
      </c>
      <c r="BI898" s="17"/>
      <c r="BJ898" s="1">
        <v>26</v>
      </c>
      <c r="BK898" s="1">
        <v>5.1999999999999998E-2</v>
      </c>
      <c r="BM898" s="1">
        <v>81</v>
      </c>
      <c r="BP898" s="1">
        <v>190</v>
      </c>
      <c r="BR898" s="1">
        <v>240</v>
      </c>
      <c r="BS898" s="1">
        <v>26</v>
      </c>
      <c r="BW898" s="1">
        <v>1.2</v>
      </c>
      <c r="CF898" s="17">
        <v>10</v>
      </c>
      <c r="CI898" s="17"/>
      <c r="CJ898" s="17">
        <v>10</v>
      </c>
      <c r="CR898" s="1">
        <v>6.3</v>
      </c>
      <c r="CV898" s="1">
        <v>0.4</v>
      </c>
      <c r="DK898" s="17">
        <v>7.6</v>
      </c>
      <c r="DL898" s="17"/>
      <c r="DM898" s="1">
        <v>0.7</v>
      </c>
    </row>
    <row r="899" spans="1:154" x14ac:dyDescent="0.2">
      <c r="A899" s="15" t="s">
        <v>6617</v>
      </c>
      <c r="B899" s="1" t="s">
        <v>55</v>
      </c>
      <c r="C899" s="1" t="s">
        <v>6524</v>
      </c>
      <c r="D899" s="1" t="s">
        <v>2</v>
      </c>
      <c r="E899" s="1">
        <v>12</v>
      </c>
      <c r="F899" s="1" t="s">
        <v>1373</v>
      </c>
      <c r="G899" s="1" t="s">
        <v>6537</v>
      </c>
      <c r="H899" s="1" t="s">
        <v>6549</v>
      </c>
      <c r="I899" s="1" t="s">
        <v>7</v>
      </c>
      <c r="J899" s="1" t="s">
        <v>6558</v>
      </c>
      <c r="K899" s="19" t="s">
        <v>1376</v>
      </c>
      <c r="L899" s="1" t="s">
        <v>1375</v>
      </c>
      <c r="M899" s="1" t="s">
        <v>6563</v>
      </c>
      <c r="N899" s="1" t="s">
        <v>6568</v>
      </c>
      <c r="Q899" s="1">
        <v>2015</v>
      </c>
      <c r="R899" s="1" t="str">
        <f t="shared" si="7"/>
        <v>fi367</v>
      </c>
      <c r="S899" s="1" t="s">
        <v>27</v>
      </c>
      <c r="T899" s="17" t="str">
        <f t="shared" si="6"/>
        <v>1.1</v>
      </c>
      <c r="V899" s="1">
        <v>412</v>
      </c>
      <c r="Z899" s="1">
        <v>77.5</v>
      </c>
      <c r="AC899" s="1">
        <v>19</v>
      </c>
      <c r="AH899" s="1">
        <v>2.6</v>
      </c>
      <c r="AV899" s="1">
        <v>1.3</v>
      </c>
      <c r="AY899" s="1">
        <v>120</v>
      </c>
      <c r="BD899" s="1">
        <v>4.1000000000000002E-2</v>
      </c>
      <c r="BF899" s="1">
        <v>1.6</v>
      </c>
      <c r="BG899" s="17" t="s">
        <v>17</v>
      </c>
      <c r="BH899" s="17">
        <v>320</v>
      </c>
      <c r="BI899" s="17"/>
      <c r="BJ899" s="1">
        <v>26</v>
      </c>
      <c r="BK899" s="1">
        <v>0.13</v>
      </c>
      <c r="BM899" s="1">
        <v>52</v>
      </c>
      <c r="BP899" s="1">
        <v>220</v>
      </c>
      <c r="BR899" s="1">
        <v>270</v>
      </c>
      <c r="BS899" s="1">
        <v>52</v>
      </c>
      <c r="BW899" s="1">
        <v>1.4</v>
      </c>
      <c r="CF899" s="17">
        <v>10</v>
      </c>
      <c r="CI899" s="17"/>
      <c r="CJ899" s="17">
        <v>21</v>
      </c>
      <c r="CR899" s="1">
        <v>34</v>
      </c>
      <c r="CV899" s="1">
        <v>1.5</v>
      </c>
      <c r="DK899" s="17">
        <v>8</v>
      </c>
      <c r="DL899" s="17"/>
      <c r="DM899" s="1">
        <v>2.5</v>
      </c>
    </row>
    <row r="900" spans="1:154" x14ac:dyDescent="0.2">
      <c r="A900" s="15" t="s">
        <v>6618</v>
      </c>
      <c r="B900" s="1" t="s">
        <v>55</v>
      </c>
      <c r="C900" s="1" t="s">
        <v>6527</v>
      </c>
      <c r="D900" s="1" t="s">
        <v>2</v>
      </c>
      <c r="E900" s="1">
        <v>31</v>
      </c>
      <c r="F900" s="1" t="s">
        <v>2189</v>
      </c>
      <c r="G900" s="1" t="s">
        <v>6538</v>
      </c>
      <c r="H900" s="1" t="s">
        <v>6550</v>
      </c>
      <c r="I900" s="1" t="s">
        <v>7</v>
      </c>
      <c r="J900" s="1" t="s">
        <v>6559</v>
      </c>
      <c r="K900" s="19" t="s">
        <v>6562</v>
      </c>
      <c r="L900" s="1" t="s">
        <v>6559</v>
      </c>
      <c r="M900" s="1" t="s">
        <v>6564</v>
      </c>
      <c r="N900" s="1" t="s">
        <v>6573</v>
      </c>
      <c r="Q900" s="17" t="s">
        <v>6576</v>
      </c>
      <c r="R900" s="1" t="str">
        <f>"fi361"</f>
        <v>fi361</v>
      </c>
      <c r="S900" s="1" t="s">
        <v>6577</v>
      </c>
      <c r="T900" s="17" t="str">
        <f t="shared" si="6"/>
        <v>1.1</v>
      </c>
      <c r="V900" s="1">
        <v>429</v>
      </c>
      <c r="W900" s="1">
        <v>102</v>
      </c>
      <c r="Z900" s="1">
        <v>74</v>
      </c>
      <c r="AA900" s="1">
        <v>6.25</v>
      </c>
      <c r="AC900" s="1">
        <v>20</v>
      </c>
      <c r="AI900" s="1">
        <v>2.4</v>
      </c>
      <c r="AK900" s="1">
        <v>0.53</v>
      </c>
      <c r="AL900" s="1">
        <v>0.64</v>
      </c>
      <c r="AM900" s="1">
        <v>0.9</v>
      </c>
      <c r="AV900" s="1">
        <v>1.2</v>
      </c>
      <c r="AY900" s="1">
        <v>6.3</v>
      </c>
      <c r="BD900" s="1">
        <v>0.03</v>
      </c>
      <c r="BF900" s="1">
        <v>0.12</v>
      </c>
      <c r="BG900" s="17">
        <v>6</v>
      </c>
      <c r="BH900" s="17">
        <v>484</v>
      </c>
      <c r="BI900" s="17"/>
      <c r="BJ900" s="1">
        <v>27</v>
      </c>
      <c r="BM900" s="1">
        <v>45</v>
      </c>
      <c r="BP900" s="1">
        <v>229</v>
      </c>
      <c r="BS900" s="1">
        <v>30</v>
      </c>
      <c r="BW900" s="1">
        <v>0.44</v>
      </c>
      <c r="CI900" s="1">
        <v>3.3</v>
      </c>
      <c r="CR900" s="1">
        <v>2.1</v>
      </c>
      <c r="CS900" s="17" t="s">
        <v>6587</v>
      </c>
      <c r="CV900" s="1">
        <v>0.89</v>
      </c>
      <c r="CW900" s="17" t="s">
        <v>6590</v>
      </c>
      <c r="CX900" s="17" t="s">
        <v>6591</v>
      </c>
      <c r="CY900" s="1">
        <v>7.0000000000000007E-2</v>
      </c>
      <c r="DB900" s="1">
        <v>0.14000000000000001</v>
      </c>
      <c r="DC900" s="1">
        <v>8.1999999999999993</v>
      </c>
      <c r="DG900" s="1">
        <v>0.39</v>
      </c>
      <c r="DK900" s="1">
        <v>7</v>
      </c>
      <c r="DM900" s="1">
        <v>1.8</v>
      </c>
      <c r="EW900" s="1">
        <v>81</v>
      </c>
    </row>
    <row r="901" spans="1:154" x14ac:dyDescent="0.2">
      <c r="A901" s="15" t="s">
        <v>6619</v>
      </c>
      <c r="B901" s="1" t="s">
        <v>55</v>
      </c>
      <c r="C901" s="1" t="s">
        <v>6528</v>
      </c>
      <c r="D901" s="1" t="s">
        <v>2</v>
      </c>
      <c r="E901" s="1">
        <v>32</v>
      </c>
      <c r="F901" s="1" t="s">
        <v>1747</v>
      </c>
      <c r="G901" s="1" t="s">
        <v>6539</v>
      </c>
      <c r="H901" s="1" t="s">
        <v>6551</v>
      </c>
      <c r="I901" s="1" t="s">
        <v>7</v>
      </c>
      <c r="J901" s="1" t="s">
        <v>1749</v>
      </c>
      <c r="K901" s="19" t="s">
        <v>1750</v>
      </c>
      <c r="L901" s="1" t="s">
        <v>1749</v>
      </c>
      <c r="M901" s="1" t="s">
        <v>6565</v>
      </c>
      <c r="N901" s="1" t="s">
        <v>6574</v>
      </c>
      <c r="Q901" s="17" t="s">
        <v>6576</v>
      </c>
      <c r="R901" s="1" t="str">
        <f>"fi361"</f>
        <v>fi361</v>
      </c>
      <c r="S901" s="1" t="s">
        <v>6577</v>
      </c>
      <c r="T901" s="17" t="str">
        <f t="shared" si="6"/>
        <v>1.1</v>
      </c>
      <c r="V901" s="1">
        <v>359</v>
      </c>
      <c r="W901" s="1">
        <v>85</v>
      </c>
      <c r="Z901" s="1">
        <v>79</v>
      </c>
      <c r="AA901" s="1">
        <v>6.25</v>
      </c>
      <c r="AC901" s="1">
        <v>20</v>
      </c>
      <c r="AI901" s="1">
        <v>0.5</v>
      </c>
      <c r="AK901" s="1">
        <v>0.09</v>
      </c>
      <c r="AL901" s="1">
        <v>0.05</v>
      </c>
      <c r="AM901" s="1">
        <v>0.2</v>
      </c>
      <c r="AV901" s="1">
        <v>1.2</v>
      </c>
      <c r="AY901" s="1">
        <v>22</v>
      </c>
      <c r="BD901" s="1">
        <v>0.03</v>
      </c>
      <c r="BF901" s="1">
        <v>0.15</v>
      </c>
      <c r="BG901" s="17">
        <v>300</v>
      </c>
      <c r="BH901" s="17">
        <v>424</v>
      </c>
      <c r="BI901" s="17"/>
      <c r="BJ901" s="1">
        <v>26</v>
      </c>
      <c r="BM901" s="1">
        <v>75</v>
      </c>
      <c r="BP901" s="1">
        <v>207</v>
      </c>
      <c r="BS901" s="1">
        <v>30</v>
      </c>
      <c r="BW901" s="1">
        <v>0.54</v>
      </c>
      <c r="CI901" s="17" t="s">
        <v>6580</v>
      </c>
      <c r="CJ901" s="17"/>
      <c r="CR901" s="17" t="s">
        <v>6585</v>
      </c>
      <c r="CS901" s="17" t="s">
        <v>6587</v>
      </c>
      <c r="CV901" s="1">
        <v>0.47</v>
      </c>
      <c r="CW901" s="17" t="s">
        <v>6590</v>
      </c>
      <c r="CX901" s="17" t="s">
        <v>6591</v>
      </c>
      <c r="CY901" s="1">
        <v>0.02</v>
      </c>
      <c r="DB901" s="1">
        <v>0.09</v>
      </c>
      <c r="DC901" s="1">
        <v>3.9</v>
      </c>
      <c r="DG901" s="1">
        <v>0.26</v>
      </c>
      <c r="DK901" s="1">
        <v>5</v>
      </c>
      <c r="DM901" s="1">
        <v>0.95</v>
      </c>
      <c r="EW901" s="1">
        <v>82</v>
      </c>
    </row>
    <row r="902" spans="1:154" x14ac:dyDescent="0.2">
      <c r="A902" s="15" t="s">
        <v>6620</v>
      </c>
      <c r="B902" s="1" t="s">
        <v>55</v>
      </c>
      <c r="C902" s="1" t="s">
        <v>6688</v>
      </c>
      <c r="D902" s="1" t="s">
        <v>2</v>
      </c>
      <c r="E902" s="1">
        <v>23</v>
      </c>
      <c r="F902" s="1" t="s">
        <v>1273</v>
      </c>
      <c r="G902" s="1" t="s">
        <v>6540</v>
      </c>
      <c r="H902" s="1" t="s">
        <v>6552</v>
      </c>
      <c r="I902" s="1" t="s">
        <v>7</v>
      </c>
      <c r="J902" s="1" t="s">
        <v>1275</v>
      </c>
      <c r="K902" s="19" t="s">
        <v>1276</v>
      </c>
      <c r="L902" s="1" t="s">
        <v>1275</v>
      </c>
      <c r="M902" s="1" t="s">
        <v>6566</v>
      </c>
      <c r="N902" s="1" t="s">
        <v>6575</v>
      </c>
      <c r="Q902" s="17" t="s">
        <v>6576</v>
      </c>
      <c r="R902" s="1" t="str">
        <f>"fi361"</f>
        <v>fi361</v>
      </c>
      <c r="S902" s="1" t="s">
        <v>6577</v>
      </c>
      <c r="T902" s="17" t="str">
        <f t="shared" si="6"/>
        <v>1.1</v>
      </c>
      <c r="V902" s="1">
        <v>932</v>
      </c>
      <c r="W902" s="1">
        <v>224</v>
      </c>
      <c r="Z902" s="1">
        <v>61</v>
      </c>
      <c r="AA902" s="1">
        <v>6.25</v>
      </c>
      <c r="AC902" s="1">
        <v>20</v>
      </c>
      <c r="AI902" s="1">
        <v>16</v>
      </c>
      <c r="AK902" s="1">
        <v>3</v>
      </c>
      <c r="AL902" s="1">
        <v>5.91</v>
      </c>
      <c r="AM902" s="1">
        <v>5</v>
      </c>
      <c r="AV902" s="1">
        <v>1.1000000000000001</v>
      </c>
      <c r="AY902" s="1">
        <v>6.7</v>
      </c>
      <c r="BD902" s="1">
        <v>0.04</v>
      </c>
      <c r="BF902" s="1">
        <v>0.33</v>
      </c>
      <c r="BG902" s="17">
        <v>12</v>
      </c>
      <c r="BH902" s="17">
        <v>451</v>
      </c>
      <c r="BI902" s="17"/>
      <c r="BJ902" s="1">
        <v>26</v>
      </c>
      <c r="BM902" s="1">
        <v>46</v>
      </c>
      <c r="BP902" s="1">
        <v>227</v>
      </c>
      <c r="BS902" s="1">
        <v>30</v>
      </c>
      <c r="BW902" s="1">
        <v>0.48</v>
      </c>
      <c r="CI902" s="1">
        <v>26</v>
      </c>
      <c r="CR902" s="1">
        <v>10</v>
      </c>
      <c r="CS902" s="1">
        <v>0.49</v>
      </c>
      <c r="CV902" s="1">
        <v>1.4</v>
      </c>
      <c r="CW902" s="17" t="s">
        <v>6590</v>
      </c>
      <c r="CX902" s="17" t="s">
        <v>6591</v>
      </c>
      <c r="CY902" s="1">
        <v>0.12</v>
      </c>
      <c r="DB902" s="1">
        <v>0.11</v>
      </c>
      <c r="DC902" s="1">
        <v>7.3</v>
      </c>
      <c r="DG902" s="1">
        <v>0.51</v>
      </c>
      <c r="DK902" s="1">
        <v>4</v>
      </c>
      <c r="DM902" s="1">
        <v>3.5</v>
      </c>
      <c r="EW902" s="1">
        <v>80</v>
      </c>
    </row>
    <row r="903" spans="1:154" ht="15" x14ac:dyDescent="0.2">
      <c r="A903" s="15" t="s">
        <v>6621</v>
      </c>
      <c r="B903" s="1" t="s">
        <v>55</v>
      </c>
      <c r="C903" s="1" t="s">
        <v>6529</v>
      </c>
      <c r="D903" s="1" t="s">
        <v>2</v>
      </c>
      <c r="E903" s="1">
        <v>23</v>
      </c>
      <c r="F903" s="1" t="s">
        <v>1471</v>
      </c>
      <c r="G903" s="1" t="s">
        <v>9756</v>
      </c>
      <c r="H903" s="1" t="s">
        <v>6553</v>
      </c>
      <c r="I903" s="1" t="s">
        <v>7</v>
      </c>
      <c r="J903" s="1" t="s">
        <v>1473</v>
      </c>
      <c r="K903" s="19" t="s">
        <v>1474</v>
      </c>
      <c r="L903" s="1" t="s">
        <v>1473</v>
      </c>
      <c r="M903" s="1" t="s">
        <v>6567</v>
      </c>
      <c r="N903" s="1" t="s">
        <v>6574</v>
      </c>
      <c r="Q903" s="17" t="s">
        <v>6576</v>
      </c>
      <c r="R903" s="1" t="str">
        <f>"fi361"</f>
        <v>fi361</v>
      </c>
      <c r="S903" s="1" t="s">
        <v>6577</v>
      </c>
      <c r="T903" s="17" t="str">
        <f t="shared" si="6"/>
        <v>1.1</v>
      </c>
      <c r="V903" s="1">
        <v>693</v>
      </c>
      <c r="W903" s="1">
        <v>166</v>
      </c>
      <c r="Z903" s="1">
        <v>70</v>
      </c>
      <c r="AA903" s="1">
        <v>6.25</v>
      </c>
      <c r="AC903" s="1">
        <v>19</v>
      </c>
      <c r="AI903" s="1">
        <v>10</v>
      </c>
      <c r="AK903" s="1">
        <v>2.0299999999999998</v>
      </c>
      <c r="AL903" s="1">
        <v>3.52</v>
      </c>
      <c r="AM903" s="1">
        <v>3.16</v>
      </c>
      <c r="AV903" s="1">
        <v>1.2</v>
      </c>
      <c r="AY903" s="1">
        <v>10</v>
      </c>
      <c r="BD903" s="1">
        <v>0.05</v>
      </c>
      <c r="BF903" s="1">
        <v>0.28999999999999998</v>
      </c>
      <c r="BG903" s="17" t="s">
        <v>5917</v>
      </c>
      <c r="BH903" s="17">
        <v>420</v>
      </c>
      <c r="BI903" s="17"/>
      <c r="BJ903" s="1">
        <v>27</v>
      </c>
      <c r="BM903" s="1">
        <v>48</v>
      </c>
      <c r="BP903" s="1">
        <v>216</v>
      </c>
      <c r="BS903" s="1">
        <v>30</v>
      </c>
      <c r="BW903" s="1">
        <v>0.49</v>
      </c>
      <c r="CI903" s="1">
        <v>32</v>
      </c>
      <c r="CR903" s="1">
        <v>6.9</v>
      </c>
      <c r="CS903" s="1">
        <v>0.22</v>
      </c>
      <c r="CV903" s="1">
        <v>1.1000000000000001</v>
      </c>
      <c r="CW903" s="17" t="s">
        <v>6590</v>
      </c>
      <c r="CX903" s="17" t="s">
        <v>6591</v>
      </c>
      <c r="CY903" s="1">
        <v>0.21</v>
      </c>
      <c r="DB903" s="1">
        <v>0.13</v>
      </c>
      <c r="DC903" s="1">
        <v>6.9</v>
      </c>
      <c r="DG903" s="1">
        <v>0.49</v>
      </c>
      <c r="DK903" s="1">
        <v>5</v>
      </c>
      <c r="DM903" s="1">
        <v>4.8</v>
      </c>
      <c r="EW903" s="1">
        <v>73</v>
      </c>
    </row>
    <row r="904" spans="1:154" x14ac:dyDescent="0.2">
      <c r="A904" s="1" t="s">
        <v>9382</v>
      </c>
      <c r="B904" s="1" t="s">
        <v>55</v>
      </c>
      <c r="C904" s="1" t="s">
        <v>9383</v>
      </c>
      <c r="D904" s="1" t="s">
        <v>2</v>
      </c>
      <c r="E904" s="1">
        <v>33</v>
      </c>
      <c r="F904" s="1" t="s">
        <v>1288</v>
      </c>
      <c r="H904" s="1" t="s">
        <v>9384</v>
      </c>
      <c r="I904" s="1" t="s">
        <v>7</v>
      </c>
      <c r="J904" s="1" t="s">
        <v>1290</v>
      </c>
      <c r="K904" s="1" t="s">
        <v>1291</v>
      </c>
      <c r="L904" s="1" t="s">
        <v>1290</v>
      </c>
      <c r="O904" s="1">
        <v>5</v>
      </c>
      <c r="Q904" s="1">
        <v>2007</v>
      </c>
      <c r="R904" s="1" t="s">
        <v>9385</v>
      </c>
      <c r="S904" s="1" t="s">
        <v>27</v>
      </c>
      <c r="T904" s="17" t="s">
        <v>7945</v>
      </c>
      <c r="V904" s="1">
        <v>519</v>
      </c>
      <c r="W904" s="1">
        <v>123</v>
      </c>
      <c r="Z904" s="1">
        <v>72.8</v>
      </c>
      <c r="AA904" s="1">
        <v>6.25</v>
      </c>
      <c r="AC904" s="1">
        <v>21.4</v>
      </c>
      <c r="AJ904" s="1">
        <v>4.0999999999999996</v>
      </c>
      <c r="AK904" s="1">
        <v>1.141</v>
      </c>
      <c r="AL904" s="1">
        <v>1.208</v>
      </c>
      <c r="AM904" s="1">
        <v>1.7</v>
      </c>
      <c r="AQ904" s="1">
        <v>0.2</v>
      </c>
      <c r="AV904" s="1">
        <v>1.5</v>
      </c>
      <c r="AY904" s="1">
        <v>5.6</v>
      </c>
      <c r="BD904" s="1" t="s">
        <v>9640</v>
      </c>
      <c r="BF904" s="1">
        <v>0.39</v>
      </c>
      <c r="BG904" s="1">
        <v>9</v>
      </c>
      <c r="BH904" s="1">
        <v>430</v>
      </c>
      <c r="BJ904" s="1">
        <v>32.299999999999997</v>
      </c>
      <c r="BK904" s="1" t="s">
        <v>9640</v>
      </c>
      <c r="BM904" s="1">
        <v>46.6</v>
      </c>
      <c r="BP904" s="1">
        <v>209</v>
      </c>
      <c r="BS904" s="1">
        <v>8</v>
      </c>
      <c r="BW904" s="1">
        <v>0.41</v>
      </c>
      <c r="CF904" s="1">
        <v>14.71</v>
      </c>
      <c r="CR904" s="1">
        <v>2.31</v>
      </c>
      <c r="CV904" s="1">
        <v>1.35</v>
      </c>
      <c r="CY904" s="1">
        <v>0.18</v>
      </c>
      <c r="DB904" s="1">
        <v>0.09</v>
      </c>
      <c r="DC904" s="1">
        <v>6.79</v>
      </c>
      <c r="DE904" s="1">
        <v>0.53</v>
      </c>
      <c r="DG904" s="1">
        <v>0.39</v>
      </c>
      <c r="DM904" s="1">
        <v>4.33</v>
      </c>
      <c r="EX904" s="1">
        <v>56.8</v>
      </c>
    </row>
    <row r="905" spans="1:154" x14ac:dyDescent="0.2">
      <c r="A905" s="1" t="s">
        <v>9386</v>
      </c>
      <c r="B905" s="1" t="s">
        <v>57</v>
      </c>
      <c r="C905" s="1" t="s">
        <v>236</v>
      </c>
      <c r="E905" s="1">
        <v>52</v>
      </c>
      <c r="F905" s="1" t="s">
        <v>9388</v>
      </c>
      <c r="H905" s="1" t="s">
        <v>9389</v>
      </c>
      <c r="I905" s="1" t="s">
        <v>11</v>
      </c>
      <c r="J905" s="1" t="s">
        <v>9390</v>
      </c>
      <c r="K905" s="1" t="s">
        <v>9391</v>
      </c>
      <c r="L905" s="1" t="s">
        <v>9390</v>
      </c>
      <c r="O905" s="1">
        <v>5</v>
      </c>
      <c r="Q905" s="1">
        <v>2007</v>
      </c>
      <c r="R905" s="1" t="s">
        <v>9385</v>
      </c>
      <c r="S905" s="1" t="s">
        <v>27</v>
      </c>
      <c r="T905" s="17" t="s">
        <v>7945</v>
      </c>
      <c r="V905" s="1">
        <v>411</v>
      </c>
      <c r="W905" s="1">
        <v>97</v>
      </c>
      <c r="Z905" s="1">
        <v>74.099999999999994</v>
      </c>
      <c r="AA905" s="1">
        <v>6.25</v>
      </c>
      <c r="AC905" s="1">
        <v>20.7</v>
      </c>
      <c r="AJ905" s="1">
        <v>0.3</v>
      </c>
      <c r="AK905" s="1">
        <v>7.2999999999999995E-2</v>
      </c>
      <c r="AL905" s="1">
        <v>4.7E-2</v>
      </c>
      <c r="AM905" s="1">
        <v>0.154</v>
      </c>
      <c r="AQ905" s="1">
        <v>2.9</v>
      </c>
      <c r="AV905" s="1">
        <v>2.1</v>
      </c>
      <c r="AY905" s="1">
        <v>64.5</v>
      </c>
      <c r="BD905" s="1">
        <v>0.27</v>
      </c>
      <c r="BF905" s="1">
        <v>0.64</v>
      </c>
      <c r="BG905" s="1">
        <v>114</v>
      </c>
      <c r="BH905" s="1">
        <v>173</v>
      </c>
      <c r="BJ905" s="1">
        <v>144</v>
      </c>
      <c r="BK905" s="1" t="s">
        <v>9641</v>
      </c>
      <c r="BM905" s="1">
        <v>387</v>
      </c>
      <c r="BN905" s="1">
        <v>701</v>
      </c>
      <c r="BP905" s="1">
        <v>108</v>
      </c>
      <c r="BS905" s="1">
        <v>31</v>
      </c>
      <c r="BW905" s="1">
        <v>1.6</v>
      </c>
      <c r="CF905" s="1" t="s">
        <v>9642</v>
      </c>
      <c r="CR905" s="1" t="s">
        <v>9643</v>
      </c>
      <c r="CV905" s="1">
        <v>0.84</v>
      </c>
      <c r="CY905" s="1" t="s">
        <v>9644</v>
      </c>
      <c r="DB905" s="1">
        <v>0.1</v>
      </c>
      <c r="DC905" s="1">
        <v>1.44</v>
      </c>
      <c r="DE905" s="1">
        <v>0.41</v>
      </c>
      <c r="DG905" s="1">
        <v>0.08</v>
      </c>
      <c r="DM905" s="1">
        <v>4.6100000000000003</v>
      </c>
      <c r="EX905" s="1">
        <v>111.5</v>
      </c>
    </row>
    <row r="906" spans="1:154" x14ac:dyDescent="0.2">
      <c r="A906" s="1" t="s">
        <v>9392</v>
      </c>
      <c r="B906" s="1" t="s">
        <v>55</v>
      </c>
      <c r="C906" s="1" t="s">
        <v>236</v>
      </c>
      <c r="E906" s="1">
        <v>32</v>
      </c>
      <c r="F906" s="1" t="s">
        <v>1747</v>
      </c>
      <c r="H906" s="1" t="s">
        <v>9393</v>
      </c>
      <c r="I906" s="1" t="s">
        <v>7</v>
      </c>
      <c r="J906" s="1" t="s">
        <v>1749</v>
      </c>
      <c r="K906" s="1" t="s">
        <v>1750</v>
      </c>
      <c r="L906" s="1" t="s">
        <v>1749</v>
      </c>
      <c r="O906" s="1">
        <v>5</v>
      </c>
      <c r="Q906" s="1">
        <v>2007</v>
      </c>
      <c r="R906" s="1" t="s">
        <v>9385</v>
      </c>
      <c r="S906" s="1" t="s">
        <v>27</v>
      </c>
      <c r="T906" s="17" t="s">
        <v>7945</v>
      </c>
      <c r="V906" s="1">
        <v>333</v>
      </c>
      <c r="W906" s="1">
        <v>78</v>
      </c>
      <c r="Z906" s="1">
        <v>79.7</v>
      </c>
      <c r="AA906" s="1">
        <v>6.25</v>
      </c>
      <c r="AC906" s="1">
        <v>17.899999999999999</v>
      </c>
      <c r="AJ906" s="1">
        <v>0.4</v>
      </c>
      <c r="AK906" s="1">
        <v>9.8000000000000004E-2</v>
      </c>
      <c r="AL906" s="1">
        <v>6.4000000000000001E-2</v>
      </c>
      <c r="AM906" s="1">
        <v>0.215</v>
      </c>
      <c r="AQ906" s="1">
        <v>0.8</v>
      </c>
      <c r="AV906" s="1">
        <v>1.1000000000000001</v>
      </c>
      <c r="AY906" s="1">
        <v>1.6</v>
      </c>
      <c r="BD906" s="1" t="s">
        <v>9641</v>
      </c>
      <c r="BF906" s="1">
        <v>0.5</v>
      </c>
      <c r="BG906" s="1">
        <v>143</v>
      </c>
      <c r="BH906" s="1">
        <v>377</v>
      </c>
      <c r="BJ906" s="1">
        <v>28.8</v>
      </c>
      <c r="BK906" s="1" t="s">
        <v>9641</v>
      </c>
      <c r="BM906" s="1">
        <v>77.900000000000006</v>
      </c>
      <c r="BP906" s="1">
        <v>173</v>
      </c>
      <c r="BS906" s="1">
        <v>61</v>
      </c>
      <c r="BW906" s="1">
        <v>0.37</v>
      </c>
      <c r="CF906" s="1" t="s">
        <v>9642</v>
      </c>
      <c r="CR906" s="1">
        <v>0.88</v>
      </c>
      <c r="CV906" s="1">
        <v>0.44</v>
      </c>
      <c r="CY906" s="1" t="s">
        <v>9644</v>
      </c>
      <c r="DB906" s="1">
        <v>0.04</v>
      </c>
      <c r="DC906" s="1">
        <v>2.68</v>
      </c>
      <c r="DE906" s="1">
        <v>0.15</v>
      </c>
      <c r="DG906" s="1">
        <v>0.15</v>
      </c>
      <c r="DM906" s="1">
        <v>1.22</v>
      </c>
      <c r="EX906" s="1">
        <v>41.5</v>
      </c>
    </row>
    <row r="907" spans="1:154" x14ac:dyDescent="0.2">
      <c r="A907" s="1" t="s">
        <v>9394</v>
      </c>
      <c r="B907" s="1" t="s">
        <v>57</v>
      </c>
      <c r="C907" s="1" t="s">
        <v>236</v>
      </c>
      <c r="E907" s="1">
        <v>57</v>
      </c>
      <c r="F907" s="1" t="s">
        <v>1939</v>
      </c>
      <c r="H907" s="1" t="s">
        <v>9395</v>
      </c>
      <c r="I907" s="1" t="s">
        <v>7</v>
      </c>
      <c r="J907" s="1" t="s">
        <v>1941</v>
      </c>
      <c r="K907" s="1" t="s">
        <v>1942</v>
      </c>
      <c r="L907" s="1" t="s">
        <v>1941</v>
      </c>
      <c r="O907" s="1">
        <v>5</v>
      </c>
      <c r="Q907" s="1">
        <v>2007</v>
      </c>
      <c r="R907" s="1" t="s">
        <v>9385</v>
      </c>
      <c r="S907" s="1" t="s">
        <v>27</v>
      </c>
      <c r="T907" s="17" t="s">
        <v>7945</v>
      </c>
      <c r="V907" s="1">
        <v>324</v>
      </c>
      <c r="W907" s="1">
        <v>77</v>
      </c>
      <c r="Z907" s="1">
        <v>81</v>
      </c>
      <c r="AA907" s="1">
        <v>6.25</v>
      </c>
      <c r="AC907" s="1">
        <v>16.2</v>
      </c>
      <c r="AJ907" s="1">
        <v>1.1000000000000001</v>
      </c>
      <c r="AK907" s="1">
        <v>0.314</v>
      </c>
      <c r="AL907" s="1">
        <v>0.112</v>
      </c>
      <c r="AM907" s="1">
        <v>0.44400000000000001</v>
      </c>
      <c r="AQ907" s="1">
        <v>0.5</v>
      </c>
      <c r="AV907" s="1">
        <v>1.3</v>
      </c>
      <c r="AY907" s="1">
        <v>17.5</v>
      </c>
      <c r="BD907" s="1" t="s">
        <v>9641</v>
      </c>
      <c r="BF907" s="1">
        <v>0.2</v>
      </c>
      <c r="BG907" s="1">
        <v>13</v>
      </c>
      <c r="BH907" s="1">
        <v>247</v>
      </c>
      <c r="BJ907" s="1">
        <v>44.2</v>
      </c>
      <c r="BK907" s="1" t="s">
        <v>9641</v>
      </c>
      <c r="BM907" s="1">
        <v>197</v>
      </c>
      <c r="BP907" s="1">
        <v>201</v>
      </c>
      <c r="BS907" s="1">
        <v>17</v>
      </c>
      <c r="BW907" s="1">
        <v>1.1000000000000001</v>
      </c>
      <c r="CF907" s="1">
        <v>2</v>
      </c>
      <c r="CR907" s="1" t="s">
        <v>9643</v>
      </c>
      <c r="CV907" s="1">
        <v>1.39</v>
      </c>
      <c r="CY907" s="1" t="s">
        <v>9644</v>
      </c>
      <c r="DB907" s="1" t="s">
        <v>9644</v>
      </c>
      <c r="DC907" s="1">
        <v>1.55</v>
      </c>
      <c r="DE907" s="1">
        <v>0.24</v>
      </c>
      <c r="DG907" s="1">
        <v>0.08</v>
      </c>
      <c r="DM907" s="1">
        <v>1.55</v>
      </c>
      <c r="EX907" s="1">
        <v>247.2</v>
      </c>
    </row>
    <row r="908" spans="1:154" x14ac:dyDescent="0.2">
      <c r="A908" s="1" t="s">
        <v>9396</v>
      </c>
      <c r="B908" s="1" t="s">
        <v>55</v>
      </c>
      <c r="C908" s="1" t="s">
        <v>9383</v>
      </c>
      <c r="D908" s="1" t="s">
        <v>2</v>
      </c>
      <c r="E908" s="1">
        <v>11</v>
      </c>
      <c r="F908" s="1" t="s">
        <v>1389</v>
      </c>
      <c r="H908" s="1" t="s">
        <v>9397</v>
      </c>
      <c r="I908" s="1" t="s">
        <v>7</v>
      </c>
      <c r="J908" s="1" t="s">
        <v>9398</v>
      </c>
      <c r="K908" s="1" t="s">
        <v>1393</v>
      </c>
      <c r="L908" s="1" t="s">
        <v>1392</v>
      </c>
      <c r="O908" s="1">
        <v>5</v>
      </c>
      <c r="Q908" s="1">
        <v>2007</v>
      </c>
      <c r="R908" s="1" t="s">
        <v>9385</v>
      </c>
      <c r="S908" s="1" t="s">
        <v>27</v>
      </c>
      <c r="T908" s="17" t="s">
        <v>7945</v>
      </c>
      <c r="V908" s="1">
        <v>420</v>
      </c>
      <c r="W908" s="1">
        <v>100</v>
      </c>
      <c r="Z908" s="1">
        <v>77.3</v>
      </c>
      <c r="AA908" s="1">
        <v>6.25</v>
      </c>
      <c r="AC908" s="1">
        <v>17.7</v>
      </c>
      <c r="AJ908" s="1">
        <v>2.5</v>
      </c>
      <c r="AK908" s="1">
        <v>1.0469999999999999</v>
      </c>
      <c r="AL908" s="1">
        <v>1.9610000000000001</v>
      </c>
      <c r="AM908" s="1">
        <v>0.84899999999999998</v>
      </c>
      <c r="AQ908" s="1">
        <v>1.4</v>
      </c>
      <c r="AV908" s="1">
        <v>1</v>
      </c>
      <c r="AY908" s="1">
        <v>29.2</v>
      </c>
      <c r="BD908" s="1" t="s">
        <v>9641</v>
      </c>
      <c r="BF908" s="1">
        <v>1.6</v>
      </c>
      <c r="BG908" s="1">
        <v>18</v>
      </c>
      <c r="BH908" s="1">
        <v>310</v>
      </c>
      <c r="BJ908" s="1">
        <v>23.7</v>
      </c>
      <c r="BK908" s="1" t="s">
        <v>9641</v>
      </c>
      <c r="BM908" s="1">
        <v>30.6</v>
      </c>
      <c r="BP908" s="1">
        <v>143</v>
      </c>
      <c r="BS908" s="1">
        <v>20</v>
      </c>
      <c r="BW908" s="1">
        <v>0.57999999999999996</v>
      </c>
      <c r="CF908" s="1">
        <v>3.5</v>
      </c>
      <c r="CR908" s="1">
        <v>3.84</v>
      </c>
      <c r="CV908" s="1">
        <v>0.46</v>
      </c>
      <c r="CY908" s="1" t="s">
        <v>9644</v>
      </c>
      <c r="DB908" s="1">
        <v>7.0000000000000007E-2</v>
      </c>
      <c r="DC908" s="1">
        <v>2.81</v>
      </c>
      <c r="DE908" s="1">
        <v>1.25</v>
      </c>
      <c r="DG908" s="1">
        <v>0.13</v>
      </c>
      <c r="DM908" s="1">
        <v>3.16</v>
      </c>
      <c r="EX908" s="1">
        <v>58.3</v>
      </c>
    </row>
    <row r="909" spans="1:154" x14ac:dyDescent="0.2">
      <c r="A909" s="1" t="s">
        <v>9399</v>
      </c>
      <c r="B909" s="1" t="s">
        <v>55</v>
      </c>
      <c r="C909" s="1" t="s">
        <v>236</v>
      </c>
      <c r="E909" s="1">
        <v>37</v>
      </c>
      <c r="F909" s="1" t="s">
        <v>1249</v>
      </c>
      <c r="H909" s="1" t="s">
        <v>9400</v>
      </c>
      <c r="I909" s="1" t="s">
        <v>7</v>
      </c>
      <c r="J909" s="1" t="s">
        <v>1251</v>
      </c>
      <c r="K909" s="1" t="s">
        <v>1252</v>
      </c>
      <c r="L909" s="1" t="s">
        <v>1251</v>
      </c>
      <c r="O909" s="1">
        <v>5</v>
      </c>
      <c r="Q909" s="1">
        <v>2007</v>
      </c>
      <c r="R909" s="1" t="s">
        <v>9385</v>
      </c>
      <c r="S909" s="1" t="s">
        <v>27</v>
      </c>
      <c r="T909" s="17" t="s">
        <v>7945</v>
      </c>
      <c r="V909" s="1">
        <v>404</v>
      </c>
      <c r="W909" s="1">
        <v>96</v>
      </c>
      <c r="Z909" s="1">
        <v>77.400000000000006</v>
      </c>
      <c r="AA909" s="1">
        <v>6.25</v>
      </c>
      <c r="AC909" s="1">
        <v>18.7</v>
      </c>
      <c r="AJ909" s="1">
        <v>2.1</v>
      </c>
      <c r="AK909" s="1">
        <v>0.71</v>
      </c>
      <c r="AL909" s="1">
        <v>0.91600000000000004</v>
      </c>
      <c r="AM909" s="1">
        <v>0.68700000000000006</v>
      </c>
      <c r="AQ909" s="1">
        <v>0.4</v>
      </c>
      <c r="AV909" s="1">
        <v>1.4</v>
      </c>
      <c r="AY909" s="1">
        <v>20.100000000000001</v>
      </c>
      <c r="BD909" s="1" t="s">
        <v>9640</v>
      </c>
      <c r="BF909" s="1">
        <v>1</v>
      </c>
      <c r="BG909" s="1">
        <v>37</v>
      </c>
      <c r="BH909" s="1">
        <v>386</v>
      </c>
      <c r="BJ909" s="1">
        <v>31.7</v>
      </c>
      <c r="BK909" s="1" t="s">
        <v>9641</v>
      </c>
      <c r="BM909" s="1">
        <v>62</v>
      </c>
      <c r="BP909" s="1">
        <v>206</v>
      </c>
      <c r="BS909" s="1">
        <v>17</v>
      </c>
      <c r="BW909" s="1">
        <v>0.36</v>
      </c>
      <c r="CF909" s="1">
        <v>4</v>
      </c>
      <c r="CR909" s="1">
        <v>41.19</v>
      </c>
      <c r="CV909" s="1">
        <v>0.64</v>
      </c>
      <c r="CY909" s="1">
        <v>0.1</v>
      </c>
      <c r="DB909" s="1">
        <v>0.12</v>
      </c>
      <c r="DC909" s="1">
        <v>4.12</v>
      </c>
      <c r="DE909" s="1">
        <v>0.38</v>
      </c>
      <c r="DG909" s="1">
        <v>0.3</v>
      </c>
      <c r="DM909" s="1">
        <v>6.99</v>
      </c>
      <c r="EX909" s="1">
        <v>49.7</v>
      </c>
    </row>
    <row r="910" spans="1:154" x14ac:dyDescent="0.2">
      <c r="A910" s="1" t="s">
        <v>9401</v>
      </c>
      <c r="B910" s="1" t="s">
        <v>55</v>
      </c>
      <c r="C910" s="1" t="s">
        <v>236</v>
      </c>
      <c r="E910" s="1">
        <v>37</v>
      </c>
      <c r="F910" s="1" t="s">
        <v>1249</v>
      </c>
      <c r="H910" s="1" t="s">
        <v>9402</v>
      </c>
      <c r="I910" s="1" t="s">
        <v>7</v>
      </c>
      <c r="J910" s="1" t="s">
        <v>1251</v>
      </c>
      <c r="K910" s="1" t="s">
        <v>1252</v>
      </c>
      <c r="L910" s="1" t="s">
        <v>1251</v>
      </c>
      <c r="O910" s="1">
        <v>5</v>
      </c>
      <c r="Q910" s="1">
        <v>2007</v>
      </c>
      <c r="R910" s="1" t="s">
        <v>9385</v>
      </c>
      <c r="S910" s="1" t="s">
        <v>27</v>
      </c>
      <c r="T910" s="17" t="s">
        <v>7945</v>
      </c>
      <c r="V910" s="1">
        <v>597</v>
      </c>
      <c r="W910" s="1">
        <v>143</v>
      </c>
      <c r="Z910" s="1">
        <v>71.7</v>
      </c>
      <c r="AA910" s="1">
        <v>6.25</v>
      </c>
      <c r="AC910" s="1">
        <v>19.600000000000001</v>
      </c>
      <c r="AJ910" s="1">
        <v>6.8</v>
      </c>
      <c r="AK910" s="1">
        <v>1.8520000000000001</v>
      </c>
      <c r="AL910" s="1">
        <v>2.6859999999999999</v>
      </c>
      <c r="AM910" s="1">
        <v>1.63</v>
      </c>
      <c r="AQ910" s="1">
        <v>0.6</v>
      </c>
      <c r="AV910" s="1">
        <v>1.2</v>
      </c>
      <c r="AY910" s="1">
        <v>2.1</v>
      </c>
      <c r="BD910" s="1" t="s">
        <v>9641</v>
      </c>
      <c r="BF910" s="1">
        <v>0.85</v>
      </c>
      <c r="BG910" s="1">
        <v>21</v>
      </c>
      <c r="BH910" s="1">
        <v>382</v>
      </c>
      <c r="BJ910" s="1">
        <v>31.7</v>
      </c>
      <c r="BK910" s="1" t="s">
        <v>9641</v>
      </c>
      <c r="BM910" s="1">
        <v>54.7</v>
      </c>
      <c r="BP910" s="1">
        <v>195</v>
      </c>
      <c r="BS910" s="1">
        <v>43</v>
      </c>
      <c r="BW910" s="1">
        <v>0.38</v>
      </c>
      <c r="CF910" s="1">
        <v>4.7</v>
      </c>
      <c r="CR910" s="1">
        <v>48.52</v>
      </c>
      <c r="CV910" s="1">
        <v>0.48</v>
      </c>
      <c r="CY910" s="1">
        <v>0.08</v>
      </c>
      <c r="DB910" s="1">
        <v>0.12</v>
      </c>
      <c r="DC910" s="1">
        <v>6.7</v>
      </c>
      <c r="DE910" s="1">
        <v>0.28999999999999998</v>
      </c>
      <c r="DG910" s="1">
        <v>0.37</v>
      </c>
      <c r="DM910" s="1">
        <v>7.5</v>
      </c>
      <c r="EX910" s="1">
        <v>45.4</v>
      </c>
    </row>
    <row r="911" spans="1:154" x14ac:dyDescent="0.2">
      <c r="A911" s="1" t="s">
        <v>9403</v>
      </c>
      <c r="B911" s="1" t="s">
        <v>55</v>
      </c>
      <c r="C911" s="1" t="s">
        <v>236</v>
      </c>
      <c r="E911" s="1">
        <v>37</v>
      </c>
      <c r="F911" s="1" t="s">
        <v>1600</v>
      </c>
      <c r="H911" s="1" t="s">
        <v>9404</v>
      </c>
      <c r="I911" s="1" t="s">
        <v>11</v>
      </c>
      <c r="J911" s="1" t="s">
        <v>1602</v>
      </c>
      <c r="K911" s="1" t="s">
        <v>1603</v>
      </c>
      <c r="L911" s="1" t="s">
        <v>1602</v>
      </c>
      <c r="O911" s="1">
        <v>5</v>
      </c>
      <c r="Q911" s="1">
        <v>2007</v>
      </c>
      <c r="R911" s="1" t="s">
        <v>9385</v>
      </c>
      <c r="S911" s="1" t="s">
        <v>27</v>
      </c>
      <c r="T911" s="17" t="s">
        <v>7945</v>
      </c>
      <c r="V911" s="1">
        <v>857</v>
      </c>
      <c r="W911" s="1">
        <v>206</v>
      </c>
      <c r="Z911" s="1">
        <v>64.400000000000006</v>
      </c>
      <c r="AA911" s="1">
        <v>6.25</v>
      </c>
      <c r="AC911" s="1">
        <v>17.8</v>
      </c>
      <c r="AJ911" s="1">
        <v>13.9</v>
      </c>
      <c r="AK911" s="1">
        <v>2.9420000000000002</v>
      </c>
      <c r="AL911" s="1">
        <v>6.04</v>
      </c>
      <c r="AM911" s="1">
        <v>3.016</v>
      </c>
      <c r="AQ911" s="1">
        <v>2.5</v>
      </c>
      <c r="AV911" s="1">
        <v>1.5</v>
      </c>
      <c r="AY911" s="1">
        <v>184</v>
      </c>
      <c r="BD911" s="1" t="s">
        <v>9641</v>
      </c>
      <c r="BF911" s="1">
        <v>0.84</v>
      </c>
      <c r="BG911" s="1">
        <v>14</v>
      </c>
      <c r="BH911" s="1">
        <v>165</v>
      </c>
      <c r="BJ911" s="1">
        <v>17</v>
      </c>
      <c r="BK911" s="1" t="s">
        <v>9641</v>
      </c>
      <c r="BM911" s="1">
        <v>387</v>
      </c>
      <c r="BN911" s="1">
        <v>524</v>
      </c>
      <c r="BP911" s="1">
        <v>123</v>
      </c>
      <c r="BS911" s="1">
        <v>29</v>
      </c>
      <c r="BW911" s="1">
        <v>1</v>
      </c>
      <c r="CF911" s="1">
        <v>19</v>
      </c>
      <c r="CR911" s="1">
        <v>5.44</v>
      </c>
      <c r="CV911" s="1">
        <v>0.88</v>
      </c>
      <c r="CY911" s="1" t="s">
        <v>9644</v>
      </c>
      <c r="DB911" s="1">
        <v>0.24</v>
      </c>
      <c r="DC911" s="1">
        <v>4.42</v>
      </c>
      <c r="DE911" s="1">
        <v>0.27</v>
      </c>
      <c r="DG911" s="1">
        <v>0.2</v>
      </c>
      <c r="DM911" s="1">
        <v>9.14</v>
      </c>
      <c r="EX911" s="1">
        <v>56.4</v>
      </c>
    </row>
    <row r="912" spans="1:154" x14ac:dyDescent="0.2">
      <c r="A912" s="1" t="s">
        <v>9405</v>
      </c>
      <c r="B912" s="1" t="s">
        <v>55</v>
      </c>
      <c r="C912" s="1" t="s">
        <v>236</v>
      </c>
      <c r="E912" s="1">
        <v>35</v>
      </c>
      <c r="F912" s="1" t="s">
        <v>1797</v>
      </c>
      <c r="H912" s="1" t="s">
        <v>9406</v>
      </c>
      <c r="I912" s="1" t="s">
        <v>11</v>
      </c>
      <c r="J912" s="1" t="s">
        <v>1799</v>
      </c>
      <c r="K912" s="1" t="s">
        <v>9407</v>
      </c>
      <c r="L912" s="1" t="s">
        <v>1799</v>
      </c>
      <c r="O912" s="1">
        <v>5</v>
      </c>
      <c r="Q912" s="1">
        <v>2007</v>
      </c>
      <c r="R912" s="1" t="s">
        <v>9385</v>
      </c>
      <c r="S912" s="1" t="s">
        <v>27</v>
      </c>
      <c r="T912" s="17" t="s">
        <v>7945</v>
      </c>
      <c r="V912" s="1">
        <v>811</v>
      </c>
      <c r="W912" s="1">
        <v>194</v>
      </c>
      <c r="Z912" s="1">
        <v>62.2</v>
      </c>
      <c r="AA912" s="1">
        <v>6.25</v>
      </c>
      <c r="AC912" s="1">
        <v>24</v>
      </c>
      <c r="AJ912" s="1">
        <v>10.5</v>
      </c>
      <c r="AK912" s="1">
        <v>2.4689999999999999</v>
      </c>
      <c r="AL912" s="1">
        <v>4.3239999999999998</v>
      </c>
      <c r="AM912" s="1">
        <v>2.5630000000000002</v>
      </c>
      <c r="AQ912" s="1">
        <v>0.9</v>
      </c>
      <c r="AV912" s="1">
        <v>2.4</v>
      </c>
      <c r="AY912" s="1">
        <v>275</v>
      </c>
      <c r="BD912" s="1" t="s">
        <v>9640</v>
      </c>
      <c r="BF912" s="1">
        <v>2</v>
      </c>
      <c r="BG912" s="1">
        <v>106</v>
      </c>
      <c r="BH912" s="1">
        <v>384</v>
      </c>
      <c r="BJ912" s="1">
        <v>35.5</v>
      </c>
      <c r="BK912" s="1" t="s">
        <v>9641</v>
      </c>
      <c r="BM912" s="1">
        <v>257</v>
      </c>
      <c r="BN912" s="1">
        <v>409</v>
      </c>
      <c r="BP912" s="1">
        <v>285</v>
      </c>
      <c r="BS912" s="1">
        <v>33</v>
      </c>
      <c r="BW912" s="1">
        <v>1.9</v>
      </c>
      <c r="CF912" s="1">
        <v>3.66</v>
      </c>
      <c r="CR912" s="1">
        <v>5.83</v>
      </c>
      <c r="CV912" s="1">
        <v>0.92</v>
      </c>
      <c r="CY912" s="1" t="s">
        <v>9644</v>
      </c>
      <c r="DB912" s="1">
        <v>0.17</v>
      </c>
      <c r="DC912" s="1">
        <v>7.2</v>
      </c>
      <c r="DE912" s="1">
        <v>0.63</v>
      </c>
      <c r="DG912" s="1">
        <v>0.28000000000000003</v>
      </c>
      <c r="DM912" s="1">
        <v>13.73</v>
      </c>
      <c r="EX912" s="1">
        <v>52</v>
      </c>
    </row>
    <row r="913" spans="1:154" x14ac:dyDescent="0.2">
      <c r="A913" s="1" t="s">
        <v>9408</v>
      </c>
      <c r="B913" s="1" t="s">
        <v>55</v>
      </c>
      <c r="C913" s="1" t="s">
        <v>236</v>
      </c>
      <c r="E913" s="1">
        <v>35</v>
      </c>
      <c r="F913" s="1" t="s">
        <v>1797</v>
      </c>
      <c r="H913" s="1" t="s">
        <v>9409</v>
      </c>
      <c r="I913" s="1" t="s">
        <v>11</v>
      </c>
      <c r="J913" s="1" t="s">
        <v>1799</v>
      </c>
      <c r="K913" s="1" t="s">
        <v>9407</v>
      </c>
      <c r="L913" s="1" t="s">
        <v>1799</v>
      </c>
      <c r="O913" s="1">
        <v>5</v>
      </c>
      <c r="Q913" s="1">
        <v>2007</v>
      </c>
      <c r="R913" s="1" t="s">
        <v>9385</v>
      </c>
      <c r="S913" s="1" t="s">
        <v>27</v>
      </c>
      <c r="T913" s="17" t="s">
        <v>7945</v>
      </c>
      <c r="V913" s="1">
        <v>942</v>
      </c>
      <c r="W913" s="1">
        <v>226</v>
      </c>
      <c r="Z913" s="1">
        <v>57.9</v>
      </c>
      <c r="AA913" s="1">
        <v>6.25</v>
      </c>
      <c r="AC913" s="1">
        <v>25</v>
      </c>
      <c r="AJ913" s="1">
        <v>13.8</v>
      </c>
      <c r="AK913" s="1">
        <v>2.69</v>
      </c>
      <c r="AL913" s="1">
        <v>4.3289999999999997</v>
      </c>
      <c r="AM913" s="1">
        <v>4.6929999999999996</v>
      </c>
      <c r="AQ913" s="1">
        <v>0.4</v>
      </c>
      <c r="AV913" s="1">
        <v>3</v>
      </c>
      <c r="AY913" s="1">
        <v>421</v>
      </c>
      <c r="BD913" s="1" t="s">
        <v>9641</v>
      </c>
      <c r="BF913" s="1">
        <v>2</v>
      </c>
      <c r="BG913" s="1">
        <v>40</v>
      </c>
      <c r="BH913" s="1">
        <v>344</v>
      </c>
      <c r="BJ913" s="1">
        <v>43.1</v>
      </c>
      <c r="BK913" s="1" t="s">
        <v>9641</v>
      </c>
      <c r="BM913" s="1">
        <v>365</v>
      </c>
      <c r="BN913" s="1">
        <v>580</v>
      </c>
      <c r="BP913" s="1">
        <v>337</v>
      </c>
      <c r="BS913" s="1">
        <v>38</v>
      </c>
      <c r="BW913" s="1">
        <v>1.8</v>
      </c>
      <c r="CF913" s="1">
        <v>6.25</v>
      </c>
      <c r="CR913" s="1">
        <v>10.15</v>
      </c>
      <c r="CV913" s="1">
        <v>2.23</v>
      </c>
      <c r="CY913" s="1" t="s">
        <v>9645</v>
      </c>
      <c r="DB913" s="1">
        <v>0.15</v>
      </c>
      <c r="DC913" s="1">
        <v>6.95</v>
      </c>
      <c r="DE913" s="1">
        <v>0.77</v>
      </c>
      <c r="DG913" s="1">
        <v>0.28000000000000003</v>
      </c>
      <c r="DM913" s="1">
        <v>13.3</v>
      </c>
      <c r="EX913" s="1">
        <v>70.599999999999994</v>
      </c>
    </row>
    <row r="914" spans="1:154" x14ac:dyDescent="0.2">
      <c r="A914" s="1" t="s">
        <v>9410</v>
      </c>
      <c r="B914" s="1" t="s">
        <v>1911</v>
      </c>
      <c r="C914" s="1" t="s">
        <v>9411</v>
      </c>
      <c r="E914" s="1">
        <v>45</v>
      </c>
      <c r="F914" s="1" t="s">
        <v>9412</v>
      </c>
      <c r="H914" s="1" t="s">
        <v>9413</v>
      </c>
      <c r="I914" s="1" t="s">
        <v>11</v>
      </c>
      <c r="J914" s="1" t="s">
        <v>9414</v>
      </c>
      <c r="K914" s="1" t="s">
        <v>9415</v>
      </c>
      <c r="L914" s="1" t="s">
        <v>9414</v>
      </c>
      <c r="O914" s="1">
        <v>5</v>
      </c>
      <c r="Q914" s="1">
        <v>2007</v>
      </c>
      <c r="R914" s="1" t="s">
        <v>9385</v>
      </c>
      <c r="S914" s="1" t="s">
        <v>27</v>
      </c>
      <c r="T914" s="17" t="s">
        <v>7945</v>
      </c>
      <c r="V914" s="1">
        <v>421</v>
      </c>
      <c r="W914" s="1">
        <v>99</v>
      </c>
      <c r="Z914" s="1">
        <v>74.599999999999994</v>
      </c>
      <c r="AA914" s="1">
        <v>6.25</v>
      </c>
      <c r="AC914" s="1">
        <v>22.8</v>
      </c>
      <c r="AJ914" s="1">
        <v>0.8</v>
      </c>
      <c r="AK914" s="1">
        <v>0.219</v>
      </c>
      <c r="AL914" s="1">
        <v>0.25900000000000001</v>
      </c>
      <c r="AM914" s="1">
        <v>0.34100000000000003</v>
      </c>
      <c r="AQ914" s="1">
        <v>0.3</v>
      </c>
      <c r="AV914" s="1">
        <v>1.5</v>
      </c>
      <c r="AY914" s="1">
        <v>35.4</v>
      </c>
      <c r="BD914" s="1">
        <v>0.9</v>
      </c>
      <c r="BF914" s="1">
        <v>0.2</v>
      </c>
      <c r="BG914" s="1">
        <v>14</v>
      </c>
      <c r="BH914" s="1">
        <v>318</v>
      </c>
      <c r="BJ914" s="1">
        <v>29.7</v>
      </c>
      <c r="BK914" s="1" t="s">
        <v>9641</v>
      </c>
      <c r="BM914" s="1">
        <v>188</v>
      </c>
      <c r="BN914" s="1">
        <v>369</v>
      </c>
      <c r="BP914" s="1">
        <v>171</v>
      </c>
      <c r="BS914" s="1">
        <v>20</v>
      </c>
      <c r="BW914" s="1">
        <v>1.3</v>
      </c>
      <c r="CF914" s="1" t="s">
        <v>9642</v>
      </c>
      <c r="CR914" s="1" t="s">
        <v>9643</v>
      </c>
      <c r="CV914" s="1">
        <v>5.98</v>
      </c>
      <c r="CY914" s="1">
        <v>0.06</v>
      </c>
      <c r="DB914" s="1">
        <v>0.05</v>
      </c>
      <c r="DC914" s="1">
        <v>1.91</v>
      </c>
      <c r="DE914" s="1" t="s">
        <v>9646</v>
      </c>
      <c r="DG914" s="1">
        <v>0.12</v>
      </c>
      <c r="DM914" s="1">
        <v>1.77</v>
      </c>
      <c r="EX914" s="1">
        <v>208.8</v>
      </c>
    </row>
    <row r="915" spans="1:154" x14ac:dyDescent="0.2">
      <c r="A915" s="1" t="s">
        <v>9416</v>
      </c>
      <c r="B915" s="1" t="s">
        <v>1911</v>
      </c>
      <c r="C915" s="1" t="s">
        <v>9411</v>
      </c>
      <c r="E915" s="1">
        <v>45</v>
      </c>
      <c r="F915" s="1" t="s">
        <v>9417</v>
      </c>
      <c r="H915" s="1" t="s">
        <v>9418</v>
      </c>
      <c r="I915" s="1" t="s">
        <v>11</v>
      </c>
      <c r="J915" s="1" t="s">
        <v>9419</v>
      </c>
      <c r="K915" s="1" t="s">
        <v>9420</v>
      </c>
      <c r="L915" s="1" t="s">
        <v>9419</v>
      </c>
      <c r="O915" s="1">
        <v>5</v>
      </c>
      <c r="Q915" s="1">
        <v>2007</v>
      </c>
      <c r="R915" s="1" t="s">
        <v>9385</v>
      </c>
      <c r="S915" s="1" t="s">
        <v>27</v>
      </c>
      <c r="T915" s="17" t="s">
        <v>7945</v>
      </c>
      <c r="V915" s="1">
        <v>480</v>
      </c>
      <c r="W915" s="1">
        <v>113</v>
      </c>
      <c r="Z915" s="1">
        <v>71.2</v>
      </c>
      <c r="AA915" s="1">
        <v>6.25</v>
      </c>
      <c r="AC915" s="1">
        <v>26.6</v>
      </c>
      <c r="AJ915" s="1">
        <v>0.6</v>
      </c>
      <c r="AK915" s="1">
        <v>0.254</v>
      </c>
      <c r="AL915" s="1">
        <v>0.217</v>
      </c>
      <c r="AM915" s="1">
        <v>0.27700000000000002</v>
      </c>
      <c r="AQ915" s="1">
        <v>0.2</v>
      </c>
      <c r="AV915" s="1">
        <v>1.3</v>
      </c>
      <c r="AY915" s="1">
        <v>81.099999999999994</v>
      </c>
      <c r="BD915" s="1">
        <v>0.28999999999999998</v>
      </c>
      <c r="BF915" s="1">
        <v>0.84</v>
      </c>
      <c r="BG915" s="1">
        <v>41</v>
      </c>
      <c r="BH915" s="1">
        <v>207</v>
      </c>
      <c r="BJ915" s="1">
        <v>54.3</v>
      </c>
      <c r="BK915" s="1" t="s">
        <v>9641</v>
      </c>
      <c r="BM915" s="1">
        <v>138</v>
      </c>
      <c r="BN915" s="1">
        <v>159</v>
      </c>
      <c r="BP915" s="1">
        <v>203</v>
      </c>
      <c r="BS915" s="1">
        <v>52</v>
      </c>
      <c r="BW915" s="1">
        <v>2</v>
      </c>
      <c r="CF915" s="1" t="s">
        <v>9642</v>
      </c>
      <c r="CR915" s="1" t="s">
        <v>9643</v>
      </c>
      <c r="CV915" s="1">
        <v>1.91</v>
      </c>
      <c r="CY915" s="1" t="s">
        <v>9644</v>
      </c>
      <c r="DB915" s="1">
        <v>0.04</v>
      </c>
      <c r="DC915" s="1">
        <v>2.91</v>
      </c>
      <c r="DE915" s="1">
        <v>0.13</v>
      </c>
      <c r="DG915" s="1">
        <v>0.18</v>
      </c>
      <c r="DM915" s="1">
        <v>2.46</v>
      </c>
      <c r="EX915" s="1">
        <v>237.1</v>
      </c>
    </row>
    <row r="916" spans="1:154" x14ac:dyDescent="0.2">
      <c r="A916" s="1" t="s">
        <v>9421</v>
      </c>
      <c r="B916" s="1" t="s">
        <v>1911</v>
      </c>
      <c r="C916" s="1" t="s">
        <v>9411</v>
      </c>
      <c r="E916" s="1">
        <v>45</v>
      </c>
      <c r="F916" s="1" t="s">
        <v>3695</v>
      </c>
      <c r="H916" s="1" t="s">
        <v>9422</v>
      </c>
      <c r="I916" s="1" t="s">
        <v>11</v>
      </c>
      <c r="J916" s="1" t="s">
        <v>3697</v>
      </c>
      <c r="K916" s="1" t="s">
        <v>3698</v>
      </c>
      <c r="L916" s="1" t="s">
        <v>3697</v>
      </c>
      <c r="O916" s="1">
        <v>5</v>
      </c>
      <c r="Q916" s="1">
        <v>2007</v>
      </c>
      <c r="R916" s="1" t="s">
        <v>9385</v>
      </c>
      <c r="S916" s="1" t="s">
        <v>27</v>
      </c>
      <c r="T916" s="17" t="s">
        <v>7945</v>
      </c>
      <c r="V916" s="1">
        <v>418</v>
      </c>
      <c r="W916" s="1">
        <v>98</v>
      </c>
      <c r="Z916" s="1">
        <v>73.5</v>
      </c>
      <c r="AA916" s="1">
        <v>6.25</v>
      </c>
      <c r="AC916" s="1">
        <v>23.4</v>
      </c>
      <c r="AJ916" s="1">
        <v>0.4</v>
      </c>
      <c r="AK916" s="1">
        <v>0.186</v>
      </c>
      <c r="AL916" s="1">
        <v>0.14099999999999999</v>
      </c>
      <c r="AM916" s="1">
        <v>0.27</v>
      </c>
      <c r="AQ916" s="1">
        <v>0.4</v>
      </c>
      <c r="AV916" s="1">
        <v>2.2999999999999998</v>
      </c>
      <c r="AY916" s="1">
        <v>44.4</v>
      </c>
      <c r="BD916" s="1">
        <v>1.2</v>
      </c>
      <c r="BF916" s="1">
        <v>0.34</v>
      </c>
      <c r="BG916" s="1">
        <v>22</v>
      </c>
      <c r="BH916" s="1">
        <v>291</v>
      </c>
      <c r="BJ916" s="1">
        <v>49</v>
      </c>
      <c r="BK916" s="1" t="s">
        <v>9641</v>
      </c>
      <c r="BM916" s="1">
        <v>570</v>
      </c>
      <c r="BN916" s="1">
        <v>870</v>
      </c>
      <c r="BP916" s="1">
        <v>183</v>
      </c>
      <c r="BS916" s="1">
        <v>44</v>
      </c>
      <c r="BW916" s="1">
        <v>2</v>
      </c>
      <c r="CF916" s="1" t="s">
        <v>9642</v>
      </c>
      <c r="CR916" s="1">
        <v>0.36</v>
      </c>
      <c r="CV916" s="1">
        <v>1.92</v>
      </c>
      <c r="CY916" s="1" t="s">
        <v>9647</v>
      </c>
      <c r="DB916" s="1" t="s">
        <v>9647</v>
      </c>
      <c r="DC916" s="1">
        <v>3.77</v>
      </c>
      <c r="DE916" s="1">
        <v>0.44</v>
      </c>
      <c r="DG916" s="1">
        <v>0.18</v>
      </c>
      <c r="DM916" s="1">
        <v>1.85</v>
      </c>
      <c r="EX916" s="1">
        <v>204.5</v>
      </c>
    </row>
    <row r="917" spans="1:154" x14ac:dyDescent="0.2">
      <c r="A917" s="1" t="s">
        <v>9423</v>
      </c>
      <c r="B917" s="1" t="s">
        <v>1911</v>
      </c>
      <c r="C917" s="1" t="s">
        <v>9411</v>
      </c>
      <c r="E917" s="1">
        <v>45</v>
      </c>
      <c r="F917" s="1" t="s">
        <v>4194</v>
      </c>
      <c r="H917" s="1" t="s">
        <v>9424</v>
      </c>
      <c r="I917" s="1" t="s">
        <v>11</v>
      </c>
      <c r="J917" s="1" t="s">
        <v>4196</v>
      </c>
      <c r="K917" s="1" t="s">
        <v>4197</v>
      </c>
      <c r="L917" s="1" t="s">
        <v>4196</v>
      </c>
      <c r="O917" s="1">
        <v>5</v>
      </c>
      <c r="Q917" s="1">
        <v>2007</v>
      </c>
      <c r="R917" s="1" t="s">
        <v>9385</v>
      </c>
      <c r="S917" s="1" t="s">
        <v>27</v>
      </c>
      <c r="T917" s="17" t="s">
        <v>7945</v>
      </c>
      <c r="V917" s="1">
        <v>401</v>
      </c>
      <c r="W917" s="1">
        <v>94</v>
      </c>
      <c r="Z917" s="1">
        <v>73.900000000000006</v>
      </c>
      <c r="AA917" s="1">
        <v>6.25</v>
      </c>
      <c r="AC917" s="1">
        <v>22.6</v>
      </c>
      <c r="AJ917" s="1">
        <v>0.3</v>
      </c>
      <c r="AK917" s="1">
        <v>0.23300000000000001</v>
      </c>
      <c r="AL917" s="1">
        <v>0.15</v>
      </c>
      <c r="AM917" s="1">
        <v>0.29699999999999999</v>
      </c>
      <c r="AQ917" s="1">
        <v>0.3</v>
      </c>
      <c r="AV917" s="1">
        <v>2.9</v>
      </c>
      <c r="AY917" s="1">
        <v>109</v>
      </c>
      <c r="BD917" s="1">
        <v>0.73</v>
      </c>
      <c r="BF917" s="1">
        <v>1.6</v>
      </c>
      <c r="BG917" s="1">
        <v>4</v>
      </c>
      <c r="BH917" s="1">
        <v>288</v>
      </c>
      <c r="BJ917" s="1">
        <v>43.5</v>
      </c>
      <c r="BK917" s="1" t="s">
        <v>9641</v>
      </c>
      <c r="BM917" s="1">
        <v>730</v>
      </c>
      <c r="BN917" s="1">
        <v>1067</v>
      </c>
      <c r="BP917" s="1">
        <v>177</v>
      </c>
      <c r="BS917" s="1">
        <v>32</v>
      </c>
      <c r="BW917" s="1">
        <v>1.4</v>
      </c>
      <c r="CF917" s="1" t="s">
        <v>9642</v>
      </c>
      <c r="CR917" s="1" t="s">
        <v>9643</v>
      </c>
      <c r="CV917" s="1">
        <v>2.15</v>
      </c>
      <c r="CY917" s="1" t="s">
        <v>9644</v>
      </c>
      <c r="DB917" s="1">
        <v>0.04</v>
      </c>
      <c r="DC917" s="1">
        <v>3.16</v>
      </c>
      <c r="DE917" s="1">
        <v>0.26</v>
      </c>
      <c r="DG917" s="1">
        <v>0.19</v>
      </c>
      <c r="DM917" s="1">
        <v>6.62</v>
      </c>
      <c r="EX917" s="1">
        <v>181.1</v>
      </c>
    </row>
    <row r="918" spans="1:154" x14ac:dyDescent="0.2">
      <c r="A918" s="1" t="s">
        <v>9425</v>
      </c>
      <c r="B918" s="1" t="s">
        <v>55</v>
      </c>
      <c r="C918" s="1" t="s">
        <v>9383</v>
      </c>
      <c r="D918" s="1" t="s">
        <v>2</v>
      </c>
      <c r="E918" s="1">
        <v>33</v>
      </c>
      <c r="F918" s="1" t="s">
        <v>1297</v>
      </c>
      <c r="H918" s="1" t="s">
        <v>9426</v>
      </c>
      <c r="I918" s="1" t="s">
        <v>7</v>
      </c>
      <c r="J918" s="1" t="s">
        <v>1299</v>
      </c>
      <c r="K918" s="1" t="s">
        <v>1300</v>
      </c>
      <c r="L918" s="1" t="s">
        <v>1299</v>
      </c>
      <c r="O918" s="1">
        <v>5</v>
      </c>
      <c r="Q918" s="1">
        <v>2007</v>
      </c>
      <c r="R918" s="1" t="s">
        <v>9385</v>
      </c>
      <c r="S918" s="1" t="s">
        <v>27</v>
      </c>
      <c r="T918" s="17" t="s">
        <v>7945</v>
      </c>
      <c r="V918" s="1">
        <v>537</v>
      </c>
      <c r="W918" s="1">
        <v>128</v>
      </c>
      <c r="Z918" s="1">
        <v>72.7</v>
      </c>
      <c r="AA918" s="1">
        <v>6.25</v>
      </c>
      <c r="AC918" s="1">
        <v>20.8</v>
      </c>
      <c r="AJ918" s="1">
        <v>4.8</v>
      </c>
      <c r="AK918" s="1">
        <v>1.1659999999999999</v>
      </c>
      <c r="AL918" s="1">
        <v>1.4590000000000001</v>
      </c>
      <c r="AM918" s="1">
        <v>1.7410000000000001</v>
      </c>
      <c r="AQ918" s="1">
        <v>0.3</v>
      </c>
      <c r="AV918" s="1">
        <v>1.4</v>
      </c>
      <c r="AY918" s="1">
        <v>7.5</v>
      </c>
      <c r="BD918" s="1" t="s">
        <v>9640</v>
      </c>
      <c r="BF918" s="1">
        <v>0.46</v>
      </c>
      <c r="BG918" s="1">
        <v>7</v>
      </c>
      <c r="BH918" s="1">
        <v>461</v>
      </c>
      <c r="BJ918" s="1">
        <v>31.4</v>
      </c>
      <c r="BK918" s="1" t="s">
        <v>9641</v>
      </c>
      <c r="BM918" s="1">
        <v>52.7</v>
      </c>
      <c r="BP918" s="1">
        <v>248</v>
      </c>
      <c r="BS918" s="1">
        <v>7</v>
      </c>
      <c r="BW918" s="1">
        <v>0.42</v>
      </c>
      <c r="CF918" s="1">
        <v>4.5</v>
      </c>
      <c r="CR918" s="1">
        <v>0.87</v>
      </c>
      <c r="CV918" s="1">
        <v>0.87</v>
      </c>
      <c r="CY918" s="1">
        <v>0.1</v>
      </c>
      <c r="DB918" s="1">
        <v>7.0000000000000007E-2</v>
      </c>
      <c r="DC918" s="1">
        <v>6.88</v>
      </c>
      <c r="DE918" s="1">
        <v>0.26</v>
      </c>
      <c r="DG918" s="1">
        <v>0.44</v>
      </c>
      <c r="DM918" s="1">
        <v>2.93</v>
      </c>
      <c r="EX918" s="1">
        <v>63.5</v>
      </c>
    </row>
    <row r="919" spans="1:154" x14ac:dyDescent="0.2">
      <c r="A919" s="1" t="s">
        <v>9427</v>
      </c>
      <c r="B919" s="1" t="s">
        <v>55</v>
      </c>
      <c r="C919" s="1" t="s">
        <v>236</v>
      </c>
      <c r="E919" s="1">
        <v>33</v>
      </c>
      <c r="F919" s="1" t="s">
        <v>9428</v>
      </c>
      <c r="H919" s="1" t="s">
        <v>9429</v>
      </c>
      <c r="I919" s="1" t="s">
        <v>7</v>
      </c>
      <c r="J919" s="1" t="s">
        <v>9430</v>
      </c>
      <c r="K919" s="1" t="s">
        <v>9431</v>
      </c>
      <c r="L919" s="1" t="s">
        <v>9430</v>
      </c>
      <c r="O919" s="1">
        <v>5</v>
      </c>
      <c r="Q919" s="1">
        <v>2007</v>
      </c>
      <c r="R919" s="1" t="s">
        <v>9385</v>
      </c>
      <c r="S919" s="1" t="s">
        <v>27</v>
      </c>
      <c r="T919" s="17" t="s">
        <v>7945</v>
      </c>
      <c r="V919" s="1">
        <v>542</v>
      </c>
      <c r="W919" s="1">
        <v>129</v>
      </c>
      <c r="Z919" s="1">
        <v>72.900000000000006</v>
      </c>
      <c r="AA919" s="1">
        <v>6.25</v>
      </c>
      <c r="AC919" s="1">
        <v>20.5</v>
      </c>
      <c r="AJ919" s="1">
        <v>5.0999999999999996</v>
      </c>
      <c r="AK919" s="1">
        <v>1.41</v>
      </c>
      <c r="AL919" s="1">
        <v>1.7829999999999999</v>
      </c>
      <c r="AM919" s="1">
        <v>1.3460000000000001</v>
      </c>
      <c r="AQ919" s="1">
        <v>0.2</v>
      </c>
      <c r="AV919" s="1">
        <v>1.3</v>
      </c>
      <c r="AY919" s="1">
        <v>100</v>
      </c>
      <c r="BD919" s="1" t="s">
        <v>9641</v>
      </c>
      <c r="BF919" s="1">
        <v>0.39</v>
      </c>
      <c r="BG919" s="1">
        <v>31</v>
      </c>
      <c r="BH919" s="1">
        <v>400</v>
      </c>
      <c r="BJ919" s="1">
        <v>31.2</v>
      </c>
      <c r="BK919" s="1" t="s">
        <v>9641</v>
      </c>
      <c r="BM919" s="1">
        <v>60.6</v>
      </c>
      <c r="BP919" s="1">
        <v>250</v>
      </c>
      <c r="BS919" s="1">
        <v>20</v>
      </c>
      <c r="BW919" s="1">
        <v>0.8</v>
      </c>
      <c r="CF919" s="1">
        <v>1.5</v>
      </c>
      <c r="CR919" s="1">
        <v>0.54</v>
      </c>
      <c r="CV919" s="1">
        <v>0.69</v>
      </c>
      <c r="CY919" s="1" t="s">
        <v>9644</v>
      </c>
      <c r="DB919" s="1">
        <v>0.06</v>
      </c>
      <c r="DC919" s="1">
        <v>4.83</v>
      </c>
      <c r="DE919" s="1">
        <v>0.28000000000000003</v>
      </c>
      <c r="DG919" s="1">
        <v>0.36</v>
      </c>
      <c r="DM919" s="1">
        <v>2.65</v>
      </c>
      <c r="EX919" s="1">
        <v>68.7</v>
      </c>
    </row>
    <row r="920" spans="1:154" x14ac:dyDescent="0.2">
      <c r="A920" s="1" t="s">
        <v>9432</v>
      </c>
      <c r="B920" s="1" t="s">
        <v>55</v>
      </c>
      <c r="C920" s="1" t="s">
        <v>236</v>
      </c>
      <c r="E920" s="1">
        <v>32</v>
      </c>
      <c r="F920" s="1" t="s">
        <v>1768</v>
      </c>
      <c r="H920" s="1" t="s">
        <v>1769</v>
      </c>
      <c r="I920" s="1" t="s">
        <v>7</v>
      </c>
      <c r="J920" s="1" t="s">
        <v>1770</v>
      </c>
      <c r="K920" s="1" t="s">
        <v>1771</v>
      </c>
      <c r="L920" s="1" t="s">
        <v>1770</v>
      </c>
      <c r="O920" s="1">
        <v>5</v>
      </c>
      <c r="Q920" s="1">
        <v>2007</v>
      </c>
      <c r="R920" s="1" t="s">
        <v>9385</v>
      </c>
      <c r="S920" s="1" t="s">
        <v>27</v>
      </c>
      <c r="T920" s="17" t="s">
        <v>7945</v>
      </c>
      <c r="V920" s="1">
        <v>318</v>
      </c>
      <c r="W920" s="1">
        <v>75</v>
      </c>
      <c r="Z920" s="1">
        <v>80.400000000000006</v>
      </c>
      <c r="AA920" s="1">
        <v>6.25</v>
      </c>
      <c r="AC920" s="1">
        <v>17.3</v>
      </c>
      <c r="AJ920" s="1" t="s">
        <v>9641</v>
      </c>
      <c r="AK920" s="1">
        <v>9.8000000000000004E-2</v>
      </c>
      <c r="AL920" s="1">
        <v>6.5000000000000002E-2</v>
      </c>
      <c r="AM920" s="1">
        <v>0.17799999999999999</v>
      </c>
      <c r="AQ920" s="1">
        <v>1.3</v>
      </c>
      <c r="AV920" s="1">
        <v>0.9</v>
      </c>
      <c r="AY920" s="1">
        <v>9.1999999999999993</v>
      </c>
      <c r="BD920" s="1" t="s">
        <v>9640</v>
      </c>
      <c r="BF920" s="1">
        <v>0.28000000000000003</v>
      </c>
      <c r="BG920" s="1">
        <v>126</v>
      </c>
      <c r="BH920" s="1">
        <v>292</v>
      </c>
      <c r="BJ920" s="1">
        <v>26.4</v>
      </c>
      <c r="BK920" s="1" t="s">
        <v>9641</v>
      </c>
      <c r="BM920" s="1">
        <v>65.900000000000006</v>
      </c>
      <c r="BP920" s="1">
        <v>144</v>
      </c>
      <c r="BS920" s="1">
        <v>36</v>
      </c>
      <c r="BW920" s="1">
        <v>0.32</v>
      </c>
      <c r="CF920" s="1" t="s">
        <v>9642</v>
      </c>
      <c r="CR920" s="1" t="s">
        <v>9643</v>
      </c>
      <c r="CV920" s="1">
        <v>0.33</v>
      </c>
      <c r="CY920" s="1" t="s">
        <v>9644</v>
      </c>
      <c r="DB920" s="1" t="s">
        <v>9644</v>
      </c>
      <c r="DC920" s="1">
        <v>2.64</v>
      </c>
      <c r="DE920" s="1" t="s">
        <v>9648</v>
      </c>
      <c r="DG920" s="1">
        <v>0.32</v>
      </c>
      <c r="DM920" s="1">
        <v>1.07</v>
      </c>
      <c r="EX920" s="1">
        <v>42.3</v>
      </c>
    </row>
    <row r="921" spans="1:154" x14ac:dyDescent="0.2">
      <c r="A921" s="1" t="s">
        <v>9433</v>
      </c>
      <c r="B921" s="1" t="s">
        <v>55</v>
      </c>
      <c r="C921" s="1" t="s">
        <v>236</v>
      </c>
      <c r="E921" s="1">
        <v>32</v>
      </c>
      <c r="F921" s="1" t="s">
        <v>1763</v>
      </c>
      <c r="H921" s="1" t="s">
        <v>9434</v>
      </c>
      <c r="I921" s="1" t="s">
        <v>7</v>
      </c>
      <c r="J921" s="1" t="s">
        <v>1765</v>
      </c>
      <c r="K921" s="1" t="s">
        <v>1766</v>
      </c>
      <c r="L921" s="1" t="s">
        <v>1765</v>
      </c>
      <c r="O921" s="1">
        <v>5</v>
      </c>
      <c r="Q921" s="1">
        <v>2007</v>
      </c>
      <c r="R921" s="1" t="s">
        <v>9385</v>
      </c>
      <c r="S921" s="1" t="s">
        <v>27</v>
      </c>
      <c r="T921" s="17" t="s">
        <v>7945</v>
      </c>
      <c r="V921" s="1">
        <v>288</v>
      </c>
      <c r="W921" s="1">
        <v>68</v>
      </c>
      <c r="Z921" s="1">
        <v>82.7</v>
      </c>
      <c r="AA921" s="1">
        <v>6.25</v>
      </c>
      <c r="AC921" s="1">
        <v>15.4</v>
      </c>
      <c r="AJ921" s="1">
        <v>0.5</v>
      </c>
      <c r="AK921" s="1">
        <v>0.11700000000000001</v>
      </c>
      <c r="AL921" s="1">
        <v>0.32200000000000001</v>
      </c>
      <c r="AM921" s="1">
        <v>0.23400000000000001</v>
      </c>
      <c r="AQ921" s="1">
        <v>0.4</v>
      </c>
      <c r="AV921" s="1">
        <v>1</v>
      </c>
      <c r="AY921" s="1">
        <v>1.6</v>
      </c>
      <c r="BD921" s="1" t="s">
        <v>9640</v>
      </c>
      <c r="BF921" s="1">
        <v>0.12</v>
      </c>
      <c r="BG921" s="1">
        <v>13</v>
      </c>
      <c r="BH921" s="1">
        <v>281</v>
      </c>
      <c r="BJ921" s="1">
        <v>22.1</v>
      </c>
      <c r="BK921" s="1" t="s">
        <v>9641</v>
      </c>
      <c r="BM921" s="1">
        <v>94</v>
      </c>
      <c r="BP921" s="1">
        <v>103</v>
      </c>
      <c r="BS921" s="1">
        <v>36</v>
      </c>
      <c r="BW921" s="1">
        <v>0.22</v>
      </c>
      <c r="CF921" s="1">
        <v>5.0999999999999996</v>
      </c>
      <c r="CR921" s="1">
        <v>0.52</v>
      </c>
      <c r="CV921" s="1">
        <v>1.36</v>
      </c>
      <c r="CY921" s="1" t="s">
        <v>9647</v>
      </c>
      <c r="DB921" s="1" t="s">
        <v>9644</v>
      </c>
      <c r="DC921" s="1">
        <v>1.29</v>
      </c>
      <c r="DE921" s="1">
        <v>0.08</v>
      </c>
      <c r="DG921" s="1">
        <v>0.12</v>
      </c>
      <c r="DM921" s="1">
        <v>0.33</v>
      </c>
      <c r="EX921" s="1">
        <v>37.1</v>
      </c>
    </row>
    <row r="922" spans="1:154" x14ac:dyDescent="0.2">
      <c r="A922" s="1" t="s">
        <v>9435</v>
      </c>
      <c r="B922" s="1" t="s">
        <v>55</v>
      </c>
      <c r="C922" s="1" t="s">
        <v>236</v>
      </c>
      <c r="E922" s="1">
        <v>35</v>
      </c>
      <c r="F922" s="1" t="s">
        <v>1967</v>
      </c>
      <c r="H922" s="1" t="s">
        <v>9436</v>
      </c>
      <c r="I922" s="1" t="s">
        <v>7</v>
      </c>
      <c r="J922" s="1" t="s">
        <v>1969</v>
      </c>
      <c r="K922" s="1" t="s">
        <v>1970</v>
      </c>
      <c r="L922" s="1" t="s">
        <v>1969</v>
      </c>
      <c r="O922" s="1">
        <v>5</v>
      </c>
      <c r="Q922" s="1">
        <v>2007</v>
      </c>
      <c r="R922" s="1" t="s">
        <v>9385</v>
      </c>
      <c r="S922" s="1" t="s">
        <v>27</v>
      </c>
      <c r="T922" s="17" t="s">
        <v>7945</v>
      </c>
      <c r="V922" s="1">
        <v>727</v>
      </c>
      <c r="W922" s="1">
        <v>174</v>
      </c>
      <c r="Z922" s="1">
        <v>68.3</v>
      </c>
      <c r="AA922" s="1">
        <v>6.25</v>
      </c>
      <c r="AC922" s="1">
        <v>18.7</v>
      </c>
      <c r="AJ922" s="1">
        <v>10.6</v>
      </c>
      <c r="AK922" s="1">
        <v>2.2320000000000002</v>
      </c>
      <c r="AL922" s="1">
        <v>5.3339999999999996</v>
      </c>
      <c r="AM922" s="1">
        <v>2.0779999999999998</v>
      </c>
      <c r="AQ922" s="1">
        <v>1.1000000000000001</v>
      </c>
      <c r="AV922" s="1">
        <v>1.4</v>
      </c>
      <c r="AY922" s="1">
        <v>47.7</v>
      </c>
      <c r="BD922" s="1" t="s">
        <v>9641</v>
      </c>
      <c r="BF922" s="1">
        <v>0.88</v>
      </c>
      <c r="BG922" s="1">
        <v>9</v>
      </c>
      <c r="BH922" s="1">
        <v>421</v>
      </c>
      <c r="BJ922" s="1">
        <v>32.700000000000003</v>
      </c>
      <c r="BK922" s="1" t="s">
        <v>9641</v>
      </c>
      <c r="BM922" s="1">
        <v>52.4</v>
      </c>
      <c r="BP922" s="1">
        <v>247</v>
      </c>
      <c r="BS922" s="1">
        <v>25</v>
      </c>
      <c r="BW922" s="1">
        <v>0.44</v>
      </c>
      <c r="CF922" s="1">
        <v>11.7</v>
      </c>
      <c r="CR922" s="1">
        <v>8.36</v>
      </c>
      <c r="CV922" s="1">
        <v>1.08</v>
      </c>
      <c r="CY922" s="1" t="s">
        <v>9647</v>
      </c>
      <c r="DB922" s="1">
        <v>0.15</v>
      </c>
      <c r="DC922" s="1">
        <v>6.14</v>
      </c>
      <c r="DE922" s="1">
        <v>0.72</v>
      </c>
      <c r="DG922" s="1">
        <v>0.4</v>
      </c>
      <c r="DM922" s="1">
        <v>8.2799999999999994</v>
      </c>
      <c r="EX922" s="1">
        <v>54.7</v>
      </c>
    </row>
    <row r="923" spans="1:154" x14ac:dyDescent="0.2">
      <c r="A923" s="1" t="s">
        <v>9437</v>
      </c>
      <c r="B923" s="1" t="s">
        <v>55</v>
      </c>
      <c r="C923" s="1" t="s">
        <v>236</v>
      </c>
      <c r="E923" s="1">
        <v>35</v>
      </c>
      <c r="F923" s="1" t="s">
        <v>1967</v>
      </c>
      <c r="H923" s="1" t="s">
        <v>9438</v>
      </c>
      <c r="I923" s="1" t="s">
        <v>7</v>
      </c>
      <c r="J923" s="1" t="s">
        <v>1969</v>
      </c>
      <c r="K923" s="1" t="s">
        <v>1970</v>
      </c>
      <c r="L923" s="1" t="s">
        <v>1969</v>
      </c>
      <c r="O923" s="1">
        <v>5</v>
      </c>
      <c r="Q923" s="1">
        <v>2007</v>
      </c>
      <c r="R923" s="1" t="s">
        <v>9385</v>
      </c>
      <c r="S923" s="1" t="s">
        <v>27</v>
      </c>
      <c r="T923" s="17" t="s">
        <v>7945</v>
      </c>
      <c r="V923" s="1">
        <v>454</v>
      </c>
      <c r="W923" s="1">
        <v>108</v>
      </c>
      <c r="Z923" s="1">
        <v>76.2</v>
      </c>
      <c r="AA923" s="1">
        <v>6.25</v>
      </c>
      <c r="AC923" s="1">
        <v>18.3</v>
      </c>
      <c r="AJ923" s="1">
        <v>3.7</v>
      </c>
      <c r="AK923" s="1">
        <v>0.83</v>
      </c>
      <c r="AL923" s="1">
        <v>2.1</v>
      </c>
      <c r="AM923" s="1">
        <v>0.746</v>
      </c>
      <c r="AQ923" s="1">
        <v>0.4</v>
      </c>
      <c r="AV923" s="1">
        <v>1.5</v>
      </c>
      <c r="AY923" s="1">
        <v>23.8</v>
      </c>
      <c r="BD923" s="1" t="s">
        <v>9641</v>
      </c>
      <c r="BF923" s="1">
        <v>0.87</v>
      </c>
      <c r="BG923" s="1">
        <v>6</v>
      </c>
      <c r="BH923" s="1">
        <v>450</v>
      </c>
      <c r="BJ923" s="1">
        <v>36.200000000000003</v>
      </c>
      <c r="BK923" s="1" t="s">
        <v>9641</v>
      </c>
      <c r="BM923" s="1">
        <v>75</v>
      </c>
      <c r="BP923" s="1">
        <v>261</v>
      </c>
      <c r="BS923" s="1">
        <v>19</v>
      </c>
      <c r="BW923" s="1">
        <v>0.5</v>
      </c>
      <c r="CF923" s="1">
        <v>6.1</v>
      </c>
      <c r="CR923" s="1">
        <v>9.59</v>
      </c>
      <c r="CV923" s="1">
        <v>0.56999999999999995</v>
      </c>
      <c r="CY923" s="1" t="s">
        <v>9647</v>
      </c>
      <c r="DB923" s="1">
        <v>0.13</v>
      </c>
      <c r="DC923" s="1">
        <v>4.1100000000000003</v>
      </c>
      <c r="DE923" s="1">
        <v>0.56999999999999995</v>
      </c>
      <c r="DG923" s="1">
        <v>0.42</v>
      </c>
      <c r="DM923" s="1">
        <v>8.4700000000000006</v>
      </c>
      <c r="EX923" s="1">
        <v>49.9</v>
      </c>
    </row>
    <row r="924" spans="1:154" x14ac:dyDescent="0.2">
      <c r="A924" s="1" t="s">
        <v>9439</v>
      </c>
      <c r="B924" s="1" t="s">
        <v>55</v>
      </c>
      <c r="C924" s="1" t="s">
        <v>236</v>
      </c>
      <c r="E924" s="1">
        <v>32</v>
      </c>
      <c r="F924" s="1" t="s">
        <v>9440</v>
      </c>
      <c r="H924" s="1" t="s">
        <v>9441</v>
      </c>
      <c r="I924" s="1" t="s">
        <v>7</v>
      </c>
      <c r="J924" s="1" t="s">
        <v>9442</v>
      </c>
      <c r="K924" s="1" t="s">
        <v>9443</v>
      </c>
      <c r="L924" s="1" t="s">
        <v>9442</v>
      </c>
      <c r="O924" s="1">
        <v>5</v>
      </c>
      <c r="Q924" s="1">
        <v>2007</v>
      </c>
      <c r="R924" s="1" t="s">
        <v>9385</v>
      </c>
      <c r="S924" s="1" t="s">
        <v>27</v>
      </c>
      <c r="T924" s="17" t="s">
        <v>7945</v>
      </c>
      <c r="V924" s="1">
        <v>387</v>
      </c>
      <c r="W924" s="1">
        <v>92</v>
      </c>
      <c r="Z924" s="1">
        <v>78.7</v>
      </c>
      <c r="AA924" s="1">
        <v>6.25</v>
      </c>
      <c r="AC924" s="1">
        <v>17.8</v>
      </c>
      <c r="AJ924" s="1">
        <v>2.2000000000000002</v>
      </c>
      <c r="AK924" s="1">
        <v>0.53200000000000003</v>
      </c>
      <c r="AL924" s="1">
        <v>0.94799999999999995</v>
      </c>
      <c r="AM924" s="1">
        <v>0.35099999999999998</v>
      </c>
      <c r="AQ924" s="1">
        <v>0.3</v>
      </c>
      <c r="AV924" s="1">
        <v>1.1000000000000001</v>
      </c>
      <c r="AY924" s="1">
        <v>6.5</v>
      </c>
      <c r="BD924" s="1" t="s">
        <v>9640</v>
      </c>
      <c r="BF924" s="1">
        <v>0.23</v>
      </c>
      <c r="BG924" s="1">
        <v>14</v>
      </c>
      <c r="BH924" s="1">
        <v>345</v>
      </c>
      <c r="BJ924" s="1">
        <v>28.2</v>
      </c>
      <c r="BK924" s="1" t="s">
        <v>9641</v>
      </c>
      <c r="BM924" s="1">
        <v>70.8</v>
      </c>
      <c r="BP924" s="1">
        <v>167</v>
      </c>
      <c r="BS924" s="1">
        <v>28</v>
      </c>
      <c r="BW924" s="1">
        <v>0.26</v>
      </c>
      <c r="CF924" s="1">
        <v>18.7</v>
      </c>
      <c r="CR924" s="1">
        <v>2.4900000000000002</v>
      </c>
      <c r="CV924" s="1">
        <v>0.47</v>
      </c>
      <c r="CY924" s="1">
        <v>0.04</v>
      </c>
      <c r="DB924" s="1">
        <v>0.05</v>
      </c>
      <c r="DC924" s="1">
        <v>1.67</v>
      </c>
      <c r="DE924" s="1">
        <v>0.52</v>
      </c>
      <c r="DG924" s="1">
        <v>0.12</v>
      </c>
      <c r="DM924" s="1">
        <v>1.1100000000000001</v>
      </c>
      <c r="EX924" s="1">
        <v>33.6</v>
      </c>
    </row>
    <row r="925" spans="1:154" x14ac:dyDescent="0.2">
      <c r="A925" s="1" t="s">
        <v>9444</v>
      </c>
      <c r="B925" s="1" t="s">
        <v>57</v>
      </c>
      <c r="C925" s="1" t="s">
        <v>9445</v>
      </c>
      <c r="E925" s="1">
        <v>53</v>
      </c>
      <c r="F925" s="1" t="s">
        <v>3878</v>
      </c>
      <c r="H925" s="1" t="s">
        <v>9446</v>
      </c>
      <c r="I925" s="1" t="s">
        <v>7</v>
      </c>
      <c r="J925" s="1" t="s">
        <v>3880</v>
      </c>
      <c r="K925" s="1" t="s">
        <v>3881</v>
      </c>
      <c r="L925" s="1" t="s">
        <v>3880</v>
      </c>
      <c r="O925" s="1">
        <v>5</v>
      </c>
      <c r="Q925" s="1">
        <v>2007</v>
      </c>
      <c r="R925" s="1" t="s">
        <v>9385</v>
      </c>
      <c r="S925" s="1" t="s">
        <v>27</v>
      </c>
      <c r="T925" s="17" t="s">
        <v>7945</v>
      </c>
      <c r="V925" s="1">
        <v>280</v>
      </c>
      <c r="W925" s="1">
        <v>66</v>
      </c>
      <c r="Z925" s="1">
        <v>83.3</v>
      </c>
      <c r="AA925" s="1">
        <v>6.25</v>
      </c>
      <c r="AC925" s="1">
        <v>8.6</v>
      </c>
      <c r="AJ925" s="1">
        <v>1.7</v>
      </c>
      <c r="AK925" s="1">
        <v>0.33600000000000002</v>
      </c>
      <c r="AL925" s="1">
        <v>0.22800000000000001</v>
      </c>
      <c r="AM925" s="1">
        <v>0.34599999999999997</v>
      </c>
      <c r="AQ925" s="1">
        <v>4</v>
      </c>
      <c r="AV925" s="1">
        <v>2.2999999999999998</v>
      </c>
      <c r="AY925" s="1">
        <v>77.900000000000006</v>
      </c>
      <c r="BD925" s="1">
        <v>1.4</v>
      </c>
      <c r="BF925" s="1">
        <v>2.1</v>
      </c>
      <c r="BG925" s="1">
        <v>101</v>
      </c>
      <c r="BH925" s="1">
        <v>215</v>
      </c>
      <c r="BJ925" s="1">
        <v>71.599999999999994</v>
      </c>
      <c r="BK925" s="1">
        <v>0.66</v>
      </c>
      <c r="BM925" s="1">
        <v>470</v>
      </c>
      <c r="BP925" s="1">
        <v>95</v>
      </c>
      <c r="BS925" s="1">
        <v>29</v>
      </c>
      <c r="BW925" s="1">
        <v>26.8</v>
      </c>
      <c r="CF925" s="1">
        <v>14.2</v>
      </c>
      <c r="CR925" s="1" t="s">
        <v>9649</v>
      </c>
      <c r="CV925" s="1">
        <v>1.21</v>
      </c>
      <c r="CY925" s="1">
        <v>0.04</v>
      </c>
      <c r="DB925" s="1">
        <v>0.15</v>
      </c>
      <c r="DC925" s="1">
        <v>1.95</v>
      </c>
      <c r="DE925" s="1">
        <v>0.65</v>
      </c>
      <c r="DG925" s="1">
        <v>0.1</v>
      </c>
      <c r="DM925" s="1">
        <v>28.56</v>
      </c>
      <c r="EX925" s="1">
        <v>20.3</v>
      </c>
    </row>
    <row r="926" spans="1:154" x14ac:dyDescent="0.2">
      <c r="A926" s="1" t="s">
        <v>9447</v>
      </c>
      <c r="B926" s="1" t="s">
        <v>1911</v>
      </c>
      <c r="C926" s="1" t="s">
        <v>236</v>
      </c>
      <c r="E926" s="1">
        <v>43</v>
      </c>
      <c r="F926" s="1" t="s">
        <v>1927</v>
      </c>
      <c r="H926" s="1" t="s">
        <v>9448</v>
      </c>
      <c r="I926" s="1" t="s">
        <v>11</v>
      </c>
      <c r="J926" s="1" t="s">
        <v>1929</v>
      </c>
      <c r="K926" s="1" t="s">
        <v>9449</v>
      </c>
      <c r="L926" s="1" t="s">
        <v>1929</v>
      </c>
      <c r="O926" s="1">
        <v>5</v>
      </c>
      <c r="Q926" s="1">
        <v>2007</v>
      </c>
      <c r="R926" s="1" t="s">
        <v>9385</v>
      </c>
      <c r="S926" s="1" t="s">
        <v>27</v>
      </c>
      <c r="T926" s="17" t="s">
        <v>7945</v>
      </c>
      <c r="V926" s="1">
        <v>386</v>
      </c>
      <c r="W926" s="1">
        <v>91</v>
      </c>
      <c r="Z926" s="1">
        <v>76.3</v>
      </c>
      <c r="AA926" s="1">
        <v>6.25</v>
      </c>
      <c r="AC926" s="1">
        <v>20.9</v>
      </c>
      <c r="AJ926" s="1">
        <v>0.7</v>
      </c>
      <c r="AK926" s="1">
        <v>0.13600000000000001</v>
      </c>
      <c r="AL926" s="1">
        <v>0.16300000000000001</v>
      </c>
      <c r="AM926" s="1">
        <v>0.20200000000000001</v>
      </c>
      <c r="AQ926" s="1">
        <v>0.3</v>
      </c>
      <c r="AV926" s="1">
        <v>1.8</v>
      </c>
      <c r="AY926" s="1">
        <v>84</v>
      </c>
      <c r="BD926" s="1">
        <v>0.83</v>
      </c>
      <c r="BF926" s="1">
        <v>1.3</v>
      </c>
      <c r="BG926" s="1">
        <v>394</v>
      </c>
      <c r="BH926" s="1">
        <v>283</v>
      </c>
      <c r="BJ926" s="1">
        <v>45</v>
      </c>
      <c r="BK926" s="1" t="s">
        <v>9641</v>
      </c>
      <c r="BM926" s="1">
        <v>270</v>
      </c>
      <c r="BN926" s="1">
        <v>413</v>
      </c>
      <c r="BP926" s="1">
        <v>208</v>
      </c>
      <c r="BS926" s="1">
        <v>56</v>
      </c>
      <c r="BW926" s="1">
        <v>1.7</v>
      </c>
      <c r="CF926" s="1" t="s">
        <v>9650</v>
      </c>
      <c r="CR926" s="1" t="s">
        <v>9649</v>
      </c>
      <c r="CV926" s="1">
        <v>3.01</v>
      </c>
      <c r="CY926" s="1">
        <v>0.05</v>
      </c>
      <c r="DB926" s="1">
        <v>0.03</v>
      </c>
      <c r="DC926" s="1">
        <v>2.3199999999999998</v>
      </c>
      <c r="DE926" s="1">
        <v>0.22</v>
      </c>
      <c r="DG926" s="1">
        <v>0.16</v>
      </c>
      <c r="DM926" s="1">
        <v>3.35</v>
      </c>
      <c r="EX926" s="1">
        <v>149.1</v>
      </c>
    </row>
    <row r="927" spans="1:154" x14ac:dyDescent="0.2">
      <c r="A927" s="1" t="s">
        <v>9450</v>
      </c>
      <c r="B927" s="1" t="s">
        <v>55</v>
      </c>
      <c r="C927" s="1" t="s">
        <v>236</v>
      </c>
      <c r="E927" s="1">
        <v>32</v>
      </c>
      <c r="F927" s="1" t="s">
        <v>1790</v>
      </c>
      <c r="H927" s="1" t="s">
        <v>9451</v>
      </c>
      <c r="I927" s="1" t="s">
        <v>7</v>
      </c>
      <c r="J927" s="1" t="s">
        <v>1792</v>
      </c>
      <c r="K927" s="1" t="s">
        <v>9452</v>
      </c>
      <c r="L927" s="1" t="s">
        <v>1792</v>
      </c>
      <c r="O927" s="1">
        <v>5</v>
      </c>
      <c r="Q927" s="1">
        <v>2007</v>
      </c>
      <c r="R927" s="1" t="s">
        <v>9385</v>
      </c>
      <c r="S927" s="1" t="s">
        <v>27</v>
      </c>
      <c r="T927" s="17" t="s">
        <v>7945</v>
      </c>
      <c r="V927" s="1">
        <v>348</v>
      </c>
      <c r="W927" s="1">
        <v>82</v>
      </c>
      <c r="Z927" s="1">
        <v>79.3</v>
      </c>
      <c r="AA927" s="1">
        <v>6.25</v>
      </c>
      <c r="AC927" s="1">
        <v>18.2</v>
      </c>
      <c r="AJ927" s="1">
        <v>0.9</v>
      </c>
      <c r="AK927" s="1">
        <v>0.14599999999999999</v>
      </c>
      <c r="AL927" s="1">
        <v>0.12</v>
      </c>
      <c r="AM927" s="1">
        <v>0.314</v>
      </c>
      <c r="AQ927" s="1">
        <v>0.4</v>
      </c>
      <c r="AV927" s="1">
        <v>1.3</v>
      </c>
      <c r="AY927" s="1">
        <v>14.7</v>
      </c>
      <c r="BD927" s="1" t="s">
        <v>9640</v>
      </c>
      <c r="BF927" s="1">
        <v>1.3</v>
      </c>
      <c r="BG927" s="1">
        <v>143</v>
      </c>
      <c r="BH927" s="1">
        <v>391</v>
      </c>
      <c r="BJ927" s="1">
        <v>30.7</v>
      </c>
      <c r="BK927" s="1" t="s">
        <v>9641</v>
      </c>
      <c r="BM927" s="1">
        <v>82.4</v>
      </c>
      <c r="BP927" s="1">
        <v>192</v>
      </c>
      <c r="BS927" s="1">
        <v>21</v>
      </c>
      <c r="BW927" s="1">
        <v>0.56999999999999995</v>
      </c>
      <c r="CF927" s="1">
        <v>2.8</v>
      </c>
      <c r="CR927" s="1">
        <v>1.77</v>
      </c>
      <c r="CV927" s="1">
        <v>0.88</v>
      </c>
      <c r="CY927" s="1">
        <v>0.13</v>
      </c>
      <c r="DB927" s="1">
        <v>0.15</v>
      </c>
      <c r="DC927" s="1">
        <v>2.2599999999999998</v>
      </c>
      <c r="DE927" s="1">
        <v>0.4</v>
      </c>
      <c r="DG927" s="1">
        <v>0.25</v>
      </c>
      <c r="DM927" s="1">
        <v>4.76</v>
      </c>
      <c r="EX927" s="1">
        <v>62</v>
      </c>
    </row>
    <row r="928" spans="1:154" x14ac:dyDescent="0.2">
      <c r="A928" s="1" t="s">
        <v>9453</v>
      </c>
      <c r="B928" s="1" t="s">
        <v>55</v>
      </c>
      <c r="C928" s="1" t="s">
        <v>236</v>
      </c>
      <c r="E928" s="1">
        <v>32</v>
      </c>
      <c r="F928" s="1" t="s">
        <v>9454</v>
      </c>
      <c r="H928" s="1" t="s">
        <v>9455</v>
      </c>
      <c r="I928" s="1" t="s">
        <v>7</v>
      </c>
      <c r="J928" s="1" t="s">
        <v>9456</v>
      </c>
      <c r="K928" s="1" t="s">
        <v>9457</v>
      </c>
      <c r="L928" s="1" t="s">
        <v>9458</v>
      </c>
      <c r="O928" s="1">
        <v>5</v>
      </c>
      <c r="Q928" s="1">
        <v>2007</v>
      </c>
      <c r="R928" s="1" t="s">
        <v>9385</v>
      </c>
      <c r="S928" s="1" t="s">
        <v>27</v>
      </c>
      <c r="T928" s="17" t="s">
        <v>7945</v>
      </c>
      <c r="V928" s="1">
        <v>333</v>
      </c>
      <c r="W928" s="1">
        <v>78</v>
      </c>
      <c r="Z928" s="1">
        <v>79.599999999999994</v>
      </c>
      <c r="AA928" s="1">
        <v>6.25</v>
      </c>
      <c r="AC928" s="1">
        <v>18.899999999999999</v>
      </c>
      <c r="AJ928" s="1">
        <v>0.2</v>
      </c>
      <c r="AK928" s="1">
        <v>9.5000000000000001E-2</v>
      </c>
      <c r="AL928" s="1">
        <v>0.08</v>
      </c>
      <c r="AM928" s="1">
        <v>0.187</v>
      </c>
      <c r="AQ928" s="1">
        <v>0.2</v>
      </c>
      <c r="AV928" s="1">
        <v>1.1000000000000001</v>
      </c>
      <c r="AY928" s="1">
        <v>4</v>
      </c>
      <c r="BD928" s="1" t="s">
        <v>9640</v>
      </c>
      <c r="BF928" s="1">
        <v>0.26</v>
      </c>
      <c r="BG928" s="1">
        <v>10</v>
      </c>
      <c r="BH928" s="1">
        <v>302</v>
      </c>
      <c r="BJ928" s="1">
        <v>26.8</v>
      </c>
      <c r="BK928" s="1" t="s">
        <v>9641</v>
      </c>
      <c r="BM928" s="1">
        <v>92.8</v>
      </c>
      <c r="BP928" s="1">
        <v>151</v>
      </c>
      <c r="BS928" s="1">
        <v>23</v>
      </c>
      <c r="BW928" s="1">
        <v>0.4</v>
      </c>
      <c r="CF928" s="1">
        <v>3.7</v>
      </c>
      <c r="CR928" s="1" t="s">
        <v>9649</v>
      </c>
      <c r="CV928" s="1">
        <v>0.17</v>
      </c>
      <c r="CY928" s="1" t="s">
        <v>9647</v>
      </c>
      <c r="DB928" s="1" t="s">
        <v>9644</v>
      </c>
      <c r="DC928" s="1">
        <v>2.0299999999999998</v>
      </c>
      <c r="DE928" s="1">
        <v>0.11</v>
      </c>
      <c r="DG928" s="1">
        <v>0.18</v>
      </c>
      <c r="DM928" s="1">
        <v>0.64</v>
      </c>
      <c r="EX928" s="1">
        <v>51.9</v>
      </c>
    </row>
    <row r="929" spans="1:154" x14ac:dyDescent="0.2">
      <c r="A929" s="1" t="s">
        <v>9459</v>
      </c>
      <c r="B929" s="1" t="s">
        <v>55</v>
      </c>
      <c r="C929" s="1" t="s">
        <v>236</v>
      </c>
      <c r="E929" s="1">
        <v>34</v>
      </c>
      <c r="F929" s="1" t="s">
        <v>9460</v>
      </c>
      <c r="H929" s="1" t="s">
        <v>9461</v>
      </c>
      <c r="I929" s="1" t="s">
        <v>7</v>
      </c>
      <c r="J929" s="1" t="s">
        <v>9462</v>
      </c>
      <c r="K929" s="1" t="s">
        <v>9463</v>
      </c>
      <c r="L929" s="1" t="s">
        <v>9462</v>
      </c>
      <c r="O929" s="1">
        <v>5</v>
      </c>
      <c r="Q929" s="1">
        <v>2007</v>
      </c>
      <c r="R929" s="1" t="s">
        <v>9385</v>
      </c>
      <c r="S929" s="1" t="s">
        <v>27</v>
      </c>
      <c r="T929" s="17" t="s">
        <v>7945</v>
      </c>
      <c r="V929" s="1">
        <v>298</v>
      </c>
      <c r="W929" s="1">
        <v>70</v>
      </c>
      <c r="Z929" s="1">
        <v>81.5</v>
      </c>
      <c r="AA929" s="1">
        <v>6.25</v>
      </c>
      <c r="AC929" s="1">
        <v>16.7</v>
      </c>
      <c r="AJ929" s="1">
        <v>0.2</v>
      </c>
      <c r="AK929" s="1">
        <v>8.5000000000000006E-2</v>
      </c>
      <c r="AL929" s="1">
        <v>6.4000000000000001E-2</v>
      </c>
      <c r="AM929" s="1">
        <v>0.13</v>
      </c>
      <c r="AQ929" s="1">
        <v>0.4</v>
      </c>
      <c r="AV929" s="1">
        <v>1.2</v>
      </c>
      <c r="AY929" s="1">
        <v>1</v>
      </c>
      <c r="BD929" s="1" t="s">
        <v>9640</v>
      </c>
      <c r="BF929" s="1">
        <v>0.26</v>
      </c>
      <c r="BG929" s="1">
        <v>41</v>
      </c>
      <c r="BH929" s="1">
        <v>339</v>
      </c>
      <c r="BJ929" s="1">
        <v>28.7</v>
      </c>
      <c r="BK929" s="1" t="s">
        <v>9641</v>
      </c>
      <c r="BM929" s="1">
        <v>127</v>
      </c>
      <c r="BP929" s="1">
        <v>149</v>
      </c>
      <c r="BS929" s="1">
        <v>41</v>
      </c>
      <c r="BW929" s="1">
        <v>0.44</v>
      </c>
      <c r="CF929" s="1">
        <v>27.5</v>
      </c>
      <c r="CR929" s="1">
        <v>0.33</v>
      </c>
      <c r="CV929" s="1">
        <v>0.33</v>
      </c>
      <c r="CY929" s="1" t="s">
        <v>9645</v>
      </c>
      <c r="DB929" s="1" t="s">
        <v>9645</v>
      </c>
      <c r="DC929" s="1">
        <v>2.4300000000000002</v>
      </c>
      <c r="DE929" s="1">
        <v>0.17</v>
      </c>
      <c r="DG929" s="1">
        <v>0.14000000000000001</v>
      </c>
      <c r="DM929" s="1">
        <v>0.46</v>
      </c>
      <c r="EX929" s="1">
        <v>44.1</v>
      </c>
    </row>
    <row r="930" spans="1:154" x14ac:dyDescent="0.2">
      <c r="A930" s="1" t="s">
        <v>9464</v>
      </c>
      <c r="B930" s="1" t="s">
        <v>55</v>
      </c>
      <c r="C930" s="1" t="s">
        <v>236</v>
      </c>
      <c r="E930" s="1">
        <v>37</v>
      </c>
      <c r="F930" s="1" t="s">
        <v>1600</v>
      </c>
      <c r="H930" s="1" t="s">
        <v>9465</v>
      </c>
      <c r="I930" s="1" t="s">
        <v>7</v>
      </c>
      <c r="J930" s="1" t="s">
        <v>1602</v>
      </c>
      <c r="K930" s="1" t="s">
        <v>1603</v>
      </c>
      <c r="L930" s="1" t="s">
        <v>1602</v>
      </c>
      <c r="O930" s="1">
        <v>5</v>
      </c>
      <c r="Q930" s="1">
        <v>2007</v>
      </c>
      <c r="R930" s="1" t="s">
        <v>9385</v>
      </c>
      <c r="S930" s="1" t="s">
        <v>27</v>
      </c>
      <c r="T930" s="17" t="s">
        <v>7945</v>
      </c>
      <c r="V930" s="1">
        <v>838</v>
      </c>
      <c r="W930" s="1">
        <v>201</v>
      </c>
      <c r="Z930" s="1">
        <v>66.400000000000006</v>
      </c>
      <c r="AA930" s="1">
        <v>6.25</v>
      </c>
      <c r="AC930" s="1">
        <v>18.100000000000001</v>
      </c>
      <c r="AJ930" s="1">
        <v>14.2</v>
      </c>
      <c r="AK930" s="1">
        <v>3.2210000000000001</v>
      </c>
      <c r="AL930" s="1">
        <v>4.0270000000000001</v>
      </c>
      <c r="AM930" s="1">
        <v>3.5720000000000001</v>
      </c>
      <c r="AQ930" s="1">
        <v>0.2</v>
      </c>
      <c r="AV930" s="1">
        <v>1.1000000000000001</v>
      </c>
      <c r="AY930" s="1">
        <v>4.9000000000000004</v>
      </c>
      <c r="BD930" s="1" t="s">
        <v>9640</v>
      </c>
      <c r="BF930" s="1">
        <v>0.48</v>
      </c>
      <c r="BG930" s="1">
        <v>87</v>
      </c>
      <c r="BH930" s="1">
        <v>340</v>
      </c>
      <c r="BJ930" s="1">
        <v>28.4</v>
      </c>
      <c r="BK930" s="1" t="s">
        <v>9641</v>
      </c>
      <c r="BM930" s="1">
        <v>64</v>
      </c>
      <c r="BP930" s="1">
        <v>190</v>
      </c>
      <c r="BS930" s="1">
        <v>38</v>
      </c>
      <c r="BW930" s="1">
        <v>0.6</v>
      </c>
      <c r="CF930" s="1">
        <v>56.6</v>
      </c>
      <c r="CR930" s="1">
        <v>6.44</v>
      </c>
      <c r="CV930" s="1">
        <v>1.1599999999999999</v>
      </c>
      <c r="CY930" s="1">
        <v>0.09</v>
      </c>
      <c r="DB930" s="1">
        <v>0.19</v>
      </c>
      <c r="DC930" s="1">
        <v>9.1300000000000008</v>
      </c>
      <c r="DE930" s="1">
        <v>0.32</v>
      </c>
      <c r="DG930" s="1">
        <v>0.53</v>
      </c>
      <c r="DM930" s="1">
        <v>4.9000000000000004</v>
      </c>
      <c r="EX930" s="1">
        <v>49.7</v>
      </c>
    </row>
    <row r="931" spans="1:154" x14ac:dyDescent="0.2">
      <c r="A931" s="1" t="s">
        <v>9466</v>
      </c>
      <c r="B931" s="1" t="s">
        <v>55</v>
      </c>
      <c r="C931" s="1" t="s">
        <v>236</v>
      </c>
      <c r="E931" s="1">
        <v>32</v>
      </c>
      <c r="F931" s="1" t="s">
        <v>1595</v>
      </c>
      <c r="H931" s="1" t="s">
        <v>9467</v>
      </c>
      <c r="I931" s="1" t="s">
        <v>7</v>
      </c>
      <c r="J931" s="1" t="s">
        <v>1597</v>
      </c>
      <c r="K931" s="1" t="s">
        <v>1598</v>
      </c>
      <c r="L931" s="1" t="s">
        <v>1597</v>
      </c>
      <c r="O931" s="1">
        <v>5</v>
      </c>
      <c r="Q931" s="1">
        <v>2007</v>
      </c>
      <c r="R931" s="1" t="s">
        <v>9385</v>
      </c>
      <c r="S931" s="1" t="s">
        <v>27</v>
      </c>
      <c r="T931" s="17" t="s">
        <v>7945</v>
      </c>
      <c r="V931" s="1">
        <v>336</v>
      </c>
      <c r="W931" s="1">
        <v>79</v>
      </c>
      <c r="Z931" s="1">
        <v>79.3</v>
      </c>
      <c r="AA931" s="1">
        <v>6.25</v>
      </c>
      <c r="AC931" s="1">
        <v>18.7</v>
      </c>
      <c r="AJ931" s="1">
        <v>0.3</v>
      </c>
      <c r="AK931" s="1">
        <v>0.106</v>
      </c>
      <c r="AL931" s="1">
        <v>6.3E-2</v>
      </c>
      <c r="AM931" s="1">
        <v>0.21299999999999999</v>
      </c>
      <c r="AQ931" s="1">
        <v>0.5</v>
      </c>
      <c r="AV931" s="1">
        <v>1.3</v>
      </c>
      <c r="AY931" s="1">
        <v>18</v>
      </c>
      <c r="BD931" s="1" t="s">
        <v>9641</v>
      </c>
      <c r="BF931" s="1">
        <v>0.31</v>
      </c>
      <c r="BG931" s="1">
        <v>95</v>
      </c>
      <c r="BH931" s="1">
        <v>417</v>
      </c>
      <c r="BJ931" s="1">
        <v>31.7</v>
      </c>
      <c r="BK931" s="1" t="s">
        <v>9641</v>
      </c>
      <c r="BM931" s="1">
        <v>63.6</v>
      </c>
      <c r="BP931" s="1">
        <v>196</v>
      </c>
      <c r="BS931" s="1">
        <v>25</v>
      </c>
      <c r="BW931" s="1">
        <v>0.39</v>
      </c>
      <c r="CF931" s="1">
        <v>3</v>
      </c>
      <c r="CR931" s="1">
        <v>4.1100000000000003</v>
      </c>
      <c r="CV931" s="1">
        <v>0.46</v>
      </c>
      <c r="CY931" s="1" t="s">
        <v>9647</v>
      </c>
      <c r="DB931" s="1" t="s">
        <v>9647</v>
      </c>
      <c r="DC931" s="1">
        <v>2.2599999999999998</v>
      </c>
      <c r="DE931" s="1">
        <v>0.12</v>
      </c>
      <c r="DG931" s="1">
        <v>0.18</v>
      </c>
      <c r="DM931" s="1">
        <v>1.33</v>
      </c>
      <c r="EX931" s="1">
        <v>46.9</v>
      </c>
    </row>
    <row r="932" spans="1:154" x14ac:dyDescent="0.2">
      <c r="A932" s="1" t="s">
        <v>9468</v>
      </c>
      <c r="B932" s="1" t="s">
        <v>57</v>
      </c>
      <c r="C932" s="1" t="s">
        <v>9445</v>
      </c>
      <c r="E932" s="1">
        <v>54</v>
      </c>
      <c r="F932" s="1" t="s">
        <v>1917</v>
      </c>
      <c r="H932" s="1" t="s">
        <v>9469</v>
      </c>
      <c r="I932" s="1" t="s">
        <v>11</v>
      </c>
      <c r="J932" s="1" t="s">
        <v>1919</v>
      </c>
      <c r="K932" s="1" t="s">
        <v>1920</v>
      </c>
      <c r="L932" s="1" t="s">
        <v>1919</v>
      </c>
      <c r="O932" s="1">
        <v>5</v>
      </c>
      <c r="Q932" s="1">
        <v>2007</v>
      </c>
      <c r="R932" s="1" t="s">
        <v>9385</v>
      </c>
      <c r="S932" s="1" t="s">
        <v>27</v>
      </c>
      <c r="T932" s="17" t="s">
        <v>7945</v>
      </c>
      <c r="V932" s="1">
        <v>435</v>
      </c>
      <c r="W932" s="1">
        <v>103</v>
      </c>
      <c r="Z932" s="1">
        <v>74.099999999999994</v>
      </c>
      <c r="AA932" s="1">
        <v>6.25</v>
      </c>
      <c r="AC932" s="1">
        <v>17.2</v>
      </c>
      <c r="AJ932" s="1">
        <v>1</v>
      </c>
      <c r="AK932" s="1">
        <v>0.44800000000000001</v>
      </c>
      <c r="AL932" s="1">
        <v>0.34899999999999998</v>
      </c>
      <c r="AM932" s="1">
        <v>0.82</v>
      </c>
      <c r="AQ932" s="1">
        <v>6.2</v>
      </c>
      <c r="AV932" s="1">
        <v>1.5</v>
      </c>
      <c r="AY932" s="1">
        <v>49.6</v>
      </c>
      <c r="BD932" s="1" t="s">
        <v>9640</v>
      </c>
      <c r="BF932" s="1">
        <v>3.1</v>
      </c>
      <c r="BG932" s="1">
        <v>150</v>
      </c>
      <c r="BH932" s="1">
        <v>137</v>
      </c>
      <c r="BJ932" s="1">
        <v>40.5</v>
      </c>
      <c r="BK932" s="1">
        <v>0.16</v>
      </c>
      <c r="BM932" s="1">
        <v>237</v>
      </c>
      <c r="BN932" s="1">
        <v>411</v>
      </c>
      <c r="BP932" s="1">
        <v>179</v>
      </c>
      <c r="BS932" s="1">
        <v>50</v>
      </c>
      <c r="BW932" s="1">
        <v>2.7</v>
      </c>
      <c r="CF932" s="1">
        <v>98.4</v>
      </c>
      <c r="CR932" s="1" t="s">
        <v>9649</v>
      </c>
      <c r="CV932" s="1">
        <v>2.68</v>
      </c>
      <c r="CY932" s="1" t="s">
        <v>9647</v>
      </c>
      <c r="DB932" s="1">
        <v>0.28999999999999998</v>
      </c>
      <c r="DC932" s="1">
        <v>1.1599999999999999</v>
      </c>
      <c r="DE932" s="1">
        <v>0.28000000000000003</v>
      </c>
      <c r="DG932" s="1">
        <v>0.04</v>
      </c>
      <c r="DM932" s="1">
        <v>17.579999999999998</v>
      </c>
      <c r="EX932" s="1">
        <v>59</v>
      </c>
    </row>
    <row r="933" spans="1:154" x14ac:dyDescent="0.2">
      <c r="A933" s="1" t="s">
        <v>9470</v>
      </c>
      <c r="B933" s="1" t="s">
        <v>55</v>
      </c>
      <c r="C933" s="1" t="s">
        <v>236</v>
      </c>
      <c r="E933" s="1">
        <v>33</v>
      </c>
      <c r="F933" s="1" t="s">
        <v>9471</v>
      </c>
      <c r="H933" s="1" t="s">
        <v>9472</v>
      </c>
      <c r="I933" s="1" t="s">
        <v>7</v>
      </c>
      <c r="J933" s="1" t="s">
        <v>9473</v>
      </c>
      <c r="K933" s="1" t="s">
        <v>9474</v>
      </c>
      <c r="L933" s="1" t="s">
        <v>9475</v>
      </c>
      <c r="O933" s="1">
        <v>5</v>
      </c>
      <c r="Q933" s="1">
        <v>2007</v>
      </c>
      <c r="R933" s="1" t="s">
        <v>9385</v>
      </c>
      <c r="S933" s="1" t="s">
        <v>27</v>
      </c>
      <c r="T933" s="17" t="s">
        <v>7945</v>
      </c>
      <c r="V933" s="1">
        <v>442</v>
      </c>
      <c r="W933" s="1">
        <v>105</v>
      </c>
      <c r="Z933" s="1">
        <v>75.5</v>
      </c>
      <c r="AA933" s="1">
        <v>6.25</v>
      </c>
      <c r="AC933" s="1">
        <v>20.100000000000001</v>
      </c>
      <c r="AJ933" s="1">
        <v>2.2000000000000002</v>
      </c>
      <c r="AK933" s="1">
        <v>1.2470000000000001</v>
      </c>
      <c r="AL933" s="1">
        <v>1.268</v>
      </c>
      <c r="AM933" s="1">
        <v>1.22</v>
      </c>
      <c r="AQ933" s="1">
        <v>1.2</v>
      </c>
      <c r="AV933" s="1">
        <v>1.1000000000000001</v>
      </c>
      <c r="AY933" s="1">
        <v>13.6</v>
      </c>
      <c r="BD933" s="1" t="s">
        <v>9640</v>
      </c>
      <c r="BF933" s="1">
        <v>0.7</v>
      </c>
      <c r="BG933" s="1">
        <v>14</v>
      </c>
      <c r="BH933" s="1">
        <v>305</v>
      </c>
      <c r="BJ933" s="1">
        <v>26.7</v>
      </c>
      <c r="BK933" s="1" t="s">
        <v>9641</v>
      </c>
      <c r="BM933" s="1">
        <v>70.400000000000006</v>
      </c>
      <c r="BP933" s="1">
        <v>171</v>
      </c>
      <c r="BS933" s="1">
        <v>17</v>
      </c>
      <c r="BW933" s="1">
        <v>0.57999999999999996</v>
      </c>
      <c r="CF933" s="1" t="s">
        <v>9650</v>
      </c>
      <c r="CR933" s="1">
        <v>2.12</v>
      </c>
      <c r="CV933" s="1">
        <v>0.64</v>
      </c>
      <c r="CY933" s="1">
        <v>0.16</v>
      </c>
      <c r="DB933" s="1">
        <v>0.24</v>
      </c>
      <c r="DC933" s="1">
        <v>6.31</v>
      </c>
      <c r="DE933" s="1">
        <v>0.76</v>
      </c>
      <c r="DG933" s="1">
        <v>0.37</v>
      </c>
      <c r="DM933" s="1">
        <v>5.56</v>
      </c>
      <c r="EX933" s="1">
        <v>59</v>
      </c>
    </row>
    <row r="934" spans="1:154" x14ac:dyDescent="0.2">
      <c r="A934" s="1" t="s">
        <v>9476</v>
      </c>
      <c r="B934" s="1" t="s">
        <v>55</v>
      </c>
      <c r="C934" s="1" t="s">
        <v>9477</v>
      </c>
      <c r="D934" s="1" t="s">
        <v>2</v>
      </c>
      <c r="E934" s="1">
        <v>13</v>
      </c>
      <c r="F934" s="1" t="s">
        <v>1265</v>
      </c>
      <c r="H934" s="1" t="s">
        <v>9478</v>
      </c>
      <c r="I934" s="1" t="s">
        <v>7</v>
      </c>
      <c r="J934" s="1" t="s">
        <v>9479</v>
      </c>
      <c r="K934" s="1" t="s">
        <v>1268</v>
      </c>
      <c r="L934" s="1" t="s">
        <v>1267</v>
      </c>
      <c r="O934" s="1">
        <v>5</v>
      </c>
      <c r="Q934" s="1">
        <v>2007</v>
      </c>
      <c r="R934" s="1" t="s">
        <v>9385</v>
      </c>
      <c r="S934" s="1" t="s">
        <v>27</v>
      </c>
      <c r="T934" s="17" t="s">
        <v>7945</v>
      </c>
      <c r="V934" s="1">
        <v>278</v>
      </c>
      <c r="W934" s="1">
        <v>66</v>
      </c>
      <c r="Z934" s="1">
        <v>83.8</v>
      </c>
      <c r="AA934" s="1">
        <v>6.25</v>
      </c>
      <c r="AC934" s="1">
        <v>13.4</v>
      </c>
      <c r="AJ934" s="1">
        <v>1.2</v>
      </c>
      <c r="AK934" s="1">
        <v>0.46700000000000003</v>
      </c>
      <c r="AL934" s="1">
        <v>0.438</v>
      </c>
      <c r="AM934" s="1">
        <v>0.16800000000000001</v>
      </c>
      <c r="AQ934" s="1">
        <v>0.3</v>
      </c>
      <c r="AV934" s="1">
        <v>1.2</v>
      </c>
      <c r="AY934" s="1">
        <v>36.700000000000003</v>
      </c>
      <c r="BD934" s="1" t="s">
        <v>9641</v>
      </c>
      <c r="BF934" s="1">
        <v>0.21</v>
      </c>
      <c r="BG934" s="1">
        <v>8</v>
      </c>
      <c r="BH934" s="1">
        <v>200</v>
      </c>
      <c r="BJ934" s="1">
        <v>17.600000000000001</v>
      </c>
      <c r="BK934" s="1" t="s">
        <v>9641</v>
      </c>
      <c r="BM934" s="1">
        <v>274</v>
      </c>
      <c r="BP934" s="1">
        <v>107</v>
      </c>
      <c r="BS934" s="1">
        <v>9.6</v>
      </c>
      <c r="BW934" s="1">
        <v>0.24</v>
      </c>
      <c r="CF934" s="1" t="s">
        <v>9642</v>
      </c>
      <c r="CR934" s="1" t="s">
        <v>9649</v>
      </c>
      <c r="CV934" s="1">
        <v>0.16</v>
      </c>
      <c r="CY934" s="1" t="s">
        <v>9647</v>
      </c>
      <c r="DB934" s="1" t="s">
        <v>9647</v>
      </c>
      <c r="DC934" s="1">
        <v>1.35</v>
      </c>
      <c r="DE934" s="1">
        <v>1.96</v>
      </c>
      <c r="DG934" s="1">
        <v>0.1</v>
      </c>
      <c r="DM934" s="1">
        <v>0.3</v>
      </c>
      <c r="EX934" s="1">
        <v>29.8</v>
      </c>
    </row>
    <row r="935" spans="1:154" x14ac:dyDescent="0.2">
      <c r="A935" s="1" t="s">
        <v>9480</v>
      </c>
      <c r="B935" s="1" t="s">
        <v>55</v>
      </c>
      <c r="C935" s="1" t="s">
        <v>9411</v>
      </c>
      <c r="D935" s="1" t="s">
        <v>2</v>
      </c>
      <c r="E935" s="1">
        <v>13</v>
      </c>
      <c r="F935" s="1" t="s">
        <v>9481</v>
      </c>
      <c r="H935" s="1" t="s">
        <v>9482</v>
      </c>
      <c r="I935" s="1" t="s">
        <v>7</v>
      </c>
      <c r="J935" s="1" t="s">
        <v>9483</v>
      </c>
      <c r="K935" s="1" t="s">
        <v>9484</v>
      </c>
      <c r="L935" s="1" t="s">
        <v>9483</v>
      </c>
      <c r="O935" s="1">
        <v>5</v>
      </c>
      <c r="Q935" s="1">
        <v>2007</v>
      </c>
      <c r="R935" s="1" t="s">
        <v>9385</v>
      </c>
      <c r="S935" s="1" t="s">
        <v>27</v>
      </c>
      <c r="T935" s="17" t="s">
        <v>7945</v>
      </c>
      <c r="V935" s="1">
        <v>345</v>
      </c>
      <c r="W935" s="1">
        <v>81</v>
      </c>
      <c r="Z935" s="1">
        <v>79</v>
      </c>
      <c r="AA935" s="1">
        <v>6.25</v>
      </c>
      <c r="AC935" s="1">
        <v>19.100000000000001</v>
      </c>
      <c r="AJ935" s="1">
        <v>0.3</v>
      </c>
      <c r="AK935" s="1">
        <v>0.22</v>
      </c>
      <c r="AL935" s="1">
        <v>0.16300000000000001</v>
      </c>
      <c r="AM935" s="1">
        <v>0.20200000000000001</v>
      </c>
      <c r="AQ935" s="1">
        <v>0.7</v>
      </c>
      <c r="AV935" s="1">
        <v>1</v>
      </c>
      <c r="AY935" s="1">
        <v>5</v>
      </c>
      <c r="BD935" s="1" t="s">
        <v>9651</v>
      </c>
      <c r="BF935" s="1">
        <v>0.26</v>
      </c>
      <c r="BG935" s="1">
        <v>7</v>
      </c>
      <c r="BH935" s="1">
        <v>308</v>
      </c>
      <c r="BJ935" s="1">
        <v>26.8</v>
      </c>
      <c r="BK935" s="1" t="s">
        <v>9641</v>
      </c>
      <c r="BM935" s="1">
        <v>57.5</v>
      </c>
      <c r="BP935" s="1">
        <v>156</v>
      </c>
      <c r="BS935" s="1">
        <v>31</v>
      </c>
      <c r="BW935" s="1">
        <v>0.35</v>
      </c>
      <c r="CF935" s="1">
        <v>7</v>
      </c>
      <c r="CR935" s="1">
        <v>0.46</v>
      </c>
      <c r="CV935" s="1">
        <v>0.49</v>
      </c>
      <c r="CY935" s="1">
        <v>7.0000000000000007E-2</v>
      </c>
      <c r="DB935" s="1" t="s">
        <v>9647</v>
      </c>
      <c r="DC935" s="1">
        <v>2.0099999999999998</v>
      </c>
      <c r="DE935" s="1">
        <v>0.34</v>
      </c>
      <c r="DG935" s="1">
        <v>0.11</v>
      </c>
      <c r="DM935" s="1">
        <v>1.17</v>
      </c>
      <c r="EX935" s="1">
        <v>63.7</v>
      </c>
    </row>
    <row r="936" spans="1:154" x14ac:dyDescent="0.2">
      <c r="A936" s="1" t="s">
        <v>9485</v>
      </c>
      <c r="B936" s="1" t="s">
        <v>55</v>
      </c>
      <c r="C936" s="1" t="s">
        <v>236</v>
      </c>
      <c r="E936" s="1">
        <v>31</v>
      </c>
      <c r="F936" s="1" t="s">
        <v>9486</v>
      </c>
      <c r="H936" s="1" t="s">
        <v>9487</v>
      </c>
      <c r="I936" s="1" t="s">
        <v>7</v>
      </c>
      <c r="J936" s="1" t="s">
        <v>9488</v>
      </c>
      <c r="K936" s="1" t="s">
        <v>9489</v>
      </c>
      <c r="L936" s="1" t="s">
        <v>9488</v>
      </c>
      <c r="O936" s="1">
        <v>5</v>
      </c>
      <c r="Q936" s="1">
        <v>2007</v>
      </c>
      <c r="R936" s="1" t="s">
        <v>9385</v>
      </c>
      <c r="S936" s="1" t="s">
        <v>27</v>
      </c>
      <c r="T936" s="17" t="s">
        <v>7945</v>
      </c>
      <c r="V936" s="1">
        <v>373</v>
      </c>
      <c r="W936" s="1">
        <v>88</v>
      </c>
      <c r="Z936" s="1">
        <v>77.7</v>
      </c>
      <c r="AA936" s="1">
        <v>6.25</v>
      </c>
      <c r="AC936" s="1">
        <v>20</v>
      </c>
      <c r="AJ936" s="1">
        <v>0.8</v>
      </c>
      <c r="AK936" s="1">
        <v>0.2</v>
      </c>
      <c r="AL936" s="1">
        <v>0.21099999999999999</v>
      </c>
      <c r="AM936" s="1">
        <v>0.255</v>
      </c>
      <c r="AQ936" s="1">
        <v>0.2</v>
      </c>
      <c r="AV936" s="1">
        <v>1.3</v>
      </c>
      <c r="AY936" s="1">
        <v>126.9</v>
      </c>
      <c r="BD936" s="1" t="s">
        <v>9641</v>
      </c>
      <c r="BF936" s="1">
        <v>0.21</v>
      </c>
      <c r="BG936" s="1">
        <v>191</v>
      </c>
      <c r="BH936" s="1">
        <v>352</v>
      </c>
      <c r="BJ936" s="1">
        <v>28.5</v>
      </c>
      <c r="BK936" s="1" t="s">
        <v>9641</v>
      </c>
      <c r="BM936" s="1">
        <v>79.5</v>
      </c>
      <c r="BP936" s="1">
        <v>174</v>
      </c>
      <c r="BS936" s="1">
        <v>31</v>
      </c>
      <c r="BW936" s="1">
        <v>0.49</v>
      </c>
      <c r="CF936" s="1" t="s">
        <v>9642</v>
      </c>
      <c r="CR936" s="1">
        <v>1.1100000000000001</v>
      </c>
      <c r="CV936" s="1">
        <v>0.68</v>
      </c>
      <c r="CY936" s="1">
        <v>0.42</v>
      </c>
      <c r="DB936" s="1">
        <v>0.1</v>
      </c>
      <c r="DC936" s="1">
        <v>4.32</v>
      </c>
      <c r="DE936" s="1">
        <v>1.29</v>
      </c>
      <c r="DG936" s="1">
        <v>0.25</v>
      </c>
      <c r="DM936" s="1">
        <v>0.64</v>
      </c>
      <c r="EX936" s="1">
        <v>44.5</v>
      </c>
    </row>
    <row r="937" spans="1:154" x14ac:dyDescent="0.2">
      <c r="A937" s="1" t="s">
        <v>9490</v>
      </c>
      <c r="B937" s="1" t="s">
        <v>55</v>
      </c>
      <c r="C937" s="1" t="s">
        <v>236</v>
      </c>
      <c r="E937" s="1">
        <v>38</v>
      </c>
      <c r="F937" s="1" t="s">
        <v>1876</v>
      </c>
      <c r="H937" s="1" t="s">
        <v>9491</v>
      </c>
      <c r="I937" s="1" t="s">
        <v>7</v>
      </c>
      <c r="J937" s="1" t="s">
        <v>1880</v>
      </c>
      <c r="K937" s="1" t="s">
        <v>1879</v>
      </c>
      <c r="L937" s="1" t="s">
        <v>1880</v>
      </c>
      <c r="O937" s="1">
        <v>5</v>
      </c>
      <c r="Q937" s="1">
        <v>2007</v>
      </c>
      <c r="R937" s="1" t="s">
        <v>9385</v>
      </c>
      <c r="S937" s="1" t="s">
        <v>27</v>
      </c>
      <c r="T937" s="17" t="s">
        <v>7945</v>
      </c>
      <c r="V937" s="1">
        <v>376</v>
      </c>
      <c r="W937" s="1">
        <v>88</v>
      </c>
      <c r="Z937" s="1">
        <v>76.8</v>
      </c>
      <c r="AA937" s="1">
        <v>6.25</v>
      </c>
      <c r="AC937" s="1">
        <v>21.4</v>
      </c>
      <c r="AJ937" s="1">
        <v>0.2</v>
      </c>
      <c r="AK937" s="1">
        <v>0.11799999999999999</v>
      </c>
      <c r="AL937" s="1">
        <v>7.3999999999999996E-2</v>
      </c>
      <c r="AM937" s="1">
        <v>0.156</v>
      </c>
      <c r="AQ937" s="1">
        <v>0.3</v>
      </c>
      <c r="AV937" s="1">
        <v>1.3</v>
      </c>
      <c r="AY937" s="1">
        <v>11.8</v>
      </c>
      <c r="BD937" s="1" t="s">
        <v>9640</v>
      </c>
      <c r="BF937" s="1">
        <v>0.23</v>
      </c>
      <c r="BG937" s="1">
        <v>24</v>
      </c>
      <c r="BH937" s="1">
        <v>279</v>
      </c>
      <c r="BJ937" s="1">
        <v>23.1</v>
      </c>
      <c r="BK937" s="1" t="s">
        <v>9641</v>
      </c>
      <c r="BM937" s="1">
        <v>139</v>
      </c>
      <c r="BP937" s="1">
        <v>136</v>
      </c>
      <c r="BS937" s="1">
        <v>28</v>
      </c>
      <c r="BW937" s="1">
        <v>0.41</v>
      </c>
      <c r="CF937" s="1" t="s">
        <v>9642</v>
      </c>
      <c r="CR937" s="1">
        <v>0.35</v>
      </c>
      <c r="CV937" s="1">
        <v>0.31</v>
      </c>
      <c r="CY937" s="1" t="s">
        <v>9647</v>
      </c>
      <c r="DB937" s="1">
        <v>0.05</v>
      </c>
      <c r="DC937" s="1">
        <v>3.44</v>
      </c>
      <c r="DE937" s="1">
        <v>0.15</v>
      </c>
      <c r="DG937" s="1">
        <v>0.19</v>
      </c>
      <c r="DM937" s="1">
        <v>1.1299999999999999</v>
      </c>
      <c r="EX937" s="1">
        <v>45.5</v>
      </c>
    </row>
    <row r="938" spans="1:154" x14ac:dyDescent="0.2">
      <c r="A938" s="1" t="s">
        <v>9492</v>
      </c>
      <c r="B938" s="1" t="s">
        <v>55</v>
      </c>
      <c r="C938" s="1" t="s">
        <v>236</v>
      </c>
      <c r="E938" s="1">
        <v>33</v>
      </c>
      <c r="F938" s="1" t="s">
        <v>2283</v>
      </c>
      <c r="H938" s="1" t="s">
        <v>9493</v>
      </c>
      <c r="I938" s="1" t="s">
        <v>7</v>
      </c>
      <c r="J938" s="1" t="s">
        <v>2285</v>
      </c>
      <c r="K938" s="1" t="s">
        <v>2286</v>
      </c>
      <c r="L938" s="1" t="s">
        <v>2285</v>
      </c>
      <c r="O938" s="1">
        <v>5</v>
      </c>
      <c r="Q938" s="1">
        <v>2007</v>
      </c>
      <c r="R938" s="1" t="s">
        <v>9385</v>
      </c>
      <c r="S938" s="1" t="s">
        <v>27</v>
      </c>
      <c r="T938" s="17" t="s">
        <v>7945</v>
      </c>
      <c r="V938" s="1">
        <v>658</v>
      </c>
      <c r="W938" s="1">
        <v>157</v>
      </c>
      <c r="Z938" s="1">
        <v>70.599999999999994</v>
      </c>
      <c r="AA938" s="1">
        <v>6.25</v>
      </c>
      <c r="AC938" s="1">
        <v>18.399999999999999</v>
      </c>
      <c r="AJ938" s="1">
        <v>8.9</v>
      </c>
      <c r="AK938" s="1">
        <v>2.7160000000000002</v>
      </c>
      <c r="AL938" s="1">
        <v>3.54</v>
      </c>
      <c r="AM938" s="1">
        <v>2.4870000000000001</v>
      </c>
      <c r="AQ938" s="1">
        <v>0.9</v>
      </c>
      <c r="AV938" s="1">
        <v>1.2</v>
      </c>
      <c r="AY938" s="1">
        <v>22.8</v>
      </c>
      <c r="BD938" s="1" t="s">
        <v>9640</v>
      </c>
      <c r="BF938" s="1">
        <v>0.49</v>
      </c>
      <c r="BG938" s="1">
        <v>12</v>
      </c>
      <c r="BH938" s="1">
        <v>343</v>
      </c>
      <c r="BJ938" s="1">
        <v>30.7</v>
      </c>
      <c r="BK938" s="1" t="s">
        <v>9641</v>
      </c>
      <c r="BM938" s="1">
        <v>66.3</v>
      </c>
      <c r="BP938" s="1">
        <v>218</v>
      </c>
      <c r="BS938" s="1">
        <v>36</v>
      </c>
      <c r="BW938" s="1">
        <v>0.37</v>
      </c>
      <c r="CF938" s="1">
        <v>8.4</v>
      </c>
      <c r="CR938" s="1">
        <v>1.1200000000000001</v>
      </c>
      <c r="CV938" s="1">
        <v>1.57</v>
      </c>
      <c r="CY938" s="1">
        <v>0.06</v>
      </c>
      <c r="DB938" s="1">
        <v>0.06</v>
      </c>
      <c r="DC938" s="1">
        <v>4.46</v>
      </c>
      <c r="DE938" s="1">
        <v>0.34</v>
      </c>
      <c r="DG938" s="1">
        <v>0.37</v>
      </c>
      <c r="DM938" s="1">
        <v>4.5199999999999996</v>
      </c>
      <c r="EX938" s="1">
        <v>56.8</v>
      </c>
    </row>
    <row r="939" spans="1:154" x14ac:dyDescent="0.2">
      <c r="A939" s="1" t="s">
        <v>9494</v>
      </c>
      <c r="B939" s="1" t="s">
        <v>55</v>
      </c>
      <c r="C939" s="1" t="s">
        <v>236</v>
      </c>
      <c r="E939" s="1">
        <v>38</v>
      </c>
      <c r="F939" s="1" t="s">
        <v>9495</v>
      </c>
      <c r="H939" s="1" t="s">
        <v>9496</v>
      </c>
      <c r="I939" s="1" t="s">
        <v>7</v>
      </c>
      <c r="J939" s="1" t="s">
        <v>9497</v>
      </c>
      <c r="K939" s="1" t="s">
        <v>9498</v>
      </c>
      <c r="L939" s="1" t="s">
        <v>9497</v>
      </c>
      <c r="O939" s="1">
        <v>5</v>
      </c>
      <c r="Q939" s="1">
        <v>2007</v>
      </c>
      <c r="R939" s="1" t="s">
        <v>9385</v>
      </c>
      <c r="S939" s="1" t="s">
        <v>27</v>
      </c>
      <c r="T939" s="17" t="s">
        <v>7945</v>
      </c>
      <c r="V939" s="1">
        <v>406</v>
      </c>
      <c r="W939" s="1">
        <v>96</v>
      </c>
      <c r="Z939" s="1">
        <v>75.2</v>
      </c>
      <c r="AA939" s="1">
        <v>6.25</v>
      </c>
      <c r="AC939" s="1">
        <v>23.3</v>
      </c>
      <c r="AJ939" s="1">
        <v>0.2</v>
      </c>
      <c r="AK939" s="1">
        <v>0.113</v>
      </c>
      <c r="AL939" s="1">
        <v>8.5999999999999993E-2</v>
      </c>
      <c r="AM939" s="1">
        <v>0.13500000000000001</v>
      </c>
      <c r="AQ939" s="1">
        <v>0.2</v>
      </c>
      <c r="AV939" s="1">
        <v>1.1000000000000001</v>
      </c>
      <c r="AY939" s="1">
        <v>11.7</v>
      </c>
      <c r="BD939" s="1" t="s">
        <v>9640</v>
      </c>
      <c r="BF939" s="1">
        <v>0.37</v>
      </c>
      <c r="BG939" s="1">
        <v>26</v>
      </c>
      <c r="BH939" s="1">
        <v>258</v>
      </c>
      <c r="BJ939" s="1">
        <v>20.9</v>
      </c>
      <c r="BK939" s="1" t="s">
        <v>9641</v>
      </c>
      <c r="BM939" s="1">
        <v>125</v>
      </c>
      <c r="BP939" s="1">
        <v>147</v>
      </c>
      <c r="BS939" s="1">
        <v>29</v>
      </c>
      <c r="BW939" s="1">
        <v>0.87</v>
      </c>
      <c r="CF939" s="1" t="s">
        <v>9642</v>
      </c>
      <c r="CR939" s="1" t="s">
        <v>9649</v>
      </c>
      <c r="CV939" s="1">
        <v>0.22</v>
      </c>
      <c r="CY939" s="1" t="s">
        <v>9647</v>
      </c>
      <c r="DB939" s="1">
        <v>0.08</v>
      </c>
      <c r="DC939" s="1">
        <v>3.14</v>
      </c>
      <c r="DE939" s="1">
        <v>0.2</v>
      </c>
      <c r="DG939" s="1">
        <v>0.25</v>
      </c>
      <c r="DM939" s="1">
        <v>1.95</v>
      </c>
      <c r="EX939" s="1">
        <v>29.8</v>
      </c>
    </row>
    <row r="940" spans="1:154" x14ac:dyDescent="0.2">
      <c r="A940" s="1" t="s">
        <v>9499</v>
      </c>
      <c r="B940" s="1" t="s">
        <v>55</v>
      </c>
      <c r="C940" s="1" t="s">
        <v>9500</v>
      </c>
      <c r="D940" s="1" t="s">
        <v>2</v>
      </c>
      <c r="E940" s="1">
        <v>23</v>
      </c>
      <c r="F940" s="1" t="s">
        <v>1273</v>
      </c>
      <c r="H940" s="1" t="s">
        <v>9501</v>
      </c>
      <c r="I940" s="1" t="s">
        <v>7</v>
      </c>
      <c r="J940" s="1" t="s">
        <v>1275</v>
      </c>
      <c r="K940" s="1" t="s">
        <v>1276</v>
      </c>
      <c r="L940" s="1" t="s">
        <v>1275</v>
      </c>
      <c r="O940" s="1">
        <v>5</v>
      </c>
      <c r="Q940" s="1">
        <v>2007</v>
      </c>
      <c r="R940" s="1" t="s">
        <v>9385</v>
      </c>
      <c r="S940" s="1" t="s">
        <v>27</v>
      </c>
      <c r="T940" s="17" t="s">
        <v>7945</v>
      </c>
      <c r="V940" s="1">
        <v>594</v>
      </c>
      <c r="W940" s="1">
        <v>141</v>
      </c>
      <c r="Z940" s="1">
        <v>70.5</v>
      </c>
      <c r="AA940" s="1">
        <v>6.25</v>
      </c>
      <c r="AC940" s="1">
        <v>20.8</v>
      </c>
      <c r="AJ940" s="1">
        <v>5.6</v>
      </c>
      <c r="AK940" s="1">
        <v>1.597</v>
      </c>
      <c r="AL940" s="1">
        <v>2.1339999999999999</v>
      </c>
      <c r="AM940" s="1">
        <v>3.2250000000000001</v>
      </c>
      <c r="AQ940" s="1">
        <v>1.9</v>
      </c>
      <c r="AV940" s="1">
        <v>1.2</v>
      </c>
      <c r="AY940" s="1">
        <v>6.1</v>
      </c>
      <c r="BD940" s="1" t="s">
        <v>9652</v>
      </c>
      <c r="BF940" s="1">
        <v>0.36</v>
      </c>
      <c r="BG940" s="1">
        <v>5</v>
      </c>
      <c r="BH940" s="1">
        <v>355</v>
      </c>
      <c r="BJ940" s="1">
        <v>27.8</v>
      </c>
      <c r="BK940" s="1" t="s">
        <v>9641</v>
      </c>
      <c r="BM940" s="1">
        <v>64.2</v>
      </c>
      <c r="BP940" s="1">
        <v>172</v>
      </c>
      <c r="BS940" s="1">
        <v>21</v>
      </c>
      <c r="BW940" s="1">
        <v>0.42</v>
      </c>
      <c r="CF940" s="1" t="s">
        <v>9642</v>
      </c>
      <c r="CR940" s="1">
        <v>4.1399999999999997</v>
      </c>
      <c r="CV940" s="1">
        <v>2.2799999999999998</v>
      </c>
      <c r="CY940" s="1">
        <v>0.21</v>
      </c>
      <c r="DB940" s="1">
        <v>0.08</v>
      </c>
      <c r="DC940" s="1">
        <v>7.89</v>
      </c>
      <c r="DE940" s="1">
        <v>0.89</v>
      </c>
      <c r="DG940" s="1">
        <v>0.51</v>
      </c>
      <c r="DM940" s="1">
        <v>4.54</v>
      </c>
      <c r="EX940" s="1">
        <v>51.1</v>
      </c>
    </row>
    <row r="941" spans="1:154" x14ac:dyDescent="0.2">
      <c r="A941" s="1" t="s">
        <v>9502</v>
      </c>
      <c r="B941" s="1" t="s">
        <v>55</v>
      </c>
      <c r="C941" s="1" t="s">
        <v>9503</v>
      </c>
      <c r="D941" s="1" t="s">
        <v>2</v>
      </c>
      <c r="E941" s="1">
        <v>23</v>
      </c>
      <c r="F941" s="1" t="s">
        <v>1273</v>
      </c>
      <c r="H941" s="1" t="s">
        <v>9504</v>
      </c>
      <c r="I941" s="1" t="s">
        <v>7</v>
      </c>
      <c r="J941" s="1" t="s">
        <v>1275</v>
      </c>
      <c r="K941" s="1" t="s">
        <v>1276</v>
      </c>
      <c r="L941" s="1" t="s">
        <v>1275</v>
      </c>
      <c r="O941" s="1">
        <v>5</v>
      </c>
      <c r="Q941" s="1">
        <v>2007</v>
      </c>
      <c r="R941" s="1" t="s">
        <v>9385</v>
      </c>
      <c r="S941" s="1" t="s">
        <v>27</v>
      </c>
      <c r="T941" s="17" t="s">
        <v>7945</v>
      </c>
      <c r="V941" s="1">
        <v>824</v>
      </c>
      <c r="W941" s="1">
        <v>198</v>
      </c>
      <c r="Z941" s="1">
        <v>65.599999999999994</v>
      </c>
      <c r="AA941" s="1">
        <v>6.25</v>
      </c>
      <c r="AC941" s="1">
        <v>20</v>
      </c>
      <c r="AJ941" s="1">
        <v>12.9</v>
      </c>
      <c r="AK941" s="1">
        <v>2.1749999999999998</v>
      </c>
      <c r="AL941" s="1">
        <v>5.4269999999999996</v>
      </c>
      <c r="AM941" s="1">
        <v>3.6240000000000001</v>
      </c>
      <c r="AQ941" s="1">
        <v>0.2</v>
      </c>
      <c r="AV941" s="1">
        <v>1.2</v>
      </c>
      <c r="AY941" s="1">
        <v>4.7</v>
      </c>
      <c r="BD941" s="1" t="s">
        <v>9640</v>
      </c>
      <c r="BF941" s="1">
        <v>0.24</v>
      </c>
      <c r="BG941" s="1">
        <v>14</v>
      </c>
      <c r="BH941" s="1">
        <v>374</v>
      </c>
      <c r="BJ941" s="1">
        <v>26.2</v>
      </c>
      <c r="BK941" s="1" t="s">
        <v>9641</v>
      </c>
      <c r="BM941" s="1">
        <v>35.5</v>
      </c>
      <c r="BP941" s="1">
        <v>186</v>
      </c>
      <c r="BS941" s="1">
        <v>12</v>
      </c>
      <c r="BW941" s="1">
        <v>0.31</v>
      </c>
      <c r="CF941" s="1">
        <v>8.5</v>
      </c>
      <c r="CR941" s="1">
        <v>5.69</v>
      </c>
      <c r="CV941" s="1">
        <v>2.3199999999999998</v>
      </c>
      <c r="CY941" s="1">
        <v>0.2</v>
      </c>
      <c r="DB941" s="1">
        <v>7.0000000000000007E-2</v>
      </c>
      <c r="DC941" s="1">
        <v>7.12</v>
      </c>
      <c r="DE941" s="1">
        <v>1.08</v>
      </c>
      <c r="DG941" s="1">
        <v>0.59</v>
      </c>
      <c r="DM941" s="1">
        <v>3.74</v>
      </c>
      <c r="EX941" s="1">
        <v>55.9</v>
      </c>
    </row>
    <row r="942" spans="1:154" x14ac:dyDescent="0.2">
      <c r="A942" s="1" t="s">
        <v>9505</v>
      </c>
      <c r="B942" s="1" t="s">
        <v>55</v>
      </c>
      <c r="C942" s="1" t="s">
        <v>236</v>
      </c>
      <c r="E942" s="1">
        <v>34</v>
      </c>
      <c r="F942" s="1" t="s">
        <v>9506</v>
      </c>
      <c r="H942" s="1" t="s">
        <v>9507</v>
      </c>
      <c r="I942" s="1" t="s">
        <v>7</v>
      </c>
      <c r="J942" s="1" t="s">
        <v>9508</v>
      </c>
      <c r="K942" s="1" t="s">
        <v>9509</v>
      </c>
      <c r="L942" s="1" t="s">
        <v>9508</v>
      </c>
      <c r="O942" s="1">
        <v>5</v>
      </c>
      <c r="Q942" s="1">
        <v>2007</v>
      </c>
      <c r="R942" s="1" t="s">
        <v>9385</v>
      </c>
      <c r="S942" s="1" t="s">
        <v>27</v>
      </c>
      <c r="T942" s="17" t="s">
        <v>7945</v>
      </c>
      <c r="V942" s="1">
        <v>378</v>
      </c>
      <c r="W942" s="1">
        <v>89</v>
      </c>
      <c r="Z942" s="1">
        <v>78.400000000000006</v>
      </c>
      <c r="AA942" s="1">
        <v>6.25</v>
      </c>
      <c r="AC942" s="1">
        <v>18.8</v>
      </c>
      <c r="AJ942" s="1">
        <v>1.5</v>
      </c>
      <c r="AK942" s="1">
        <v>0.33600000000000002</v>
      </c>
      <c r="AL942" s="1">
        <v>0.72099999999999997</v>
      </c>
      <c r="AM942" s="1">
        <v>0.441</v>
      </c>
      <c r="AQ942" s="1">
        <v>0.2</v>
      </c>
      <c r="AV942" s="1">
        <v>1.1000000000000001</v>
      </c>
      <c r="AY942" s="1">
        <v>12.5</v>
      </c>
      <c r="BD942" s="1" t="s">
        <v>9640</v>
      </c>
      <c r="BF942" s="1">
        <v>0.26</v>
      </c>
      <c r="BG942" s="1">
        <v>22</v>
      </c>
      <c r="BH942" s="1">
        <v>333</v>
      </c>
      <c r="BJ942" s="1">
        <v>27.5</v>
      </c>
      <c r="BK942" s="1" t="s">
        <v>9641</v>
      </c>
      <c r="BM942" s="1">
        <v>72.8</v>
      </c>
      <c r="BP942" s="1">
        <v>168</v>
      </c>
      <c r="BS942" s="1">
        <v>28</v>
      </c>
      <c r="BW942" s="1">
        <v>0.33</v>
      </c>
      <c r="CF942" s="1">
        <v>6.9</v>
      </c>
      <c r="CR942" s="1">
        <v>3.96</v>
      </c>
      <c r="CV942" s="1">
        <v>1.1000000000000001</v>
      </c>
      <c r="CY942" s="1">
        <v>0.06</v>
      </c>
      <c r="DB942" s="1">
        <v>7.0000000000000007E-2</v>
      </c>
      <c r="DC942" s="1">
        <v>2.16</v>
      </c>
      <c r="DE942" s="1">
        <v>0.17</v>
      </c>
      <c r="DG942" s="1">
        <v>0.19</v>
      </c>
      <c r="DM942" s="1">
        <v>1.78</v>
      </c>
      <c r="EX942" s="1">
        <v>47.2</v>
      </c>
    </row>
    <row r="943" spans="1:154" x14ac:dyDescent="0.2">
      <c r="A943" s="1" t="s">
        <v>9510</v>
      </c>
      <c r="B943" s="1" t="s">
        <v>55</v>
      </c>
      <c r="C943" s="1" t="s">
        <v>236</v>
      </c>
      <c r="E943" s="1">
        <v>31</v>
      </c>
      <c r="F943" s="1" t="s">
        <v>1804</v>
      </c>
      <c r="H943" s="1" t="s">
        <v>9511</v>
      </c>
      <c r="I943" s="1" t="s">
        <v>7</v>
      </c>
      <c r="J943" s="1" t="s">
        <v>1806</v>
      </c>
      <c r="K943" s="1" t="s">
        <v>1807</v>
      </c>
      <c r="L943" s="1" t="s">
        <v>1806</v>
      </c>
      <c r="O943" s="1">
        <v>5</v>
      </c>
      <c r="Q943" s="1">
        <v>2007</v>
      </c>
      <c r="R943" s="1" t="s">
        <v>9385</v>
      </c>
      <c r="S943" s="1" t="s">
        <v>27</v>
      </c>
      <c r="T943" s="17" t="s">
        <v>7945</v>
      </c>
      <c r="V943" s="1">
        <v>325</v>
      </c>
      <c r="W943" s="1">
        <v>77</v>
      </c>
      <c r="Z943" s="1">
        <v>80.099999999999994</v>
      </c>
      <c r="AA943" s="1">
        <v>6.25</v>
      </c>
      <c r="AC943" s="1">
        <v>18</v>
      </c>
      <c r="AJ943" s="1">
        <v>0.4</v>
      </c>
      <c r="AK943" s="1">
        <v>0.13200000000000001</v>
      </c>
      <c r="AL943" s="1">
        <v>0.104</v>
      </c>
      <c r="AM943" s="1">
        <v>0.16400000000000001</v>
      </c>
      <c r="AQ943" s="1">
        <v>0.3</v>
      </c>
      <c r="AV943" s="1">
        <v>1.3</v>
      </c>
      <c r="AY943" s="1">
        <v>22.5</v>
      </c>
      <c r="BD943" s="1" t="s">
        <v>9641</v>
      </c>
      <c r="BF943" s="1">
        <v>0.35</v>
      </c>
      <c r="BG943" s="1">
        <v>88</v>
      </c>
      <c r="BH943" s="1">
        <v>349</v>
      </c>
      <c r="BJ943" s="1">
        <v>26.9</v>
      </c>
      <c r="BK943" s="1" t="s">
        <v>9641</v>
      </c>
      <c r="BM943" s="1">
        <v>76.3</v>
      </c>
      <c r="BP943" s="1">
        <v>170</v>
      </c>
      <c r="BS943" s="1">
        <v>23</v>
      </c>
      <c r="BW943" s="1">
        <v>0.42</v>
      </c>
      <c r="CF943" s="1">
        <v>5</v>
      </c>
      <c r="CR943" s="1">
        <v>0.75</v>
      </c>
      <c r="CV943" s="1">
        <v>0.47</v>
      </c>
      <c r="CY943" s="1">
        <v>0.05</v>
      </c>
      <c r="DB943" s="1">
        <v>0.08</v>
      </c>
      <c r="DC943" s="1">
        <v>3.51</v>
      </c>
      <c r="DE943" s="1">
        <v>0.24</v>
      </c>
      <c r="DG943" s="1">
        <v>0.26</v>
      </c>
      <c r="DM943" s="1">
        <v>1.91</v>
      </c>
      <c r="EX943" s="1">
        <v>51.8</v>
      </c>
    </row>
    <row r="944" spans="1:154" x14ac:dyDescent="0.2">
      <c r="A944" s="1" t="s">
        <v>9512</v>
      </c>
      <c r="B944" s="1" t="s">
        <v>55</v>
      </c>
      <c r="C944" s="1" t="s">
        <v>9513</v>
      </c>
      <c r="D944" s="1" t="s">
        <v>2</v>
      </c>
      <c r="E944" s="1">
        <v>31</v>
      </c>
      <c r="F944" s="1" t="s">
        <v>3377</v>
      </c>
      <c r="H944" s="1" t="s">
        <v>9514</v>
      </c>
      <c r="I944" s="1" t="s">
        <v>7</v>
      </c>
      <c r="J944" s="1" t="s">
        <v>3380</v>
      </c>
      <c r="K944" s="1" t="s">
        <v>3379</v>
      </c>
      <c r="L944" s="1" t="s">
        <v>3380</v>
      </c>
      <c r="O944" s="1">
        <v>5</v>
      </c>
      <c r="Q944" s="1">
        <v>2007</v>
      </c>
      <c r="R944" s="1" t="s">
        <v>9385</v>
      </c>
      <c r="S944" s="1" t="s">
        <v>27</v>
      </c>
      <c r="T944" s="17" t="s">
        <v>7945</v>
      </c>
      <c r="V944" s="1">
        <v>293</v>
      </c>
      <c r="W944" s="1">
        <v>69</v>
      </c>
      <c r="Z944" s="1">
        <v>82.3</v>
      </c>
      <c r="AA944" s="1">
        <v>6.25</v>
      </c>
      <c r="AC944" s="1">
        <v>15.7</v>
      </c>
      <c r="AJ944" s="1">
        <v>0.3</v>
      </c>
      <c r="AK944" s="1">
        <v>0.18099999999999999</v>
      </c>
      <c r="AL944" s="1">
        <v>9.8000000000000004E-2</v>
      </c>
      <c r="AM944" s="1">
        <v>0.16500000000000001</v>
      </c>
      <c r="AQ944" s="1">
        <v>0.8</v>
      </c>
      <c r="AV944" s="1">
        <v>0.8</v>
      </c>
      <c r="AY944" s="1">
        <v>15.6</v>
      </c>
      <c r="BD944" s="1" t="s">
        <v>9640</v>
      </c>
      <c r="BF944" s="1">
        <v>0.22</v>
      </c>
      <c r="BG944" s="1">
        <v>22</v>
      </c>
      <c r="BH944" s="1">
        <v>125</v>
      </c>
      <c r="BJ944" s="1">
        <v>20.100000000000001</v>
      </c>
      <c r="BK944" s="1" t="s">
        <v>9641</v>
      </c>
      <c r="BM944" s="1">
        <v>140</v>
      </c>
      <c r="BP944" s="1">
        <v>80.400000000000006</v>
      </c>
      <c r="BS944" s="1">
        <v>31</v>
      </c>
      <c r="BW944" s="1">
        <v>0.28999999999999998</v>
      </c>
      <c r="CF944" s="1" t="s">
        <v>9642</v>
      </c>
      <c r="CR944" s="1" t="s">
        <v>9649</v>
      </c>
      <c r="CV944" s="1">
        <v>0.22</v>
      </c>
      <c r="CY944" s="1" t="s">
        <v>9647</v>
      </c>
      <c r="DB944" s="1" t="s">
        <v>9647</v>
      </c>
      <c r="DC944" s="1">
        <v>1.1399999999999999</v>
      </c>
      <c r="DE944" s="1" t="s">
        <v>9648</v>
      </c>
      <c r="DG944" s="1">
        <v>0.1</v>
      </c>
      <c r="DM944" s="1">
        <v>0.92</v>
      </c>
      <c r="EX944" s="1">
        <v>45.2</v>
      </c>
    </row>
    <row r="945" spans="1:154" x14ac:dyDescent="0.2">
      <c r="A945" s="1" t="s">
        <v>9515</v>
      </c>
      <c r="B945" s="1" t="s">
        <v>57</v>
      </c>
      <c r="C945" s="1" t="s">
        <v>236</v>
      </c>
      <c r="E945" s="1">
        <v>55</v>
      </c>
      <c r="F945" s="1" t="s">
        <v>1906</v>
      </c>
      <c r="H945" s="1" t="s">
        <v>9516</v>
      </c>
      <c r="I945" s="1" t="s">
        <v>7</v>
      </c>
      <c r="J945" s="1" t="s">
        <v>1908</v>
      </c>
      <c r="K945" s="1" t="s">
        <v>1909</v>
      </c>
      <c r="L945" s="1" t="s">
        <v>1908</v>
      </c>
      <c r="O945" s="1">
        <v>5</v>
      </c>
      <c r="Q945" s="1">
        <v>2007</v>
      </c>
      <c r="R945" s="1" t="s">
        <v>9385</v>
      </c>
      <c r="S945" s="1" t="s">
        <v>27</v>
      </c>
      <c r="T945" s="17" t="s">
        <v>7945</v>
      </c>
      <c r="V945" s="1">
        <v>348</v>
      </c>
      <c r="W945" s="1">
        <v>82</v>
      </c>
      <c r="Z945" s="1">
        <v>79.3</v>
      </c>
      <c r="AA945" s="1">
        <v>6.25</v>
      </c>
      <c r="AC945" s="1">
        <v>17</v>
      </c>
      <c r="AJ945" s="1">
        <v>1.2</v>
      </c>
      <c r="AK945" s="1">
        <v>0.19400000000000001</v>
      </c>
      <c r="AL945" s="1">
        <v>9.7000000000000003E-2</v>
      </c>
      <c r="AM945" s="1">
        <v>0.38900000000000001</v>
      </c>
      <c r="AQ945" s="1">
        <v>1</v>
      </c>
      <c r="AV945" s="1">
        <v>1.6</v>
      </c>
      <c r="AY945" s="1">
        <v>176</v>
      </c>
      <c r="BD945" s="1" t="s">
        <v>9641</v>
      </c>
      <c r="BF945" s="1">
        <v>1.2</v>
      </c>
      <c r="BG945" s="1">
        <v>43</v>
      </c>
      <c r="BH945" s="1">
        <v>388</v>
      </c>
      <c r="BJ945" s="1">
        <v>51.4</v>
      </c>
      <c r="BK945" s="1">
        <v>2.4</v>
      </c>
      <c r="BM945" s="1">
        <v>191</v>
      </c>
      <c r="BP945" s="1">
        <v>225</v>
      </c>
      <c r="BS945" s="1">
        <v>21</v>
      </c>
      <c r="BW945" s="1">
        <v>2.9</v>
      </c>
      <c r="CF945" s="1">
        <v>2</v>
      </c>
      <c r="CR945" s="1" t="s">
        <v>9649</v>
      </c>
      <c r="CV945" s="1">
        <v>1.17</v>
      </c>
      <c r="CY945" s="1" t="s">
        <v>9647</v>
      </c>
      <c r="DB945" s="1">
        <v>0.14000000000000001</v>
      </c>
      <c r="DC945" s="1">
        <v>1.9</v>
      </c>
      <c r="DE945" s="1">
        <v>0.4</v>
      </c>
      <c r="DG945" s="1">
        <v>0.1</v>
      </c>
      <c r="DM945" s="1">
        <v>4.99</v>
      </c>
      <c r="EX945" s="1">
        <v>42.2</v>
      </c>
    </row>
    <row r="946" spans="1:154" x14ac:dyDescent="0.2">
      <c r="A946" s="1" t="s">
        <v>9517</v>
      </c>
      <c r="B946" s="1" t="s">
        <v>57</v>
      </c>
      <c r="C946" s="1" t="s">
        <v>236</v>
      </c>
      <c r="E946" s="1">
        <v>55</v>
      </c>
      <c r="F946" s="1" t="s">
        <v>1906</v>
      </c>
      <c r="H946" s="1" t="s">
        <v>9518</v>
      </c>
      <c r="I946" s="1" t="s">
        <v>7</v>
      </c>
      <c r="J946" s="1" t="s">
        <v>1908</v>
      </c>
      <c r="K946" s="1" t="s">
        <v>1909</v>
      </c>
      <c r="L946" s="1" t="s">
        <v>1908</v>
      </c>
      <c r="O946" s="1">
        <v>5</v>
      </c>
      <c r="Q946" s="1">
        <v>2007</v>
      </c>
      <c r="R946" s="1" t="s">
        <v>9385</v>
      </c>
      <c r="S946" s="1" t="s">
        <v>27</v>
      </c>
      <c r="T946" s="17" t="s">
        <v>7945</v>
      </c>
      <c r="V946" s="1">
        <v>352</v>
      </c>
      <c r="W946" s="1">
        <v>83</v>
      </c>
      <c r="Z946" s="1">
        <v>78.7</v>
      </c>
      <c r="AA946" s="1">
        <v>6.25</v>
      </c>
      <c r="AC946" s="1">
        <v>17.899999999999999</v>
      </c>
      <c r="AJ946" s="1">
        <v>0.7</v>
      </c>
      <c r="AK946" s="1">
        <v>9.4E-2</v>
      </c>
      <c r="AL946" s="1">
        <v>3.2000000000000001E-2</v>
      </c>
      <c r="AM946" s="1">
        <v>0.17199999999999999</v>
      </c>
      <c r="AQ946" s="1">
        <v>1.3</v>
      </c>
      <c r="AV946" s="1">
        <v>1.5</v>
      </c>
      <c r="AY946" s="1">
        <v>11.9</v>
      </c>
      <c r="BD946" s="1" t="s">
        <v>9641</v>
      </c>
      <c r="BF946" s="1">
        <v>0.57999999999999996</v>
      </c>
      <c r="BG946" s="1">
        <v>28</v>
      </c>
      <c r="BH946" s="1">
        <v>392</v>
      </c>
      <c r="BJ946" s="1">
        <v>44</v>
      </c>
      <c r="BK946" s="1">
        <v>1.2</v>
      </c>
      <c r="BM946" s="1">
        <v>137</v>
      </c>
      <c r="BP946" s="1">
        <v>224</v>
      </c>
      <c r="BS946" s="1">
        <v>8</v>
      </c>
      <c r="BW946" s="1">
        <v>1.6</v>
      </c>
      <c r="CF946" s="1" t="s">
        <v>9642</v>
      </c>
      <c r="CR946" s="1" t="s">
        <v>9643</v>
      </c>
      <c r="CV946" s="1">
        <v>1.04</v>
      </c>
      <c r="CY946" s="1" t="s">
        <v>9644</v>
      </c>
      <c r="DB946" s="1">
        <v>0.05</v>
      </c>
      <c r="DC946" s="1">
        <v>1.97</v>
      </c>
      <c r="DE946" s="1" t="s">
        <v>9648</v>
      </c>
      <c r="DG946" s="1">
        <v>0.13</v>
      </c>
      <c r="DM946" s="1">
        <v>2</v>
      </c>
      <c r="EX946" s="1">
        <v>38</v>
      </c>
    </row>
    <row r="947" spans="1:154" x14ac:dyDescent="0.2">
      <c r="A947" s="1" t="s">
        <v>9519</v>
      </c>
      <c r="B947" s="1" t="s">
        <v>55</v>
      </c>
      <c r="C947" s="1" t="s">
        <v>236</v>
      </c>
      <c r="E947" s="1">
        <v>23</v>
      </c>
      <c r="F947" s="1" t="s">
        <v>1471</v>
      </c>
      <c r="H947" s="1" t="s">
        <v>9520</v>
      </c>
      <c r="I947" s="1" t="s">
        <v>11</v>
      </c>
      <c r="J947" s="1" t="s">
        <v>1473</v>
      </c>
      <c r="K947" s="1" t="s">
        <v>1474</v>
      </c>
      <c r="L947" s="1" t="s">
        <v>1473</v>
      </c>
      <c r="O947" s="1">
        <v>5</v>
      </c>
      <c r="Q947" s="1">
        <v>2007</v>
      </c>
      <c r="R947" s="1" t="s">
        <v>9385</v>
      </c>
      <c r="S947" s="1" t="s">
        <v>27</v>
      </c>
      <c r="T947" s="17" t="s">
        <v>7945</v>
      </c>
      <c r="V947" s="1">
        <v>657</v>
      </c>
      <c r="W947" s="1">
        <v>156</v>
      </c>
      <c r="Z947" s="1">
        <v>65.400000000000006</v>
      </c>
      <c r="AA947" s="1">
        <v>6.25</v>
      </c>
      <c r="AC947" s="1">
        <v>23.1</v>
      </c>
      <c r="AJ947" s="1">
        <v>7</v>
      </c>
      <c r="AK947" s="1">
        <v>1.6140000000000001</v>
      </c>
      <c r="AL947" s="1">
        <v>2.589</v>
      </c>
      <c r="AM947" s="1">
        <v>2.95</v>
      </c>
      <c r="AQ947" s="1">
        <v>0.2</v>
      </c>
      <c r="AV947" s="1">
        <v>4.2</v>
      </c>
      <c r="AY947" s="1">
        <v>11.9</v>
      </c>
      <c r="BD947" s="1" t="s">
        <v>9641</v>
      </c>
      <c r="BF947" s="1">
        <v>0.28000000000000003</v>
      </c>
      <c r="BG947" s="1">
        <v>12</v>
      </c>
      <c r="BH947" s="1">
        <v>339</v>
      </c>
      <c r="BJ947" s="1">
        <v>29.4</v>
      </c>
      <c r="BK947" s="1" t="s">
        <v>9641</v>
      </c>
      <c r="BM947" s="1">
        <v>1063</v>
      </c>
      <c r="BN947" s="1">
        <v>1902</v>
      </c>
      <c r="BP947" s="1">
        <v>253</v>
      </c>
      <c r="BS947" s="1">
        <v>10</v>
      </c>
      <c r="BW947" s="1">
        <v>0.38</v>
      </c>
      <c r="CF947" s="1">
        <v>14.8</v>
      </c>
      <c r="CR947" s="1">
        <v>1.05</v>
      </c>
      <c r="CV947" s="1">
        <v>1.05</v>
      </c>
      <c r="CY947" s="1">
        <v>0.22</v>
      </c>
      <c r="DB947" s="1">
        <v>0.1</v>
      </c>
      <c r="DC947" s="1">
        <v>7.65</v>
      </c>
      <c r="DE947" s="1">
        <v>1.63</v>
      </c>
      <c r="DG947" s="1">
        <v>0.56000000000000005</v>
      </c>
      <c r="DM947" s="1">
        <v>2.41</v>
      </c>
      <c r="EX947" s="1">
        <v>47.1</v>
      </c>
    </row>
    <row r="948" spans="1:154" x14ac:dyDescent="0.2">
      <c r="A948" s="1" t="s">
        <v>9521</v>
      </c>
      <c r="B948" s="1" t="s">
        <v>55</v>
      </c>
      <c r="C948" s="1" t="s">
        <v>236</v>
      </c>
      <c r="E948" s="1">
        <v>32</v>
      </c>
      <c r="F948" s="1" t="s">
        <v>9522</v>
      </c>
      <c r="H948" s="1" t="s">
        <v>9523</v>
      </c>
      <c r="I948" s="1" t="s">
        <v>7</v>
      </c>
      <c r="J948" s="1" t="s">
        <v>9524</v>
      </c>
      <c r="K948" s="1" t="s">
        <v>9525</v>
      </c>
      <c r="L948" s="1" t="s">
        <v>9524</v>
      </c>
      <c r="O948" s="1">
        <v>5</v>
      </c>
      <c r="Q948" s="1">
        <v>2007</v>
      </c>
      <c r="R948" s="1" t="s">
        <v>9385</v>
      </c>
      <c r="S948" s="1" t="s">
        <v>27</v>
      </c>
      <c r="T948" s="17" t="s">
        <v>7945</v>
      </c>
      <c r="V948" s="1">
        <v>339</v>
      </c>
      <c r="W948" s="1">
        <v>80</v>
      </c>
      <c r="Z948" s="1">
        <v>78.900000000000006</v>
      </c>
      <c r="AA948" s="1">
        <v>6.25</v>
      </c>
      <c r="AC948" s="1">
        <v>19.7</v>
      </c>
      <c r="AJ948" s="1" t="s">
        <v>9641</v>
      </c>
      <c r="AK948" s="1">
        <v>9.8000000000000004E-2</v>
      </c>
      <c r="AL948" s="1">
        <v>5.5E-2</v>
      </c>
      <c r="AM948" s="1">
        <v>0.186</v>
      </c>
      <c r="AQ948" s="1">
        <v>0.3</v>
      </c>
      <c r="AV948" s="1">
        <v>1.1000000000000001</v>
      </c>
      <c r="AY948" s="1">
        <v>26.7</v>
      </c>
      <c r="BD948" s="1" t="s">
        <v>9641</v>
      </c>
      <c r="BF948" s="1">
        <v>0.21</v>
      </c>
      <c r="BG948" s="1">
        <v>214</v>
      </c>
      <c r="BH948" s="1">
        <v>306</v>
      </c>
      <c r="BJ948" s="1">
        <v>26.5</v>
      </c>
      <c r="BK948" s="1" t="s">
        <v>9641</v>
      </c>
      <c r="BM948" s="1">
        <v>81.5</v>
      </c>
      <c r="BP948" s="1">
        <v>148</v>
      </c>
      <c r="BS948" s="1">
        <v>35</v>
      </c>
      <c r="BW948" s="1">
        <v>0.34</v>
      </c>
      <c r="CF948" s="1" t="s">
        <v>9642</v>
      </c>
      <c r="CR948" s="1">
        <v>0.32</v>
      </c>
      <c r="CV948" s="1">
        <v>0.34</v>
      </c>
      <c r="CY948" s="1">
        <v>0.06</v>
      </c>
      <c r="DB948" s="1">
        <v>0.08</v>
      </c>
      <c r="DC948" s="1">
        <v>1.49</v>
      </c>
      <c r="DE948" s="1">
        <v>0.17</v>
      </c>
      <c r="DG948" s="1">
        <v>0.13</v>
      </c>
      <c r="DM948" s="1">
        <v>1.47</v>
      </c>
      <c r="EX948" s="1">
        <v>46.4</v>
      </c>
    </row>
    <row r="949" spans="1:154" x14ac:dyDescent="0.2">
      <c r="A949" s="1" t="s">
        <v>9526</v>
      </c>
      <c r="B949" s="1" t="s">
        <v>55</v>
      </c>
      <c r="C949" s="1" t="s">
        <v>236</v>
      </c>
      <c r="E949" s="1">
        <v>36</v>
      </c>
      <c r="F949" s="1" t="s">
        <v>3093</v>
      </c>
      <c r="H949" s="1" t="s">
        <v>9527</v>
      </c>
      <c r="I949" s="1" t="s">
        <v>7</v>
      </c>
      <c r="J949" s="1" t="s">
        <v>3096</v>
      </c>
      <c r="K949" s="1" t="s">
        <v>3097</v>
      </c>
      <c r="L949" s="1" t="s">
        <v>3096</v>
      </c>
      <c r="O949" s="1">
        <v>5</v>
      </c>
      <c r="Q949" s="1">
        <v>2007</v>
      </c>
      <c r="R949" s="1" t="s">
        <v>9385</v>
      </c>
      <c r="S949" s="1" t="s">
        <v>27</v>
      </c>
      <c r="T949" s="17" t="s">
        <v>7945</v>
      </c>
      <c r="V949" s="1">
        <v>511</v>
      </c>
      <c r="W949" s="1">
        <v>121</v>
      </c>
      <c r="Z949" s="1">
        <v>70</v>
      </c>
      <c r="AA949" s="1">
        <v>6.25</v>
      </c>
      <c r="AC949" s="1">
        <v>27.3</v>
      </c>
      <c r="AJ949" s="1">
        <v>1.1000000000000001</v>
      </c>
      <c r="AK949" s="1">
        <v>0.51400000000000001</v>
      </c>
      <c r="AL949" s="1">
        <v>0.51300000000000001</v>
      </c>
      <c r="AM949" s="1">
        <v>0.45600000000000002</v>
      </c>
      <c r="AQ949" s="1">
        <v>0.3</v>
      </c>
      <c r="AV949" s="1">
        <v>1.3</v>
      </c>
      <c r="AY949" s="1">
        <v>2.9</v>
      </c>
      <c r="BD949" s="1" t="s">
        <v>9640</v>
      </c>
      <c r="BF949" s="1">
        <v>0.94</v>
      </c>
      <c r="BG949" s="1">
        <v>23</v>
      </c>
      <c r="BH949" s="1">
        <v>357</v>
      </c>
      <c r="BJ949" s="1">
        <v>38.299999999999997</v>
      </c>
      <c r="BK949" s="1" t="s">
        <v>9641</v>
      </c>
      <c r="BM949" s="1">
        <v>59.7</v>
      </c>
      <c r="BP949" s="1">
        <v>243</v>
      </c>
      <c r="BS949" s="1">
        <v>124</v>
      </c>
      <c r="BW949" s="1">
        <v>0.36</v>
      </c>
      <c r="CF949" s="1">
        <v>3.5</v>
      </c>
      <c r="CR949" s="1">
        <v>2.66</v>
      </c>
      <c r="CV949" s="1">
        <v>0.43</v>
      </c>
      <c r="CY949" s="1">
        <v>7.0000000000000007E-2</v>
      </c>
      <c r="DB949" s="1">
        <v>0.05</v>
      </c>
      <c r="DC949" s="1">
        <v>18.88</v>
      </c>
      <c r="DE949" s="1">
        <v>0.17</v>
      </c>
      <c r="DG949" s="1">
        <v>0.93</v>
      </c>
      <c r="DM949" s="1">
        <v>2.9</v>
      </c>
      <c r="EX949" s="1">
        <v>32.9</v>
      </c>
    </row>
    <row r="950" spans="1:154" x14ac:dyDescent="0.2">
      <c r="A950" s="1" t="s">
        <v>9528</v>
      </c>
      <c r="B950" s="1" t="s">
        <v>55</v>
      </c>
      <c r="C950" s="1" t="s">
        <v>9529</v>
      </c>
      <c r="D950" s="1" t="s">
        <v>2</v>
      </c>
      <c r="E950" s="1">
        <v>12</v>
      </c>
      <c r="F950" s="1" t="s">
        <v>1373</v>
      </c>
      <c r="H950" s="1" t="s">
        <v>9530</v>
      </c>
      <c r="I950" s="1" t="s">
        <v>7</v>
      </c>
      <c r="J950" s="1" t="s">
        <v>9531</v>
      </c>
      <c r="K950" s="1" t="s">
        <v>1376</v>
      </c>
      <c r="L950" s="1" t="s">
        <v>1375</v>
      </c>
      <c r="O950" s="1">
        <v>5</v>
      </c>
      <c r="Q950" s="1">
        <v>2007</v>
      </c>
      <c r="R950" s="1" t="s">
        <v>9385</v>
      </c>
      <c r="S950" s="1" t="s">
        <v>27</v>
      </c>
      <c r="T950" s="17" t="s">
        <v>7945</v>
      </c>
      <c r="V950" s="1">
        <v>392</v>
      </c>
      <c r="W950" s="1">
        <v>93</v>
      </c>
      <c r="Z950" s="1">
        <v>78.5</v>
      </c>
      <c r="AA950" s="1">
        <v>6.25</v>
      </c>
      <c r="AC950" s="1">
        <v>18.100000000000001</v>
      </c>
      <c r="AJ950" s="1">
        <v>2.1</v>
      </c>
      <c r="AK950" s="1">
        <v>0.56499999999999995</v>
      </c>
      <c r="AL950" s="1">
        <v>0.64300000000000002</v>
      </c>
      <c r="AM950" s="1">
        <v>0.44</v>
      </c>
      <c r="AQ950" s="1">
        <v>0.5</v>
      </c>
      <c r="AV950" s="1">
        <v>0.8</v>
      </c>
      <c r="AY950" s="1">
        <v>8.1999999999999993</v>
      </c>
      <c r="BD950" s="1" t="s">
        <v>9641</v>
      </c>
      <c r="BF950" s="1">
        <v>0.27</v>
      </c>
      <c r="BG950" s="1">
        <v>6</v>
      </c>
      <c r="BH950" s="1">
        <v>282</v>
      </c>
      <c r="BJ950" s="1">
        <v>25.4</v>
      </c>
      <c r="BK950" s="1" t="s">
        <v>9641</v>
      </c>
      <c r="BM950" s="1">
        <v>28.3</v>
      </c>
      <c r="BP950" s="1">
        <v>131</v>
      </c>
      <c r="BS950" s="1">
        <v>18</v>
      </c>
      <c r="BW950" s="1">
        <v>0.32</v>
      </c>
      <c r="CF950" s="1" t="s">
        <v>9642</v>
      </c>
      <c r="CR950" s="1">
        <v>15.61</v>
      </c>
      <c r="CV950" s="1">
        <v>0.93</v>
      </c>
      <c r="CY950" s="1" t="s">
        <v>9644</v>
      </c>
      <c r="DB950" s="1">
        <v>0.05</v>
      </c>
      <c r="DC950" s="1">
        <v>3.28</v>
      </c>
      <c r="DE950" s="1">
        <v>0.68</v>
      </c>
      <c r="DG950" s="1">
        <v>0.23</v>
      </c>
      <c r="DM950" s="1">
        <v>1.07</v>
      </c>
      <c r="EX950" s="1">
        <v>39.5</v>
      </c>
    </row>
    <row r="951" spans="1:154" x14ac:dyDescent="0.2">
      <c r="A951" s="1" t="s">
        <v>9532</v>
      </c>
      <c r="B951" s="1" t="s">
        <v>55</v>
      </c>
      <c r="C951" s="1" t="s">
        <v>9383</v>
      </c>
      <c r="D951" s="1" t="s">
        <v>2</v>
      </c>
      <c r="E951" s="1">
        <v>23</v>
      </c>
      <c r="F951" s="1" t="s">
        <v>1471</v>
      </c>
      <c r="H951" s="1" t="s">
        <v>2812</v>
      </c>
      <c r="I951" s="1" t="s">
        <v>7</v>
      </c>
      <c r="J951" s="1" t="s">
        <v>1473</v>
      </c>
      <c r="K951" s="1" t="s">
        <v>1474</v>
      </c>
      <c r="L951" s="1" t="s">
        <v>1473</v>
      </c>
      <c r="O951" s="1">
        <v>5</v>
      </c>
      <c r="Q951" s="1">
        <v>2007</v>
      </c>
      <c r="R951" s="1" t="s">
        <v>9385</v>
      </c>
      <c r="S951" s="1" t="s">
        <v>27</v>
      </c>
      <c r="T951" s="17" t="s">
        <v>7945</v>
      </c>
      <c r="V951" s="1">
        <v>569</v>
      </c>
      <c r="W951" s="1">
        <v>136</v>
      </c>
      <c r="Z951" s="1">
        <v>72.3</v>
      </c>
      <c r="AA951" s="1">
        <v>6.25</v>
      </c>
      <c r="AC951" s="1">
        <v>19.100000000000001</v>
      </c>
      <c r="AJ951" s="1">
        <v>6</v>
      </c>
      <c r="AK951" s="1">
        <v>1.484</v>
      </c>
      <c r="AL951" s="1">
        <v>2.6419999999999999</v>
      </c>
      <c r="AM951" s="1">
        <v>2.8239999999999998</v>
      </c>
      <c r="AQ951" s="1">
        <v>1.4</v>
      </c>
      <c r="AV951" s="1">
        <v>1.3</v>
      </c>
      <c r="AY951" s="1">
        <v>11.4</v>
      </c>
      <c r="BD951" s="1" t="s">
        <v>9641</v>
      </c>
      <c r="BF951" s="1">
        <v>0.34</v>
      </c>
      <c r="BG951" s="1">
        <v>12</v>
      </c>
      <c r="BH951" s="1">
        <v>398</v>
      </c>
      <c r="BJ951" s="1">
        <v>27.1</v>
      </c>
      <c r="BK951" s="1" t="s">
        <v>9641</v>
      </c>
      <c r="BM951" s="1">
        <v>34.5</v>
      </c>
      <c r="BP951" s="1">
        <v>184</v>
      </c>
      <c r="BS951" s="1">
        <v>9</v>
      </c>
      <c r="BW951" s="1">
        <v>0.38</v>
      </c>
      <c r="CF951" s="1">
        <v>17.100000000000001</v>
      </c>
      <c r="CR951" s="1">
        <v>5.25</v>
      </c>
      <c r="CV951" s="1">
        <v>2.44</v>
      </c>
      <c r="CY951" s="1">
        <v>0.13</v>
      </c>
      <c r="DB951" s="1">
        <v>0.1</v>
      </c>
      <c r="DC951" s="1">
        <v>5.8</v>
      </c>
      <c r="DE951" s="1">
        <v>1.59</v>
      </c>
      <c r="DG951" s="1">
        <v>0.38</v>
      </c>
      <c r="DM951" s="1">
        <v>2.5</v>
      </c>
      <c r="EX951" s="1">
        <v>52.6</v>
      </c>
    </row>
    <row r="952" spans="1:154" x14ac:dyDescent="0.2">
      <c r="A952" s="1" t="s">
        <v>9533</v>
      </c>
      <c r="B952" s="1" t="s">
        <v>55</v>
      </c>
      <c r="C952" s="1" t="s">
        <v>9383</v>
      </c>
      <c r="D952" s="1" t="s">
        <v>2</v>
      </c>
      <c r="E952" s="1">
        <v>23</v>
      </c>
      <c r="F952" s="1" t="s">
        <v>1471</v>
      </c>
      <c r="H952" s="1" t="s">
        <v>9534</v>
      </c>
      <c r="I952" s="1" t="s">
        <v>7</v>
      </c>
      <c r="J952" s="1" t="s">
        <v>1473</v>
      </c>
      <c r="K952" s="1" t="s">
        <v>1474</v>
      </c>
      <c r="L952" s="1" t="s">
        <v>1473</v>
      </c>
      <c r="O952" s="1">
        <v>5</v>
      </c>
      <c r="Q952" s="1">
        <v>2007</v>
      </c>
      <c r="R952" s="1" t="s">
        <v>9385</v>
      </c>
      <c r="S952" s="1" t="s">
        <v>27</v>
      </c>
      <c r="T952" s="17" t="s">
        <v>7945</v>
      </c>
      <c r="V952" s="1">
        <v>452</v>
      </c>
      <c r="W952" s="1">
        <v>107</v>
      </c>
      <c r="Z952" s="1">
        <v>75.5</v>
      </c>
      <c r="AA952" s="1">
        <v>6.25</v>
      </c>
      <c r="AC952" s="1">
        <v>19.399999999999999</v>
      </c>
      <c r="AJ952" s="1">
        <v>2.9</v>
      </c>
      <c r="AK952" s="1">
        <v>0.89</v>
      </c>
      <c r="AL952" s="1">
        <v>1.589</v>
      </c>
      <c r="AM952" s="1">
        <v>1.6259999999999999</v>
      </c>
      <c r="AQ952" s="1">
        <v>0.9</v>
      </c>
      <c r="AV952" s="1">
        <v>1.3</v>
      </c>
      <c r="AY952" s="1">
        <v>22.8</v>
      </c>
      <c r="BD952" s="1" t="s">
        <v>9641</v>
      </c>
      <c r="BF952" s="1">
        <v>0.67</v>
      </c>
      <c r="BG952" s="1">
        <v>7</v>
      </c>
      <c r="BH952" s="1">
        <v>421</v>
      </c>
      <c r="BJ952" s="1">
        <v>27.8</v>
      </c>
      <c r="BK952" s="1" t="s">
        <v>9641</v>
      </c>
      <c r="BM952" s="1">
        <v>49.2</v>
      </c>
      <c r="BP952" s="1">
        <v>193</v>
      </c>
      <c r="BS952" s="1">
        <v>10</v>
      </c>
      <c r="BW952" s="1">
        <v>0.49</v>
      </c>
      <c r="CF952" s="1">
        <v>9.8000000000000007</v>
      </c>
      <c r="CR952" s="1">
        <v>6.58</v>
      </c>
      <c r="CV952" s="1">
        <v>1.44</v>
      </c>
      <c r="CY952" s="1">
        <v>0.15</v>
      </c>
      <c r="DB952" s="1">
        <v>0.1</v>
      </c>
      <c r="DC952" s="1">
        <v>5.28</v>
      </c>
      <c r="DE952" s="1">
        <v>1.43</v>
      </c>
      <c r="DG952" s="1">
        <v>0.31</v>
      </c>
      <c r="DM952" s="1">
        <v>2.57</v>
      </c>
      <c r="EX952" s="1">
        <v>57</v>
      </c>
    </row>
    <row r="953" spans="1:154" x14ac:dyDescent="0.2">
      <c r="A953" s="1" t="s">
        <v>9535</v>
      </c>
      <c r="B953" s="1" t="s">
        <v>55</v>
      </c>
      <c r="C953" s="1" t="s">
        <v>9383</v>
      </c>
      <c r="D953" s="1" t="s">
        <v>2</v>
      </c>
      <c r="E953" s="1">
        <v>31</v>
      </c>
      <c r="F953" s="1" t="s">
        <v>2220</v>
      </c>
      <c r="H953" s="1" t="s">
        <v>9536</v>
      </c>
      <c r="I953" s="1" t="s">
        <v>7</v>
      </c>
      <c r="J953" s="1" t="s">
        <v>2222</v>
      </c>
      <c r="K953" s="1" t="s">
        <v>2223</v>
      </c>
      <c r="L953" s="1" t="s">
        <v>2222</v>
      </c>
      <c r="O953" s="1">
        <v>5</v>
      </c>
      <c r="Q953" s="1">
        <v>2007</v>
      </c>
      <c r="R953" s="1" t="s">
        <v>9385</v>
      </c>
      <c r="S953" s="1" t="s">
        <v>27</v>
      </c>
      <c r="T953" s="17" t="s">
        <v>7945</v>
      </c>
      <c r="V953" s="1">
        <v>456</v>
      </c>
      <c r="W953" s="1">
        <v>108</v>
      </c>
      <c r="Z953" s="1">
        <v>76.5</v>
      </c>
      <c r="AA953" s="1">
        <v>6.25</v>
      </c>
      <c r="AC953" s="1">
        <v>18.3</v>
      </c>
      <c r="AJ953" s="1">
        <v>3.8</v>
      </c>
      <c r="AK953" s="1">
        <v>0.95199999999999996</v>
      </c>
      <c r="AL953" s="1">
        <v>1.1559999999999999</v>
      </c>
      <c r="AM953" s="1">
        <v>1.4810000000000001</v>
      </c>
      <c r="AQ953" s="1">
        <v>0.3</v>
      </c>
      <c r="AV953" s="1">
        <v>1.2</v>
      </c>
      <c r="AY953" s="1">
        <v>10.199999999999999</v>
      </c>
      <c r="BD953" s="1" t="s">
        <v>9641</v>
      </c>
      <c r="BF953" s="1">
        <v>0.16</v>
      </c>
      <c r="BG953" s="1">
        <v>24</v>
      </c>
      <c r="BH953" s="1">
        <v>306</v>
      </c>
      <c r="BJ953" s="1">
        <v>24.9</v>
      </c>
      <c r="BK953" s="1" t="s">
        <v>9641</v>
      </c>
      <c r="BM953" s="1">
        <v>77.900000000000006</v>
      </c>
      <c r="BP953" s="1">
        <v>134</v>
      </c>
      <c r="BS953" s="1">
        <v>18</v>
      </c>
      <c r="BW953" s="1">
        <v>0.65</v>
      </c>
      <c r="CF953" s="1">
        <v>9.6</v>
      </c>
      <c r="CR953" s="1">
        <v>3.63</v>
      </c>
      <c r="CV953" s="1">
        <v>3.63</v>
      </c>
      <c r="CY953" s="1">
        <v>0.06</v>
      </c>
      <c r="DB953" s="1">
        <v>0.05</v>
      </c>
      <c r="DC953" s="1">
        <v>3.49</v>
      </c>
      <c r="DE953" s="1">
        <v>0.42</v>
      </c>
      <c r="DG953" s="1">
        <v>0.19</v>
      </c>
      <c r="DM953" s="1">
        <v>1.25</v>
      </c>
      <c r="EX953" s="1">
        <v>50.9</v>
      </c>
    </row>
    <row r="954" spans="1:154" x14ac:dyDescent="0.2">
      <c r="A954" s="1" t="s">
        <v>9537</v>
      </c>
      <c r="B954" s="1" t="s">
        <v>55</v>
      </c>
      <c r="C954" s="1" t="s">
        <v>9538</v>
      </c>
      <c r="E954" s="1">
        <v>55</v>
      </c>
      <c r="F954" s="1" t="s">
        <v>9539</v>
      </c>
      <c r="H954" s="1" t="s">
        <v>9540</v>
      </c>
      <c r="I954" s="1" t="s">
        <v>7</v>
      </c>
      <c r="J954" s="1" t="s">
        <v>9541</v>
      </c>
      <c r="K954" s="1" t="s">
        <v>9542</v>
      </c>
      <c r="L954" s="1" t="s">
        <v>9541</v>
      </c>
      <c r="O954" s="1">
        <v>5</v>
      </c>
      <c r="Q954" s="1">
        <v>2007</v>
      </c>
      <c r="R954" s="1" t="s">
        <v>9385</v>
      </c>
      <c r="S954" s="1" t="s">
        <v>27</v>
      </c>
      <c r="T954" s="17" t="s">
        <v>7945</v>
      </c>
      <c r="V954" s="1">
        <v>318</v>
      </c>
      <c r="W954" s="1">
        <v>75</v>
      </c>
      <c r="Z954" s="1">
        <v>80.2</v>
      </c>
      <c r="AA954" s="1">
        <v>6.25</v>
      </c>
      <c r="AC954" s="1">
        <v>17.2</v>
      </c>
      <c r="AJ954" s="1">
        <v>0.4</v>
      </c>
      <c r="AK954" s="1">
        <v>0.1</v>
      </c>
      <c r="AL954" s="1">
        <v>4.3999999999999997E-2</v>
      </c>
      <c r="AM954" s="1">
        <v>0.189</v>
      </c>
      <c r="AQ954" s="1">
        <v>0.6</v>
      </c>
      <c r="AV954" s="1">
        <v>1.5</v>
      </c>
      <c r="AY954" s="1">
        <v>8</v>
      </c>
      <c r="BD954" s="1" t="s">
        <v>6590</v>
      </c>
      <c r="BF954" s="1">
        <v>0.6</v>
      </c>
      <c r="BG954" s="1">
        <v>15</v>
      </c>
      <c r="BH954" s="1">
        <v>364</v>
      </c>
      <c r="BJ954" s="1">
        <v>40.799999999999997</v>
      </c>
      <c r="BK954" s="1" t="s">
        <v>6590</v>
      </c>
      <c r="BM954" s="1">
        <v>161.80000000000001</v>
      </c>
      <c r="BP954" s="1">
        <v>181</v>
      </c>
      <c r="BS954" s="1">
        <v>15</v>
      </c>
      <c r="BW954" s="1">
        <v>1.19</v>
      </c>
      <c r="CF954" s="1" t="s">
        <v>9642</v>
      </c>
      <c r="CR954" s="1">
        <v>0.92</v>
      </c>
      <c r="CV954" s="1">
        <v>0.92</v>
      </c>
      <c r="CY954" s="1" t="s">
        <v>9645</v>
      </c>
      <c r="DB954" s="1">
        <v>3.5999999999999997E-2</v>
      </c>
      <c r="DC954" s="1">
        <v>1.24</v>
      </c>
      <c r="DE954" s="1">
        <v>0.15</v>
      </c>
      <c r="DG954" s="1">
        <v>0.1</v>
      </c>
      <c r="DM954" s="1">
        <v>1.33</v>
      </c>
      <c r="EX954" s="1">
        <v>25.2</v>
      </c>
    </row>
    <row r="955" spans="1:154" x14ac:dyDescent="0.2">
      <c r="A955" s="1" t="s">
        <v>9543</v>
      </c>
      <c r="B955" s="1" t="s">
        <v>55</v>
      </c>
      <c r="C955" s="1" t="s">
        <v>1343</v>
      </c>
      <c r="E955" s="1">
        <v>13</v>
      </c>
      <c r="F955" s="1" t="s">
        <v>1265</v>
      </c>
      <c r="H955" s="1" t="s">
        <v>9544</v>
      </c>
      <c r="I955" s="1" t="s">
        <v>7</v>
      </c>
      <c r="J955" s="1" t="s">
        <v>1267</v>
      </c>
      <c r="K955" s="1" t="s">
        <v>1268</v>
      </c>
      <c r="L955" s="1" t="s">
        <v>1267</v>
      </c>
      <c r="N955" s="1" t="s">
        <v>9545</v>
      </c>
      <c r="O955" s="1">
        <v>7</v>
      </c>
      <c r="Q955" s="1">
        <v>2013</v>
      </c>
      <c r="R955" s="1" t="s">
        <v>9546</v>
      </c>
      <c r="S955" s="1" t="s">
        <v>27</v>
      </c>
      <c r="T955" s="17" t="s">
        <v>7945</v>
      </c>
      <c r="AY955" s="1">
        <v>8</v>
      </c>
      <c r="BD955" s="1">
        <v>1.3100000000000001E-2</v>
      </c>
      <c r="BF955" s="1">
        <v>0.16</v>
      </c>
      <c r="BH955" s="1">
        <v>180</v>
      </c>
      <c r="BJ955" s="1">
        <v>17.3</v>
      </c>
      <c r="BK955" s="1" t="s">
        <v>9653</v>
      </c>
      <c r="BM955" s="1">
        <v>600</v>
      </c>
      <c r="BV955" s="1">
        <v>11</v>
      </c>
      <c r="BW955" s="1">
        <v>0.24399999999999999</v>
      </c>
      <c r="BX955" s="1">
        <v>110</v>
      </c>
      <c r="BZ955" s="1" t="s">
        <v>9654</v>
      </c>
      <c r="CE955" s="1">
        <v>40</v>
      </c>
    </row>
    <row r="956" spans="1:154" x14ac:dyDescent="0.2">
      <c r="A956" s="1" t="s">
        <v>9547</v>
      </c>
      <c r="B956" s="1" t="s">
        <v>55</v>
      </c>
      <c r="C956" s="1" t="s">
        <v>4373</v>
      </c>
      <c r="D956" s="1" t="s">
        <v>2</v>
      </c>
      <c r="E956" s="1">
        <v>13</v>
      </c>
      <c r="F956" s="1" t="s">
        <v>1265</v>
      </c>
      <c r="H956" s="1" t="s">
        <v>9548</v>
      </c>
      <c r="I956" s="1" t="s">
        <v>7</v>
      </c>
      <c r="J956" s="1" t="s">
        <v>1267</v>
      </c>
      <c r="K956" s="1" t="s">
        <v>1268</v>
      </c>
      <c r="L956" s="1" t="s">
        <v>1267</v>
      </c>
      <c r="M956" s="1" t="s">
        <v>9549</v>
      </c>
      <c r="N956" s="1" t="s">
        <v>9550</v>
      </c>
      <c r="Q956" s="1">
        <v>2012</v>
      </c>
      <c r="R956" s="1" t="s">
        <v>9551</v>
      </c>
      <c r="S956" s="1" t="s">
        <v>27</v>
      </c>
      <c r="T956" s="17" t="s">
        <v>7945</v>
      </c>
      <c r="AC956" s="1">
        <v>15.5</v>
      </c>
      <c r="AH956" s="1">
        <v>4.08</v>
      </c>
      <c r="AV956" s="1">
        <v>1.24</v>
      </c>
      <c r="CV956" s="1">
        <v>0.95499999999999996</v>
      </c>
    </row>
    <row r="957" spans="1:154" x14ac:dyDescent="0.2">
      <c r="A957" s="1" t="s">
        <v>9552</v>
      </c>
      <c r="B957" s="1" t="s">
        <v>55</v>
      </c>
      <c r="G957" s="1" t="s">
        <v>9553</v>
      </c>
      <c r="H957" s="1" t="s">
        <v>9554</v>
      </c>
      <c r="I957" s="1" t="s">
        <v>7</v>
      </c>
      <c r="O957" s="1">
        <v>2</v>
      </c>
      <c r="Q957" s="1">
        <v>1984</v>
      </c>
      <c r="R957" s="1" t="s">
        <v>9555</v>
      </c>
      <c r="S957" s="1" t="s">
        <v>27</v>
      </c>
      <c r="T957" s="17" t="s">
        <v>7945</v>
      </c>
      <c r="AB957" s="1">
        <v>2.74</v>
      </c>
      <c r="DU957" s="1">
        <v>1030</v>
      </c>
      <c r="DV957" s="1">
        <v>995</v>
      </c>
      <c r="DX957" s="1">
        <v>1500</v>
      </c>
      <c r="DY957" s="1">
        <v>130</v>
      </c>
      <c r="EA957" s="1">
        <v>2240</v>
      </c>
      <c r="EB957" s="1">
        <v>1040</v>
      </c>
      <c r="EC957" s="1">
        <v>580</v>
      </c>
      <c r="EF957" s="1">
        <v>775</v>
      </c>
      <c r="EG957" s="1">
        <v>1190</v>
      </c>
      <c r="EH957" s="1">
        <v>1620</v>
      </c>
      <c r="EI957" s="1">
        <v>460</v>
      </c>
      <c r="EK957" s="1">
        <v>660</v>
      </c>
      <c r="EL957" s="1">
        <v>690</v>
      </c>
      <c r="EM957" s="1">
        <v>960</v>
      </c>
      <c r="EO957" s="1">
        <v>730</v>
      </c>
      <c r="EP957" s="1">
        <v>155</v>
      </c>
      <c r="EQ957" s="1">
        <v>575</v>
      </c>
      <c r="ER957" s="1">
        <v>895</v>
      </c>
    </row>
    <row r="958" spans="1:154" x14ac:dyDescent="0.2">
      <c r="A958" s="1" t="s">
        <v>9556</v>
      </c>
      <c r="B958" s="1" t="s">
        <v>55</v>
      </c>
      <c r="G958" s="1" t="s">
        <v>9557</v>
      </c>
      <c r="H958" s="1" t="s">
        <v>9558</v>
      </c>
      <c r="I958" s="1" t="s">
        <v>11</v>
      </c>
      <c r="O958" s="1">
        <v>2</v>
      </c>
      <c r="Q958" s="1">
        <v>1984</v>
      </c>
      <c r="R958" s="1" t="s">
        <v>9555</v>
      </c>
      <c r="S958" s="1" t="s">
        <v>27</v>
      </c>
      <c r="T958" s="17" t="s">
        <v>7945</v>
      </c>
      <c r="AB958" s="1">
        <v>3.1</v>
      </c>
      <c r="DU958" s="1">
        <v>1240</v>
      </c>
      <c r="DV958" s="1">
        <v>1160</v>
      </c>
      <c r="DX958" s="1">
        <v>1860</v>
      </c>
      <c r="DY958" s="1">
        <v>145</v>
      </c>
      <c r="EA958" s="1">
        <v>2510</v>
      </c>
      <c r="EB958" s="1">
        <v>1150</v>
      </c>
      <c r="EC958" s="1">
        <v>775</v>
      </c>
      <c r="EF958" s="1">
        <v>950</v>
      </c>
      <c r="EG958" s="1">
        <v>1470</v>
      </c>
      <c r="EH958" s="1">
        <v>1800</v>
      </c>
      <c r="EI958" s="1">
        <v>570</v>
      </c>
      <c r="EK958" s="1">
        <v>810</v>
      </c>
      <c r="EL958" s="1">
        <v>835</v>
      </c>
      <c r="EM958" s="1">
        <v>825</v>
      </c>
      <c r="EO958" s="1">
        <v>860</v>
      </c>
      <c r="EP958" s="1">
        <v>175</v>
      </c>
      <c r="EQ958" s="1">
        <v>680</v>
      </c>
      <c r="ER958" s="1">
        <v>1080</v>
      </c>
    </row>
    <row r="959" spans="1:154" x14ac:dyDescent="0.2">
      <c r="A959" s="1" t="s">
        <v>9559</v>
      </c>
      <c r="B959" s="1" t="s">
        <v>55</v>
      </c>
      <c r="G959" s="1" t="s">
        <v>9560</v>
      </c>
      <c r="H959" s="1" t="s">
        <v>9561</v>
      </c>
      <c r="I959" s="1" t="s">
        <v>11</v>
      </c>
      <c r="N959" s="1" t="s">
        <v>9562</v>
      </c>
      <c r="O959" s="1">
        <v>2</v>
      </c>
      <c r="Q959" s="1">
        <v>1984</v>
      </c>
      <c r="R959" s="1" t="s">
        <v>9555</v>
      </c>
      <c r="S959" s="1" t="s">
        <v>27</v>
      </c>
      <c r="T959" s="17" t="s">
        <v>7945</v>
      </c>
      <c r="AB959" s="1">
        <v>2.14</v>
      </c>
      <c r="DU959" s="1">
        <v>770</v>
      </c>
      <c r="DV959" s="1">
        <v>700</v>
      </c>
      <c r="DX959" s="1">
        <v>1260</v>
      </c>
      <c r="DY959" s="1">
        <v>43</v>
      </c>
      <c r="EA959" s="1">
        <v>1500</v>
      </c>
      <c r="EB959" s="1">
        <v>800</v>
      </c>
      <c r="EC959" s="1">
        <v>300</v>
      </c>
      <c r="EF959" s="1">
        <v>705</v>
      </c>
      <c r="EG959" s="1">
        <v>1040</v>
      </c>
      <c r="EH959" s="1">
        <v>1060</v>
      </c>
      <c r="EI959" s="1">
        <v>410</v>
      </c>
      <c r="EK959" s="1">
        <v>580</v>
      </c>
      <c r="EL959" s="1">
        <v>535</v>
      </c>
      <c r="EM959" s="1">
        <v>515</v>
      </c>
      <c r="EO959" s="1">
        <v>560</v>
      </c>
      <c r="EP959" s="1">
        <v>140</v>
      </c>
      <c r="EQ959" s="1">
        <v>495</v>
      </c>
      <c r="ER959" s="1">
        <v>785</v>
      </c>
    </row>
    <row r="960" spans="1:154" x14ac:dyDescent="0.2">
      <c r="A960" s="1" t="s">
        <v>9563</v>
      </c>
      <c r="B960" s="1" t="s">
        <v>55</v>
      </c>
      <c r="G960" s="1" t="s">
        <v>9564</v>
      </c>
      <c r="H960" s="1" t="s">
        <v>9565</v>
      </c>
      <c r="I960" s="1" t="s">
        <v>11</v>
      </c>
      <c r="O960" s="1">
        <v>2</v>
      </c>
      <c r="Q960" s="1">
        <v>1984</v>
      </c>
      <c r="R960" s="1" t="s">
        <v>9555</v>
      </c>
      <c r="S960" s="1" t="s">
        <v>27</v>
      </c>
      <c r="T960" s="17" t="s">
        <v>7945</v>
      </c>
      <c r="AB960" s="1">
        <v>1.33</v>
      </c>
      <c r="DU960" s="1">
        <v>435</v>
      </c>
      <c r="DV960" s="1">
        <v>465</v>
      </c>
      <c r="DX960" s="1">
        <v>805</v>
      </c>
      <c r="DY960" s="1">
        <v>52</v>
      </c>
      <c r="EA960" s="1">
        <v>1230</v>
      </c>
      <c r="EB960" s="1">
        <v>325</v>
      </c>
      <c r="EC960" s="1">
        <v>185</v>
      </c>
      <c r="EF960" s="1">
        <v>435</v>
      </c>
      <c r="EG960" s="1">
        <v>655</v>
      </c>
      <c r="EH960" s="1">
        <v>775</v>
      </c>
      <c r="EI960" s="1">
        <v>265</v>
      </c>
      <c r="EK960" s="1">
        <v>360</v>
      </c>
      <c r="EL960" s="1">
        <v>350</v>
      </c>
      <c r="EM960" s="1">
        <v>410</v>
      </c>
      <c r="EO960" s="1">
        <v>375</v>
      </c>
      <c r="EP960" s="1">
        <v>110</v>
      </c>
      <c r="EQ960" s="1">
        <v>345</v>
      </c>
      <c r="ER960" s="1">
        <v>515</v>
      </c>
    </row>
    <row r="961" spans="1:148" x14ac:dyDescent="0.2">
      <c r="A961" s="1" t="s">
        <v>9566</v>
      </c>
      <c r="B961" s="1" t="s">
        <v>55</v>
      </c>
      <c r="G961" s="1" t="s">
        <v>9567</v>
      </c>
      <c r="H961" s="1" t="s">
        <v>9568</v>
      </c>
      <c r="I961" s="1" t="s">
        <v>11</v>
      </c>
      <c r="O961" s="1">
        <v>1</v>
      </c>
      <c r="Q961" s="1">
        <v>1984</v>
      </c>
      <c r="R961" s="1" t="s">
        <v>9555</v>
      </c>
      <c r="S961" s="1" t="s">
        <v>27</v>
      </c>
      <c r="T961" s="17" t="s">
        <v>7945</v>
      </c>
      <c r="AB961" s="1">
        <v>1.36</v>
      </c>
      <c r="DU961" s="1">
        <v>415</v>
      </c>
      <c r="DV961" s="1">
        <v>460</v>
      </c>
      <c r="DX961" s="1">
        <v>710</v>
      </c>
      <c r="DY961" s="1">
        <v>60</v>
      </c>
      <c r="EA961" s="1">
        <v>1630</v>
      </c>
      <c r="EB961" s="1">
        <v>375</v>
      </c>
      <c r="EC961" s="1">
        <v>195</v>
      </c>
      <c r="EF961" s="1">
        <v>420</v>
      </c>
      <c r="EG961" s="1">
        <v>700</v>
      </c>
      <c r="EH961" s="1">
        <v>750</v>
      </c>
      <c r="EI961" s="1">
        <v>245</v>
      </c>
      <c r="EK961" s="1">
        <v>375</v>
      </c>
      <c r="EL961" s="1">
        <v>495</v>
      </c>
      <c r="EM961" s="1">
        <v>420</v>
      </c>
      <c r="EO961" s="1">
        <v>360</v>
      </c>
      <c r="EP961" s="1">
        <v>100</v>
      </c>
      <c r="EQ961" s="1">
        <v>280</v>
      </c>
      <c r="ER961" s="1">
        <v>475</v>
      </c>
    </row>
    <row r="962" spans="1:148" x14ac:dyDescent="0.2">
      <c r="A962" s="1" t="s">
        <v>9569</v>
      </c>
      <c r="B962" s="1" t="s">
        <v>55</v>
      </c>
      <c r="G962" s="1" t="s">
        <v>9570</v>
      </c>
      <c r="H962" s="1" t="s">
        <v>9571</v>
      </c>
      <c r="I962" s="1" t="s">
        <v>11</v>
      </c>
      <c r="O962" s="1">
        <v>2</v>
      </c>
      <c r="Q962" s="1">
        <v>1984</v>
      </c>
      <c r="R962" s="1" t="s">
        <v>9555</v>
      </c>
      <c r="S962" s="1" t="s">
        <v>27</v>
      </c>
      <c r="T962" s="17" t="s">
        <v>7945</v>
      </c>
      <c r="AB962" s="1">
        <v>1.68</v>
      </c>
      <c r="DU962" s="1">
        <v>570</v>
      </c>
      <c r="DV962" s="1">
        <v>525</v>
      </c>
      <c r="DX962" s="1">
        <v>995</v>
      </c>
      <c r="DY962" s="1">
        <v>44</v>
      </c>
      <c r="EA962" s="1">
        <v>1700</v>
      </c>
      <c r="EB962" s="1">
        <v>530</v>
      </c>
      <c r="EC962" s="1">
        <v>230</v>
      </c>
      <c r="EF962" s="1">
        <v>525</v>
      </c>
      <c r="EG962" s="1">
        <v>870</v>
      </c>
      <c r="EH962" s="1">
        <v>960</v>
      </c>
      <c r="EI962" s="1">
        <v>295</v>
      </c>
      <c r="EK962" s="1">
        <v>435</v>
      </c>
      <c r="EL962" s="1">
        <v>550</v>
      </c>
      <c r="EM962" s="1">
        <v>515</v>
      </c>
      <c r="EO962" s="1">
        <v>465</v>
      </c>
      <c r="EP962" s="1">
        <v>110</v>
      </c>
      <c r="EQ962" s="1">
        <v>365</v>
      </c>
      <c r="ER962" s="1">
        <v>615</v>
      </c>
    </row>
    <row r="963" spans="1:148" x14ac:dyDescent="0.2">
      <c r="A963" s="1" t="s">
        <v>9572</v>
      </c>
      <c r="B963" s="1" t="s">
        <v>55</v>
      </c>
      <c r="G963" s="1" t="s">
        <v>9573</v>
      </c>
      <c r="H963" s="1" t="s">
        <v>9574</v>
      </c>
      <c r="I963" s="1" t="s">
        <v>11</v>
      </c>
      <c r="O963" s="1">
        <v>2</v>
      </c>
      <c r="Q963" s="1">
        <v>1984</v>
      </c>
      <c r="R963" s="1" t="s">
        <v>9555</v>
      </c>
      <c r="S963" s="1" t="s">
        <v>27</v>
      </c>
      <c r="T963" s="17" t="s">
        <v>7945</v>
      </c>
      <c r="AB963" s="1">
        <v>1.97</v>
      </c>
      <c r="DU963" s="1">
        <v>745</v>
      </c>
      <c r="DV963" s="1">
        <v>710</v>
      </c>
      <c r="DX963" s="1">
        <v>1230</v>
      </c>
      <c r="DY963" s="1">
        <v>63</v>
      </c>
      <c r="EA963" s="1">
        <v>1670</v>
      </c>
      <c r="EB963" s="1">
        <v>650</v>
      </c>
      <c r="EC963" s="1">
        <v>250</v>
      </c>
      <c r="EF963" s="1">
        <v>640</v>
      </c>
      <c r="EG963" s="1">
        <v>960</v>
      </c>
      <c r="EH963" s="1">
        <v>1200</v>
      </c>
      <c r="EI963" s="1">
        <v>390</v>
      </c>
      <c r="EK963" s="1">
        <v>510</v>
      </c>
      <c r="EL963" s="1">
        <v>490</v>
      </c>
      <c r="EM963" s="1">
        <v>535</v>
      </c>
      <c r="EO963" s="1">
        <v>580</v>
      </c>
      <c r="EP963" s="1">
        <v>120</v>
      </c>
      <c r="EQ963" s="1">
        <v>405</v>
      </c>
      <c r="ER963" s="1">
        <v>760</v>
      </c>
    </row>
    <row r="964" spans="1:148" x14ac:dyDescent="0.2">
      <c r="A964" s="1" t="s">
        <v>9575</v>
      </c>
      <c r="B964" s="1" t="s">
        <v>55</v>
      </c>
      <c r="G964" s="1" t="s">
        <v>9576</v>
      </c>
      <c r="H964" s="1" t="s">
        <v>9577</v>
      </c>
      <c r="I964" s="1" t="s">
        <v>7</v>
      </c>
      <c r="O964" s="1">
        <v>2</v>
      </c>
      <c r="Q964" s="1">
        <v>1984</v>
      </c>
      <c r="R964" s="1" t="s">
        <v>9555</v>
      </c>
      <c r="S964" s="1" t="s">
        <v>27</v>
      </c>
      <c r="T964" s="17" t="s">
        <v>7945</v>
      </c>
      <c r="AB964" s="1">
        <v>3.01</v>
      </c>
      <c r="DU964" s="1">
        <v>1130</v>
      </c>
      <c r="DV964" s="1">
        <v>1120</v>
      </c>
      <c r="DX964" s="1">
        <v>1880</v>
      </c>
      <c r="DY964" s="1">
        <v>160</v>
      </c>
      <c r="EA964" s="1">
        <v>2670</v>
      </c>
      <c r="EB964" s="1">
        <v>875</v>
      </c>
      <c r="EC964" s="1">
        <v>430</v>
      </c>
      <c r="EF964" s="1">
        <v>910</v>
      </c>
      <c r="EG964" s="1">
        <v>1480</v>
      </c>
      <c r="EH964" s="1">
        <v>1800</v>
      </c>
      <c r="EI964" s="1">
        <v>590</v>
      </c>
      <c r="EK964" s="1">
        <v>765</v>
      </c>
      <c r="EL964" s="1">
        <v>680</v>
      </c>
      <c r="EM964" s="1">
        <v>910</v>
      </c>
      <c r="EO964" s="1">
        <v>875</v>
      </c>
      <c r="EP964" s="1">
        <v>195</v>
      </c>
      <c r="EQ964" s="1">
        <v>665</v>
      </c>
      <c r="ER964" s="1">
        <v>1050</v>
      </c>
    </row>
    <row r="965" spans="1:148" x14ac:dyDescent="0.2">
      <c r="A965" s="1" t="s">
        <v>9578</v>
      </c>
      <c r="B965" s="1" t="s">
        <v>55</v>
      </c>
      <c r="G965" s="1" t="s">
        <v>9579</v>
      </c>
      <c r="H965" s="1" t="s">
        <v>9580</v>
      </c>
      <c r="I965" s="1" t="s">
        <v>7</v>
      </c>
      <c r="O965" s="1">
        <v>2</v>
      </c>
      <c r="Q965" s="1">
        <v>1984</v>
      </c>
      <c r="R965" s="1" t="s">
        <v>9555</v>
      </c>
      <c r="S965" s="1" t="s">
        <v>27</v>
      </c>
      <c r="T965" s="17" t="s">
        <v>7945</v>
      </c>
      <c r="AB965" s="1">
        <v>3.31</v>
      </c>
      <c r="DU965" s="1">
        <v>1180</v>
      </c>
      <c r="DV965" s="1">
        <v>1220</v>
      </c>
      <c r="DX965" s="1">
        <v>2090</v>
      </c>
      <c r="DY965" s="1">
        <v>145</v>
      </c>
      <c r="EA965" s="1">
        <v>3070</v>
      </c>
      <c r="EB965" s="1">
        <v>900</v>
      </c>
      <c r="EC965" s="1">
        <v>480</v>
      </c>
      <c r="EF965" s="1">
        <v>1060</v>
      </c>
      <c r="EG965" s="1">
        <v>1620</v>
      </c>
      <c r="EH965" s="1">
        <v>1960</v>
      </c>
      <c r="EI965" s="1">
        <v>630</v>
      </c>
      <c r="EK965" s="1">
        <v>800</v>
      </c>
      <c r="EL965" s="1">
        <v>685</v>
      </c>
      <c r="EM965" s="1">
        <v>940</v>
      </c>
      <c r="EO965" s="1">
        <v>870</v>
      </c>
      <c r="EP965" s="1">
        <v>200</v>
      </c>
      <c r="EQ965" s="1">
        <v>855</v>
      </c>
      <c r="ER965" s="1">
        <v>1190</v>
      </c>
    </row>
    <row r="966" spans="1:148" x14ac:dyDescent="0.2">
      <c r="A966" s="1" t="s">
        <v>9581</v>
      </c>
      <c r="B966" s="1" t="s">
        <v>55</v>
      </c>
      <c r="G966" s="1" t="s">
        <v>9582</v>
      </c>
      <c r="H966" s="1" t="s">
        <v>9583</v>
      </c>
      <c r="I966" s="1" t="s">
        <v>11</v>
      </c>
      <c r="O966" s="1">
        <v>2</v>
      </c>
      <c r="Q966" s="1">
        <v>1984</v>
      </c>
      <c r="R966" s="1" t="s">
        <v>9555</v>
      </c>
      <c r="S966" s="1" t="s">
        <v>27</v>
      </c>
      <c r="T966" s="17" t="s">
        <v>7945</v>
      </c>
      <c r="AB966" s="1">
        <v>2.4300000000000002</v>
      </c>
      <c r="DU966" s="1">
        <v>780</v>
      </c>
      <c r="DV966" s="1">
        <v>795</v>
      </c>
      <c r="DX966" s="1">
        <v>1340</v>
      </c>
      <c r="DY966" s="1">
        <v>85</v>
      </c>
      <c r="EA966" s="1">
        <v>1790</v>
      </c>
      <c r="EB966" s="1">
        <v>685</v>
      </c>
      <c r="EC966" s="1">
        <v>265</v>
      </c>
      <c r="EF966" s="1">
        <v>715</v>
      </c>
      <c r="EG966" s="1">
        <v>1060</v>
      </c>
      <c r="EH966" s="1">
        <v>1270</v>
      </c>
      <c r="EI966" s="1">
        <v>460</v>
      </c>
      <c r="EK966" s="1">
        <v>570</v>
      </c>
      <c r="EL966" s="1">
        <v>505</v>
      </c>
      <c r="EM966" s="1">
        <v>590</v>
      </c>
      <c r="EO966" s="1">
        <v>600</v>
      </c>
      <c r="EP966" s="1">
        <v>105</v>
      </c>
      <c r="EQ966" s="1">
        <v>440</v>
      </c>
      <c r="ER966" s="1">
        <v>790</v>
      </c>
    </row>
    <row r="967" spans="1:148" x14ac:dyDescent="0.2">
      <c r="A967" s="1" t="s">
        <v>9584</v>
      </c>
      <c r="B967" s="1" t="s">
        <v>55</v>
      </c>
      <c r="G967" s="1" t="s">
        <v>9585</v>
      </c>
      <c r="H967" s="1" t="s">
        <v>9586</v>
      </c>
      <c r="I967" s="1" t="s">
        <v>7</v>
      </c>
      <c r="O967" s="1">
        <v>2</v>
      </c>
      <c r="Q967" s="1">
        <v>1984</v>
      </c>
      <c r="R967" s="1" t="s">
        <v>9555</v>
      </c>
      <c r="S967" s="1" t="s">
        <v>27</v>
      </c>
      <c r="T967" s="17" t="s">
        <v>7945</v>
      </c>
      <c r="AB967" s="1">
        <v>3.43</v>
      </c>
      <c r="DU967" s="1">
        <v>1390</v>
      </c>
      <c r="DV967" s="1">
        <v>1330</v>
      </c>
      <c r="DX967" s="1">
        <v>1940</v>
      </c>
      <c r="DY967" s="1">
        <v>175</v>
      </c>
      <c r="EA967" s="1">
        <v>2700</v>
      </c>
      <c r="EB967" s="1">
        <v>1170</v>
      </c>
      <c r="EC967" s="1">
        <v>720</v>
      </c>
      <c r="EF967" s="1">
        <v>1030</v>
      </c>
      <c r="EG967" s="1">
        <v>1540</v>
      </c>
      <c r="EH967" s="1">
        <v>1900</v>
      </c>
      <c r="EI967" s="1">
        <v>620</v>
      </c>
      <c r="EK967" s="1">
        <v>810</v>
      </c>
      <c r="EL967" s="1">
        <v>745</v>
      </c>
      <c r="EM967" s="1">
        <v>880</v>
      </c>
      <c r="EO967" s="1">
        <v>925</v>
      </c>
      <c r="EP967" s="1">
        <v>235</v>
      </c>
      <c r="EQ967" s="1">
        <v>765</v>
      </c>
      <c r="ER967" s="1">
        <v>1180</v>
      </c>
    </row>
    <row r="968" spans="1:148" x14ac:dyDescent="0.2">
      <c r="A968" s="1" t="s">
        <v>9587</v>
      </c>
      <c r="B968" s="1" t="s">
        <v>55</v>
      </c>
      <c r="G968" s="1" t="s">
        <v>9588</v>
      </c>
      <c r="H968" s="1" t="s">
        <v>9589</v>
      </c>
      <c r="I968" s="1" t="s">
        <v>7</v>
      </c>
      <c r="O968" s="1">
        <v>2</v>
      </c>
      <c r="Q968" s="1">
        <v>1984</v>
      </c>
      <c r="R968" s="1" t="s">
        <v>9555</v>
      </c>
      <c r="S968" s="1" t="s">
        <v>27</v>
      </c>
      <c r="T968" s="17" t="s">
        <v>7945</v>
      </c>
      <c r="AB968" s="1">
        <v>2.9</v>
      </c>
      <c r="DU968" s="1">
        <v>1110</v>
      </c>
      <c r="DV968" s="1">
        <v>2040</v>
      </c>
      <c r="DX968" s="1">
        <v>1710</v>
      </c>
      <c r="DY968" s="1">
        <v>115</v>
      </c>
      <c r="EA968" s="1">
        <v>2380</v>
      </c>
      <c r="EB968" s="1">
        <v>870</v>
      </c>
      <c r="EC968" s="1">
        <v>415</v>
      </c>
      <c r="EF968" s="1">
        <v>905</v>
      </c>
      <c r="EG968" s="1">
        <v>1430</v>
      </c>
      <c r="EH968" s="1">
        <v>1630</v>
      </c>
      <c r="EI968" s="1">
        <v>560</v>
      </c>
      <c r="EK968" s="1">
        <v>720</v>
      </c>
      <c r="EL968" s="1">
        <v>645</v>
      </c>
      <c r="EM968" s="1">
        <v>710</v>
      </c>
      <c r="EO968" s="1">
        <v>820</v>
      </c>
      <c r="EP968" s="1">
        <v>190</v>
      </c>
      <c r="EQ968" s="1">
        <v>620</v>
      </c>
      <c r="ER968" s="1">
        <v>1050</v>
      </c>
    </row>
    <row r="969" spans="1:148" x14ac:dyDescent="0.2">
      <c r="A969" s="1" t="s">
        <v>9590</v>
      </c>
      <c r="B969" s="1" t="s">
        <v>55</v>
      </c>
      <c r="G969" s="1" t="s">
        <v>9591</v>
      </c>
      <c r="H969" s="1" t="s">
        <v>1974</v>
      </c>
      <c r="I969" s="1" t="s">
        <v>11</v>
      </c>
      <c r="O969" s="1">
        <v>2</v>
      </c>
      <c r="Q969" s="1">
        <v>1984</v>
      </c>
      <c r="R969" s="1" t="s">
        <v>9555</v>
      </c>
      <c r="S969" s="1" t="s">
        <v>27</v>
      </c>
      <c r="T969" s="17" t="s">
        <v>7945</v>
      </c>
      <c r="AB969" s="1">
        <v>3.63</v>
      </c>
      <c r="DU969" s="1">
        <v>1270</v>
      </c>
      <c r="DV969" s="1">
        <v>1840</v>
      </c>
      <c r="DX969" s="1">
        <v>2100</v>
      </c>
      <c r="DY969" s="1">
        <v>200</v>
      </c>
      <c r="EA969" s="1">
        <v>2770</v>
      </c>
      <c r="EB969" s="1">
        <v>1040</v>
      </c>
      <c r="EC969" s="1">
        <v>620</v>
      </c>
      <c r="EF969" s="1">
        <v>1140</v>
      </c>
      <c r="EG969" s="1">
        <v>1660</v>
      </c>
      <c r="EH969" s="1">
        <v>1960</v>
      </c>
      <c r="EI969" s="1">
        <v>890</v>
      </c>
      <c r="EK969" s="1">
        <v>910</v>
      </c>
      <c r="EL969" s="1">
        <v>780</v>
      </c>
      <c r="EM969" s="1">
        <v>880</v>
      </c>
      <c r="EO969" s="1">
        <v>990</v>
      </c>
      <c r="EP969" s="1">
        <v>220</v>
      </c>
      <c r="EQ969" s="1">
        <v>775</v>
      </c>
      <c r="ER969" s="1">
        <v>1360</v>
      </c>
    </row>
    <row r="970" spans="1:148" x14ac:dyDescent="0.2">
      <c r="A970" s="1" t="s">
        <v>9592</v>
      </c>
      <c r="B970" s="1" t="s">
        <v>55</v>
      </c>
      <c r="G970" s="1" t="s">
        <v>9593</v>
      </c>
      <c r="H970" s="1" t="s">
        <v>1972</v>
      </c>
      <c r="I970" s="1" t="s">
        <v>11</v>
      </c>
      <c r="O970" s="1">
        <v>3</v>
      </c>
      <c r="Q970" s="1">
        <v>1984</v>
      </c>
      <c r="R970" s="1" t="s">
        <v>9555</v>
      </c>
      <c r="S970" s="1" t="s">
        <v>27</v>
      </c>
      <c r="T970" s="17" t="s">
        <v>7945</v>
      </c>
      <c r="AB970" s="1">
        <v>3.28</v>
      </c>
      <c r="DU970" s="1">
        <v>1210</v>
      </c>
      <c r="DV970" s="1">
        <v>1170</v>
      </c>
      <c r="DX970" s="1">
        <v>1930</v>
      </c>
      <c r="DY970" s="1">
        <v>160</v>
      </c>
      <c r="EA970" s="1">
        <v>2430</v>
      </c>
      <c r="EB970" s="1">
        <v>950</v>
      </c>
      <c r="EC970" s="1">
        <v>935</v>
      </c>
      <c r="EF970" s="1">
        <v>1030</v>
      </c>
      <c r="EG970" s="1">
        <v>1540</v>
      </c>
      <c r="EH970" s="1">
        <v>1800</v>
      </c>
      <c r="EI970" s="1">
        <v>590</v>
      </c>
      <c r="EK970" s="1">
        <v>820</v>
      </c>
      <c r="EL970" s="1">
        <v>695</v>
      </c>
      <c r="EM970" s="1">
        <v>815</v>
      </c>
      <c r="EO970" s="1">
        <v>880</v>
      </c>
      <c r="EP970" s="1">
        <v>215</v>
      </c>
      <c r="EQ970" s="1">
        <v>725</v>
      </c>
      <c r="ER970" s="1">
        <v>1220</v>
      </c>
    </row>
    <row r="971" spans="1:148" x14ac:dyDescent="0.2">
      <c r="A971" s="1" t="s">
        <v>9594</v>
      </c>
      <c r="B971" s="1" t="s">
        <v>55</v>
      </c>
      <c r="G971" s="1" t="s">
        <v>9595</v>
      </c>
      <c r="H971" s="1" t="s">
        <v>9596</v>
      </c>
      <c r="I971" s="1" t="s">
        <v>11</v>
      </c>
      <c r="O971" s="1">
        <v>1</v>
      </c>
      <c r="Q971" s="1">
        <v>1984</v>
      </c>
      <c r="R971" s="1" t="s">
        <v>9555</v>
      </c>
      <c r="S971" s="1" t="s">
        <v>27</v>
      </c>
      <c r="T971" s="17" t="s">
        <v>7945</v>
      </c>
      <c r="AB971" s="1">
        <v>2.97</v>
      </c>
      <c r="DU971" s="1">
        <v>1070</v>
      </c>
      <c r="DV971" s="1">
        <v>925</v>
      </c>
      <c r="DX971" s="1">
        <v>1650</v>
      </c>
      <c r="DY971" s="1">
        <v>115</v>
      </c>
      <c r="EA971" s="1">
        <v>2060</v>
      </c>
      <c r="EB971" s="1">
        <v>1000</v>
      </c>
      <c r="EC971" s="1">
        <v>915</v>
      </c>
      <c r="EF971" s="1">
        <v>900</v>
      </c>
      <c r="EG971" s="1">
        <v>1380</v>
      </c>
      <c r="EH971" s="1">
        <v>1640</v>
      </c>
      <c r="EI971" s="1">
        <v>510</v>
      </c>
      <c r="EK971" s="1">
        <v>745</v>
      </c>
      <c r="EL971" s="1">
        <v>695</v>
      </c>
      <c r="EM971" s="1">
        <v>790</v>
      </c>
      <c r="EO971" s="1">
        <v>845</v>
      </c>
      <c r="EP971" s="1">
        <v>195</v>
      </c>
      <c r="EQ971" s="1">
        <v>720</v>
      </c>
      <c r="ER971" s="1">
        <v>1160</v>
      </c>
    </row>
    <row r="972" spans="1:148" x14ac:dyDescent="0.2">
      <c r="A972" s="1" t="s">
        <v>9597</v>
      </c>
      <c r="B972" s="1" t="s">
        <v>1911</v>
      </c>
      <c r="G972" s="1" t="s">
        <v>9598</v>
      </c>
      <c r="H972" s="1" t="s">
        <v>9599</v>
      </c>
      <c r="I972" s="1" t="s">
        <v>7</v>
      </c>
      <c r="O972" s="1">
        <v>3</v>
      </c>
      <c r="Q972" s="1">
        <v>1984</v>
      </c>
      <c r="R972" s="1" t="s">
        <v>9555</v>
      </c>
      <c r="S972" s="1" t="s">
        <v>27</v>
      </c>
      <c r="T972" s="17" t="s">
        <v>7945</v>
      </c>
      <c r="AB972" s="1">
        <v>3.66</v>
      </c>
      <c r="DU972" s="1">
        <v>1240</v>
      </c>
      <c r="DV972" s="1">
        <v>1800</v>
      </c>
      <c r="DX972" s="1">
        <v>2460</v>
      </c>
      <c r="DY972" s="1">
        <v>155</v>
      </c>
      <c r="EA972" s="1">
        <v>3220</v>
      </c>
      <c r="EB972" s="1">
        <v>1330</v>
      </c>
      <c r="EC972" s="1">
        <v>480</v>
      </c>
      <c r="EF972" s="1">
        <v>1220</v>
      </c>
      <c r="EG972" s="1">
        <v>1790</v>
      </c>
      <c r="EH972" s="1">
        <v>1970</v>
      </c>
      <c r="EI972" s="1">
        <v>660</v>
      </c>
      <c r="EK972" s="1">
        <v>990</v>
      </c>
      <c r="EL972" s="1">
        <v>910</v>
      </c>
      <c r="EM972" s="1">
        <v>1020</v>
      </c>
      <c r="EO972" s="1">
        <v>875</v>
      </c>
      <c r="EP972" s="1">
        <v>255</v>
      </c>
      <c r="EQ972" s="1">
        <v>875</v>
      </c>
      <c r="ER972" s="1">
        <v>1200</v>
      </c>
    </row>
    <row r="973" spans="1:148" x14ac:dyDescent="0.2">
      <c r="A973" s="1" t="s">
        <v>9600</v>
      </c>
      <c r="B973" s="1" t="s">
        <v>55</v>
      </c>
      <c r="G973" s="1" t="s">
        <v>9601</v>
      </c>
      <c r="H973" s="1" t="s">
        <v>9602</v>
      </c>
      <c r="I973" s="1" t="s">
        <v>7</v>
      </c>
      <c r="O973" s="1">
        <v>2</v>
      </c>
      <c r="Q973" s="1">
        <v>1984</v>
      </c>
      <c r="R973" s="1" t="s">
        <v>9555</v>
      </c>
      <c r="S973" s="1" t="s">
        <v>27</v>
      </c>
      <c r="T973" s="17" t="s">
        <v>7945</v>
      </c>
      <c r="AB973" s="1">
        <v>3.04</v>
      </c>
      <c r="DU973" s="1">
        <v>1210</v>
      </c>
      <c r="DV973" s="1">
        <v>1220</v>
      </c>
      <c r="DX973" s="1">
        <v>1880</v>
      </c>
      <c r="DY973" s="1">
        <v>160</v>
      </c>
      <c r="EA973" s="1">
        <v>2560</v>
      </c>
      <c r="EB973" s="1">
        <v>1420</v>
      </c>
      <c r="EC973" s="1">
        <v>430</v>
      </c>
      <c r="EF973" s="1">
        <v>880</v>
      </c>
      <c r="EG973" s="1">
        <v>1400</v>
      </c>
      <c r="EH973" s="1">
        <v>1760</v>
      </c>
      <c r="EI973" s="1">
        <v>570</v>
      </c>
      <c r="EK973" s="1">
        <v>705</v>
      </c>
      <c r="EL973" s="1">
        <v>825</v>
      </c>
      <c r="EM973" s="1">
        <v>955</v>
      </c>
      <c r="EO973" s="1">
        <v>835</v>
      </c>
      <c r="EP973" s="1">
        <v>175</v>
      </c>
      <c r="EQ973" s="1">
        <v>645</v>
      </c>
      <c r="ER973" s="1">
        <v>1020</v>
      </c>
    </row>
    <row r="974" spans="1:148" x14ac:dyDescent="0.2">
      <c r="A974" s="1" t="s">
        <v>9603</v>
      </c>
      <c r="B974" s="1" t="s">
        <v>55</v>
      </c>
      <c r="G974" s="1" t="s">
        <v>9604</v>
      </c>
      <c r="H974" s="1" t="s">
        <v>9605</v>
      </c>
      <c r="I974" s="1" t="s">
        <v>11</v>
      </c>
      <c r="O974" s="1">
        <v>2</v>
      </c>
      <c r="Q974" s="1">
        <v>1984</v>
      </c>
      <c r="R974" s="1" t="s">
        <v>9555</v>
      </c>
      <c r="S974" s="1" t="s">
        <v>27</v>
      </c>
      <c r="T974" s="17" t="s">
        <v>7945</v>
      </c>
      <c r="AB974" s="1">
        <v>3.64</v>
      </c>
      <c r="DU974" s="1">
        <v>1210</v>
      </c>
      <c r="DV974" s="1">
        <v>1280</v>
      </c>
      <c r="DX974" s="1">
        <v>2020</v>
      </c>
      <c r="DY974" s="1">
        <v>150</v>
      </c>
      <c r="EA974" s="1">
        <v>2610</v>
      </c>
      <c r="EB974" s="1">
        <v>1270</v>
      </c>
      <c r="EC974" s="1">
        <v>915</v>
      </c>
      <c r="EF974" s="1">
        <v>1060</v>
      </c>
      <c r="EG974" s="1">
        <v>1570</v>
      </c>
      <c r="EH974" s="1">
        <v>1600</v>
      </c>
      <c r="EI974" s="1">
        <v>645</v>
      </c>
      <c r="EK974" s="1">
        <v>900</v>
      </c>
      <c r="EL974" s="1">
        <v>840</v>
      </c>
      <c r="EM974" s="1">
        <v>895</v>
      </c>
      <c r="EO974" s="1">
        <v>890</v>
      </c>
      <c r="EP974" s="1">
        <v>215</v>
      </c>
      <c r="EQ974" s="1">
        <v>690</v>
      </c>
      <c r="ER974" s="1">
        <v>1200</v>
      </c>
    </row>
    <row r="975" spans="1:148" x14ac:dyDescent="0.2">
      <c r="A975" s="1" t="s">
        <v>9606</v>
      </c>
      <c r="B975" s="1" t="s">
        <v>55</v>
      </c>
      <c r="G975" s="1" t="s">
        <v>9607</v>
      </c>
      <c r="H975" s="1" t="s">
        <v>9608</v>
      </c>
      <c r="I975" s="1" t="s">
        <v>11</v>
      </c>
      <c r="O975" s="1">
        <v>2</v>
      </c>
      <c r="Q975" s="1">
        <v>1984</v>
      </c>
      <c r="R975" s="1" t="s">
        <v>9555</v>
      </c>
      <c r="S975" s="1" t="s">
        <v>27</v>
      </c>
      <c r="T975" s="17" t="s">
        <v>7945</v>
      </c>
      <c r="AB975" s="1">
        <v>3.14</v>
      </c>
      <c r="DU975" s="1">
        <v>1170</v>
      </c>
      <c r="DV975" s="1">
        <v>1090</v>
      </c>
      <c r="DX975" s="1">
        <v>1840</v>
      </c>
      <c r="DY975" s="1">
        <v>86</v>
      </c>
      <c r="EA975" s="1">
        <v>2240</v>
      </c>
      <c r="EB975" s="1">
        <v>1000</v>
      </c>
      <c r="EC975" s="1">
        <v>660</v>
      </c>
      <c r="EF975" s="1">
        <v>940</v>
      </c>
      <c r="EG975" s="1">
        <v>1450</v>
      </c>
      <c r="EH975" s="1">
        <v>1640</v>
      </c>
      <c r="EI975" s="1">
        <v>565</v>
      </c>
      <c r="EK975" s="1">
        <v>755</v>
      </c>
      <c r="EL975" s="1">
        <v>730</v>
      </c>
      <c r="EM975" s="1">
        <v>790</v>
      </c>
      <c r="EO975" s="1">
        <v>840</v>
      </c>
      <c r="EP975" s="1">
        <v>185</v>
      </c>
      <c r="EQ975" s="1">
        <v>760</v>
      </c>
      <c r="ER975" s="1">
        <v>1140</v>
      </c>
    </row>
    <row r="976" spans="1:148" x14ac:dyDescent="0.2">
      <c r="A976" s="1" t="s">
        <v>9609</v>
      </c>
      <c r="B976" s="1" t="s">
        <v>55</v>
      </c>
      <c r="G976" s="1" t="s">
        <v>9610</v>
      </c>
      <c r="H976" s="1" t="s">
        <v>9611</v>
      </c>
      <c r="I976" s="1" t="s">
        <v>7</v>
      </c>
      <c r="O976" s="1">
        <v>2</v>
      </c>
      <c r="Q976" s="1">
        <v>1984</v>
      </c>
      <c r="R976" s="1" t="s">
        <v>9555</v>
      </c>
      <c r="S976" s="1" t="s">
        <v>27</v>
      </c>
      <c r="T976" s="17" t="s">
        <v>7945</v>
      </c>
      <c r="AB976" s="1">
        <v>2.76</v>
      </c>
      <c r="DU976" s="1">
        <v>1110</v>
      </c>
      <c r="DV976" s="1">
        <v>995</v>
      </c>
      <c r="DX976" s="1">
        <v>1690</v>
      </c>
      <c r="DY976" s="1">
        <v>150</v>
      </c>
      <c r="EA976" s="1">
        <v>2220</v>
      </c>
      <c r="EB976" s="1">
        <v>860</v>
      </c>
      <c r="EC976" s="1">
        <v>500</v>
      </c>
      <c r="EF976" s="1">
        <v>830</v>
      </c>
      <c r="EG976" s="1">
        <v>1400</v>
      </c>
      <c r="EH976" s="1">
        <v>1670</v>
      </c>
      <c r="EI976" s="1">
        <v>535</v>
      </c>
      <c r="EK976" s="1">
        <v>670</v>
      </c>
      <c r="EL976" s="1">
        <v>635</v>
      </c>
      <c r="EM976" s="1">
        <v>735</v>
      </c>
      <c r="EO976" s="1">
        <v>760</v>
      </c>
      <c r="EP976" s="1">
        <v>175</v>
      </c>
      <c r="EQ976" s="1">
        <v>585</v>
      </c>
      <c r="ER976" s="1">
        <v>1010</v>
      </c>
    </row>
    <row r="977" spans="1:148" x14ac:dyDescent="0.2">
      <c r="A977" s="1" t="s">
        <v>9612</v>
      </c>
      <c r="B977" s="1" t="s">
        <v>55</v>
      </c>
      <c r="G977" s="1" t="s">
        <v>9613</v>
      </c>
      <c r="H977" s="1" t="s">
        <v>9614</v>
      </c>
      <c r="I977" s="1" t="s">
        <v>11</v>
      </c>
      <c r="O977" s="1">
        <v>1</v>
      </c>
      <c r="Q977" s="1">
        <v>1984</v>
      </c>
      <c r="R977" s="1" t="s">
        <v>9555</v>
      </c>
      <c r="S977" s="1" t="s">
        <v>27</v>
      </c>
      <c r="T977" s="17" t="s">
        <v>7945</v>
      </c>
      <c r="AB977" s="1">
        <v>2.56</v>
      </c>
      <c r="DU977" s="1">
        <v>945</v>
      </c>
      <c r="DV977" s="1">
        <v>910</v>
      </c>
      <c r="DX977" s="1">
        <v>1590</v>
      </c>
      <c r="DY977" s="1">
        <v>80</v>
      </c>
      <c r="EA977" s="1">
        <v>1770</v>
      </c>
      <c r="EB977" s="1">
        <v>735</v>
      </c>
      <c r="EC977" s="1">
        <v>420</v>
      </c>
      <c r="EF977" s="1">
        <v>785</v>
      </c>
      <c r="EG977" s="1">
        <v>1300</v>
      </c>
      <c r="EH977" s="1">
        <v>1410</v>
      </c>
      <c r="EI977" s="1">
        <v>460</v>
      </c>
      <c r="EK977" s="1">
        <v>700</v>
      </c>
      <c r="EL977" s="1">
        <v>620</v>
      </c>
      <c r="EM977" s="1">
        <v>670</v>
      </c>
      <c r="EO977" s="1">
        <v>720</v>
      </c>
      <c r="EP977" s="1">
        <v>180</v>
      </c>
      <c r="EQ977" s="1">
        <v>450</v>
      </c>
      <c r="ER977" s="1">
        <v>970</v>
      </c>
    </row>
    <row r="978" spans="1:148" x14ac:dyDescent="0.2">
      <c r="A978" s="1" t="s">
        <v>9615</v>
      </c>
      <c r="B978" s="1" t="s">
        <v>55</v>
      </c>
      <c r="G978" s="1" t="s">
        <v>9616</v>
      </c>
      <c r="H978" s="1" t="s">
        <v>1968</v>
      </c>
      <c r="I978" s="1" t="s">
        <v>11</v>
      </c>
      <c r="O978" s="1">
        <v>3</v>
      </c>
      <c r="Q978" s="1">
        <v>1984</v>
      </c>
      <c r="R978" s="1" t="s">
        <v>9555</v>
      </c>
      <c r="S978" s="1" t="s">
        <v>27</v>
      </c>
      <c r="T978" s="17" t="s">
        <v>7945</v>
      </c>
      <c r="AB978" s="1">
        <v>3.69</v>
      </c>
      <c r="DU978" s="1">
        <v>1460</v>
      </c>
      <c r="DV978" s="1">
        <v>1300</v>
      </c>
      <c r="DX978" s="1">
        <v>2340</v>
      </c>
      <c r="DY978" s="1">
        <v>165</v>
      </c>
      <c r="EA978" s="1">
        <v>3110</v>
      </c>
      <c r="EB978" s="1">
        <v>1030</v>
      </c>
      <c r="EC978" s="1">
        <v>525</v>
      </c>
      <c r="EF978" s="1">
        <v>1160</v>
      </c>
      <c r="EG978" s="1">
        <v>1830</v>
      </c>
      <c r="EH978" s="1">
        <v>2240</v>
      </c>
      <c r="EI978" s="1">
        <v>755</v>
      </c>
      <c r="EK978" s="1">
        <v>925</v>
      </c>
      <c r="EL978" s="1">
        <v>855</v>
      </c>
      <c r="EM978" s="1">
        <v>995</v>
      </c>
      <c r="EO978" s="1">
        <v>1080</v>
      </c>
      <c r="EP978" s="1">
        <v>240</v>
      </c>
      <c r="EQ978" s="1">
        <v>825</v>
      </c>
      <c r="ER978" s="1">
        <v>1380</v>
      </c>
    </row>
    <row r="979" spans="1:148" x14ac:dyDescent="0.2">
      <c r="A979" s="1" t="s">
        <v>9617</v>
      </c>
      <c r="B979" s="1" t="s">
        <v>55</v>
      </c>
      <c r="G979" s="1" t="s">
        <v>9618</v>
      </c>
      <c r="H979" s="1" t="s">
        <v>9619</v>
      </c>
      <c r="I979" s="1" t="s">
        <v>11</v>
      </c>
      <c r="O979" s="1">
        <v>2</v>
      </c>
      <c r="Q979" s="1">
        <v>1984</v>
      </c>
      <c r="R979" s="1" t="s">
        <v>9555</v>
      </c>
      <c r="S979" s="1" t="s">
        <v>27</v>
      </c>
      <c r="T979" s="17" t="s">
        <v>7945</v>
      </c>
      <c r="AB979" s="1">
        <v>2.63</v>
      </c>
      <c r="DU979" s="1">
        <v>1010</v>
      </c>
      <c r="DV979" s="1">
        <v>1020</v>
      </c>
      <c r="DX979" s="1">
        <v>1620</v>
      </c>
      <c r="DY979" s="1">
        <v>80</v>
      </c>
      <c r="EA979" s="1">
        <v>2180</v>
      </c>
      <c r="EB979" s="1">
        <v>805</v>
      </c>
      <c r="EC979" s="1">
        <v>410</v>
      </c>
      <c r="EF979" s="1">
        <v>860</v>
      </c>
      <c r="EG979" s="1">
        <v>1360</v>
      </c>
      <c r="EH979" s="1">
        <v>1550</v>
      </c>
      <c r="EI979" s="1">
        <v>535</v>
      </c>
      <c r="EK979" s="1">
        <v>625</v>
      </c>
      <c r="EL979" s="1">
        <v>640</v>
      </c>
      <c r="EM979" s="1">
        <v>715</v>
      </c>
      <c r="EO979" s="1">
        <v>725</v>
      </c>
      <c r="EP979" s="1">
        <v>175</v>
      </c>
      <c r="EQ979" s="1">
        <v>585</v>
      </c>
      <c r="ER979" s="1">
        <v>1010</v>
      </c>
    </row>
    <row r="980" spans="1:148" x14ac:dyDescent="0.2">
      <c r="A980" s="1" t="s">
        <v>9620</v>
      </c>
      <c r="B980" s="1" t="s">
        <v>55</v>
      </c>
      <c r="G980" s="1" t="s">
        <v>9621</v>
      </c>
      <c r="H980" s="1" t="s">
        <v>9622</v>
      </c>
      <c r="I980" s="1" t="s">
        <v>7</v>
      </c>
      <c r="O980" s="1">
        <v>2</v>
      </c>
      <c r="Q980" s="1">
        <v>1984</v>
      </c>
      <c r="R980" s="1" t="s">
        <v>9555</v>
      </c>
      <c r="S980" s="1" t="s">
        <v>27</v>
      </c>
      <c r="T980" s="17" t="s">
        <v>7945</v>
      </c>
      <c r="AB980" s="1">
        <v>2.79</v>
      </c>
      <c r="DU980" s="1">
        <v>1100</v>
      </c>
      <c r="DV980" s="1">
        <v>1020</v>
      </c>
      <c r="DX980" s="1">
        <v>1710</v>
      </c>
      <c r="DY980" s="1">
        <v>125</v>
      </c>
      <c r="EA980" s="1">
        <v>2270</v>
      </c>
      <c r="EB980" s="1">
        <v>1010</v>
      </c>
      <c r="EC980" s="1">
        <v>385</v>
      </c>
      <c r="EF980" s="1">
        <v>860</v>
      </c>
      <c r="EG980" s="1">
        <v>1320</v>
      </c>
      <c r="EH980" s="1">
        <v>1580</v>
      </c>
      <c r="EI980" s="1">
        <v>510</v>
      </c>
      <c r="EK980" s="1">
        <v>660</v>
      </c>
      <c r="EL980" s="1">
        <v>630</v>
      </c>
      <c r="EM980" s="1">
        <v>805</v>
      </c>
      <c r="EO980" s="1">
        <v>745</v>
      </c>
      <c r="EP980" s="1">
        <v>135</v>
      </c>
      <c r="EQ980" s="1">
        <v>630</v>
      </c>
      <c r="ER980" s="1">
        <v>955</v>
      </c>
    </row>
    <row r="981" spans="1:148" x14ac:dyDescent="0.2">
      <c r="A981" s="1" t="s">
        <v>9623</v>
      </c>
      <c r="B981" s="1" t="s">
        <v>55</v>
      </c>
      <c r="G981" s="1" t="s">
        <v>6539</v>
      </c>
      <c r="H981" s="1" t="s">
        <v>9624</v>
      </c>
      <c r="I981" s="1" t="s">
        <v>7</v>
      </c>
      <c r="O981" s="1">
        <v>2</v>
      </c>
      <c r="Q981" s="1">
        <v>1984</v>
      </c>
      <c r="R981" s="1" t="s">
        <v>9555</v>
      </c>
      <c r="S981" s="1" t="s">
        <v>27</v>
      </c>
      <c r="T981" s="17" t="s">
        <v>7945</v>
      </c>
      <c r="AB981" s="1">
        <v>3.14</v>
      </c>
      <c r="DU981" s="1">
        <v>1130</v>
      </c>
      <c r="DV981" s="1">
        <v>1140</v>
      </c>
      <c r="DX981" s="1">
        <v>1930</v>
      </c>
      <c r="DY981" s="1">
        <v>135</v>
      </c>
      <c r="EA981" s="1">
        <v>2630</v>
      </c>
      <c r="EB981" s="1">
        <v>900</v>
      </c>
      <c r="EC981" s="1">
        <v>375</v>
      </c>
      <c r="EF981" s="1">
        <v>920</v>
      </c>
      <c r="EG981" s="1">
        <v>1410</v>
      </c>
      <c r="EH981" s="1">
        <v>1730</v>
      </c>
      <c r="EI981" s="1">
        <v>585</v>
      </c>
      <c r="EK981" s="1">
        <v>715</v>
      </c>
      <c r="EL981" s="1">
        <v>610</v>
      </c>
      <c r="EM981" s="1">
        <v>800</v>
      </c>
      <c r="EO981" s="1">
        <v>795</v>
      </c>
      <c r="EP981" s="1">
        <v>180</v>
      </c>
      <c r="EQ981" s="1">
        <v>680</v>
      </c>
      <c r="ER981" s="1">
        <v>995</v>
      </c>
    </row>
    <row r="982" spans="1:148" x14ac:dyDescent="0.2">
      <c r="A982" s="1" t="s">
        <v>9625</v>
      </c>
      <c r="B982" s="1" t="s">
        <v>55</v>
      </c>
      <c r="G982" s="1" t="s">
        <v>9626</v>
      </c>
      <c r="H982" s="1" t="s">
        <v>9627</v>
      </c>
      <c r="I982" s="1" t="s">
        <v>11</v>
      </c>
      <c r="O982" s="1">
        <v>1</v>
      </c>
      <c r="Q982" s="1">
        <v>1984</v>
      </c>
      <c r="R982" s="1" t="s">
        <v>9555</v>
      </c>
      <c r="S982" s="1" t="s">
        <v>27</v>
      </c>
      <c r="T982" s="17" t="s">
        <v>7945</v>
      </c>
      <c r="AB982" s="1">
        <v>3.92</v>
      </c>
      <c r="DU982" s="1">
        <v>1440</v>
      </c>
      <c r="DV982" s="1">
        <v>1480</v>
      </c>
      <c r="DX982" s="1">
        <v>2580</v>
      </c>
      <c r="DY982" s="1">
        <v>169</v>
      </c>
      <c r="EA982" s="1">
        <v>3450</v>
      </c>
      <c r="EB982" s="1">
        <v>1410</v>
      </c>
      <c r="EC982" s="1">
        <v>505</v>
      </c>
      <c r="EF982" s="1">
        <v>1210</v>
      </c>
      <c r="EG982" s="1">
        <v>1810</v>
      </c>
      <c r="EH982" s="1">
        <v>2200</v>
      </c>
      <c r="EI982" s="1">
        <v>735</v>
      </c>
      <c r="EK982" s="1">
        <v>920</v>
      </c>
      <c r="EL982" s="1">
        <v>815</v>
      </c>
      <c r="EM982" s="1">
        <v>1070</v>
      </c>
      <c r="EO982" s="1">
        <v>990</v>
      </c>
      <c r="EP982" s="1">
        <v>225</v>
      </c>
      <c r="EQ982" s="1">
        <v>925</v>
      </c>
      <c r="ER982" s="1">
        <v>1280</v>
      </c>
    </row>
    <row r="983" spans="1:148" x14ac:dyDescent="0.2">
      <c r="A983" s="1" t="s">
        <v>9628</v>
      </c>
      <c r="B983" s="1" t="s">
        <v>55</v>
      </c>
      <c r="G983" s="1" t="s">
        <v>9629</v>
      </c>
      <c r="H983" s="1" t="s">
        <v>9630</v>
      </c>
      <c r="I983" s="1" t="s">
        <v>11</v>
      </c>
      <c r="O983" s="1">
        <v>1</v>
      </c>
      <c r="Q983" s="1">
        <v>1984</v>
      </c>
      <c r="R983" s="1" t="s">
        <v>9555</v>
      </c>
      <c r="S983" s="1" t="s">
        <v>27</v>
      </c>
      <c r="T983" s="17" t="s">
        <v>7945</v>
      </c>
      <c r="AB983" s="1">
        <v>1.64</v>
      </c>
      <c r="DU983" s="1">
        <v>455</v>
      </c>
      <c r="DV983" s="1">
        <v>510</v>
      </c>
      <c r="DX983" s="1">
        <v>735</v>
      </c>
      <c r="DY983" s="1">
        <v>180</v>
      </c>
      <c r="EA983" s="1">
        <v>820</v>
      </c>
      <c r="EB983" s="1">
        <v>390</v>
      </c>
      <c r="EC983" s="1">
        <v>180</v>
      </c>
      <c r="EF983" s="1">
        <v>380</v>
      </c>
      <c r="EG983" s="1">
        <v>635</v>
      </c>
      <c r="EH983" s="1">
        <v>600</v>
      </c>
      <c r="EI983" s="1">
        <v>205</v>
      </c>
      <c r="EK983" s="1">
        <v>355</v>
      </c>
      <c r="EL983" s="1">
        <v>315</v>
      </c>
      <c r="EM983" s="1">
        <v>375</v>
      </c>
      <c r="EO983" s="1">
        <v>390</v>
      </c>
      <c r="EP983" s="1">
        <v>90</v>
      </c>
      <c r="EQ983" s="1">
        <v>295</v>
      </c>
      <c r="ER983" s="1">
        <v>500</v>
      </c>
    </row>
    <row r="984" spans="1:148" x14ac:dyDescent="0.2">
      <c r="A984" s="1" t="s">
        <v>9631</v>
      </c>
      <c r="B984" s="1" t="s">
        <v>55</v>
      </c>
      <c r="G984" s="1" t="s">
        <v>9632</v>
      </c>
      <c r="H984" s="1" t="s">
        <v>9633</v>
      </c>
      <c r="I984" s="1" t="s">
        <v>11</v>
      </c>
      <c r="O984" s="1">
        <v>2</v>
      </c>
      <c r="Q984" s="1">
        <v>1984</v>
      </c>
      <c r="R984" s="1" t="s">
        <v>9555</v>
      </c>
      <c r="S984" s="1" t="s">
        <v>27</v>
      </c>
      <c r="T984" s="17" t="s">
        <v>7945</v>
      </c>
      <c r="AB984" s="1">
        <v>3.62</v>
      </c>
      <c r="DU984" s="1">
        <v>1470</v>
      </c>
      <c r="DV984" s="1">
        <v>1170</v>
      </c>
      <c r="DX984" s="1">
        <v>1740</v>
      </c>
      <c r="DY984" s="1">
        <v>190</v>
      </c>
      <c r="EA984" s="1">
        <v>2490</v>
      </c>
      <c r="EB984" s="1">
        <v>770</v>
      </c>
      <c r="EC984" s="1">
        <v>475</v>
      </c>
      <c r="EF984" s="1">
        <v>1250</v>
      </c>
      <c r="EG984" s="1">
        <v>1920</v>
      </c>
      <c r="EH984" s="1">
        <v>1780</v>
      </c>
      <c r="EI984" s="1">
        <v>535</v>
      </c>
      <c r="EK984" s="1">
        <v>850</v>
      </c>
      <c r="EL984" s="1">
        <v>1190</v>
      </c>
      <c r="EM984" s="1">
        <v>1360</v>
      </c>
      <c r="EO984" s="1">
        <v>840</v>
      </c>
      <c r="EP984" s="1">
        <v>255</v>
      </c>
      <c r="EQ984" s="1">
        <v>890</v>
      </c>
      <c r="ER984" s="1">
        <v>1430</v>
      </c>
    </row>
    <row r="985" spans="1:148" x14ac:dyDescent="0.2">
      <c r="A985" s="1" t="s">
        <v>9634</v>
      </c>
      <c r="B985" s="1" t="s">
        <v>55</v>
      </c>
      <c r="G985" s="1" t="s">
        <v>9635</v>
      </c>
      <c r="H985" s="1" t="s">
        <v>9636</v>
      </c>
      <c r="I985" s="1" t="s">
        <v>11</v>
      </c>
      <c r="O985" s="1">
        <v>1</v>
      </c>
      <c r="Q985" s="1">
        <v>1984</v>
      </c>
      <c r="R985" s="1" t="s">
        <v>9555</v>
      </c>
      <c r="S985" s="1" t="s">
        <v>27</v>
      </c>
      <c r="T985" s="17" t="s">
        <v>7945</v>
      </c>
      <c r="AB985" s="1">
        <v>4.08</v>
      </c>
      <c r="DU985" s="1">
        <v>1540</v>
      </c>
      <c r="DV985" s="1">
        <v>1420</v>
      </c>
      <c r="DX985" s="1">
        <v>2330</v>
      </c>
      <c r="DY985" s="1">
        <v>175</v>
      </c>
      <c r="EA985" s="1">
        <v>3190</v>
      </c>
      <c r="EB985" s="1">
        <v>1110</v>
      </c>
      <c r="EC985" s="1">
        <v>1280</v>
      </c>
      <c r="EF985" s="1">
        <v>1330</v>
      </c>
      <c r="EG985" s="1">
        <v>1920</v>
      </c>
      <c r="EH985" s="1">
        <v>2310</v>
      </c>
      <c r="EI985" s="1">
        <v>740</v>
      </c>
      <c r="EK985" s="1">
        <v>1020</v>
      </c>
      <c r="EL985" s="1">
        <v>860</v>
      </c>
      <c r="EM985" s="1">
        <v>980</v>
      </c>
      <c r="EO985" s="1">
        <v>1100</v>
      </c>
      <c r="EP985" s="1">
        <v>285</v>
      </c>
      <c r="EQ985" s="1">
        <v>890</v>
      </c>
      <c r="ER985" s="1">
        <v>1510</v>
      </c>
    </row>
    <row r="986" spans="1:148" x14ac:dyDescent="0.2">
      <c r="A986" s="1" t="s">
        <v>9637</v>
      </c>
      <c r="B986" s="1" t="s">
        <v>55</v>
      </c>
      <c r="G986" s="1" t="s">
        <v>9638</v>
      </c>
      <c r="H986" s="1" t="s">
        <v>9639</v>
      </c>
      <c r="I986" s="1" t="s">
        <v>11</v>
      </c>
      <c r="O986" s="1">
        <v>1</v>
      </c>
      <c r="Q986" s="1">
        <v>1984</v>
      </c>
      <c r="R986" s="1" t="s">
        <v>9555</v>
      </c>
      <c r="S986" s="1" t="s">
        <v>27</v>
      </c>
      <c r="T986" s="17" t="s">
        <v>7945</v>
      </c>
      <c r="AB986" s="1">
        <v>3.37</v>
      </c>
      <c r="DU986" s="1">
        <v>1300</v>
      </c>
      <c r="DV986" s="1">
        <v>1205</v>
      </c>
      <c r="DX986" s="1">
        <v>2180</v>
      </c>
      <c r="DY986" s="1">
        <v>100</v>
      </c>
      <c r="EA986" s="1">
        <v>2900</v>
      </c>
      <c r="EB986" s="1">
        <v>890</v>
      </c>
      <c r="EC986" s="1">
        <v>725</v>
      </c>
      <c r="EF986" s="1">
        <v>1130</v>
      </c>
      <c r="EG986" s="1">
        <v>1810</v>
      </c>
      <c r="EH986" s="1">
        <v>1880</v>
      </c>
      <c r="EI986" s="1">
        <v>680</v>
      </c>
      <c r="EK986" s="1">
        <v>865</v>
      </c>
      <c r="EL986" s="1">
        <v>795</v>
      </c>
      <c r="EM986" s="1">
        <v>870</v>
      </c>
      <c r="EO986" s="1">
        <v>1060</v>
      </c>
      <c r="EP986" s="1">
        <v>230</v>
      </c>
      <c r="EQ986" s="1">
        <v>765</v>
      </c>
      <c r="ER986" s="1">
        <v>1340</v>
      </c>
    </row>
  </sheetData>
  <autoFilter ref="A1:IM986" xr:uid="{00000000-0009-0000-0000-00000B000000}"/>
  <pageMargins left="0.7" right="0.7" top="0.75" bottom="0.75" header="0.3" footer="0.3"/>
  <pageSetup paperSize="9" orientation="portrait" r:id="rId1"/>
  <ignoredErrors>
    <ignoredError sqref="A4:A881"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IO986"/>
  <sheetViews>
    <sheetView topLeftCell="S1" workbookViewId="0">
      <pane ySplit="1" topLeftCell="A2" activePane="bottomLeft" state="frozen"/>
      <selection pane="bottomLeft" activeCell="AF1" sqref="AF1"/>
    </sheetView>
  </sheetViews>
  <sheetFormatPr baseColWidth="10" defaultColWidth="11.5" defaultRowHeight="14" x14ac:dyDescent="0.2"/>
  <cols>
    <col min="1" max="1" width="11.5" style="1" customWidth="1"/>
    <col min="2" max="2" width="7.6640625" style="1" customWidth="1"/>
    <col min="3" max="3" width="11.5" style="1" customWidth="1"/>
    <col min="4" max="4" width="3.83203125" style="1" customWidth="1"/>
    <col min="5" max="6" width="5.6640625" style="1" customWidth="1"/>
    <col min="7" max="7" width="5.1640625" style="1" customWidth="1"/>
    <col min="8" max="8" width="19.5" style="1" customWidth="1"/>
    <col min="9" max="9" width="4.33203125" style="1" customWidth="1"/>
    <col min="10" max="10" width="5.6640625" style="1" customWidth="1"/>
    <col min="11" max="11" width="11.5" style="1"/>
    <col min="12" max="12" width="6.5" style="1" customWidth="1"/>
    <col min="13" max="13" width="7.33203125" style="1" customWidth="1"/>
    <col min="14" max="14" width="11.5" style="1"/>
    <col min="15" max="15" width="5" style="1" customWidth="1"/>
    <col min="16" max="16" width="11.5" style="1"/>
    <col min="17" max="17" width="6.5" style="1" customWidth="1"/>
    <col min="18" max="18" width="5" style="1" customWidth="1"/>
    <col min="19" max="19" width="4.5" style="1" customWidth="1"/>
    <col min="20" max="20" width="4.33203125" style="17" customWidth="1"/>
    <col min="21" max="16384" width="11.5" style="1"/>
  </cols>
  <sheetData>
    <row r="1" spans="1:249" s="4" customFormat="1" ht="58.5" customHeight="1" x14ac:dyDescent="0.15">
      <c r="A1" s="4" t="s">
        <v>64</v>
      </c>
      <c r="B1" s="4" t="s">
        <v>1059</v>
      </c>
      <c r="C1" s="4" t="s">
        <v>65</v>
      </c>
      <c r="D1" s="4" t="s">
        <v>1</v>
      </c>
      <c r="E1" s="4" t="s">
        <v>1060</v>
      </c>
      <c r="F1" s="4" t="s">
        <v>1061</v>
      </c>
      <c r="G1" s="4" t="s">
        <v>1062</v>
      </c>
      <c r="H1" s="4" t="s">
        <v>1063</v>
      </c>
      <c r="I1" s="4" t="s">
        <v>6</v>
      </c>
      <c r="J1" s="4" t="s">
        <v>239</v>
      </c>
      <c r="K1" s="4" t="s">
        <v>1064</v>
      </c>
      <c r="L1" s="4" t="s">
        <v>1065</v>
      </c>
      <c r="M1" s="4" t="s">
        <v>68</v>
      </c>
      <c r="N1" s="4" t="s">
        <v>69</v>
      </c>
      <c r="O1" s="4" t="s">
        <v>13</v>
      </c>
      <c r="P1" s="4" t="s">
        <v>70</v>
      </c>
      <c r="Q1" s="4" t="s">
        <v>71</v>
      </c>
      <c r="R1" s="4" t="s">
        <v>240</v>
      </c>
      <c r="S1" s="4" t="s">
        <v>1066</v>
      </c>
      <c r="T1" s="4" t="s">
        <v>1067</v>
      </c>
      <c r="U1" s="4" t="s">
        <v>73</v>
      </c>
      <c r="V1" s="4" t="s">
        <v>1072</v>
      </c>
      <c r="W1" s="4" t="s">
        <v>76</v>
      </c>
      <c r="X1" s="4" t="s">
        <v>77</v>
      </c>
      <c r="Y1" s="4" t="s">
        <v>1073</v>
      </c>
      <c r="Z1" s="4" t="s">
        <v>1074</v>
      </c>
      <c r="AA1" s="4" t="s">
        <v>1075</v>
      </c>
      <c r="AB1" s="4" t="s">
        <v>78</v>
      </c>
      <c r="AC1" s="4" t="s">
        <v>1076</v>
      </c>
      <c r="AD1" s="4" t="s">
        <v>5154</v>
      </c>
      <c r="AE1" s="4" t="s">
        <v>5155</v>
      </c>
      <c r="AF1" s="4" t="s">
        <v>5156</v>
      </c>
      <c r="AG1" s="4" t="s">
        <v>5157</v>
      </c>
      <c r="AH1" s="4" t="s">
        <v>5158</v>
      </c>
      <c r="AI1" s="24" t="s">
        <v>7410</v>
      </c>
      <c r="AJ1" s="24" t="s">
        <v>7411</v>
      </c>
      <c r="AK1" s="24" t="s">
        <v>7412</v>
      </c>
      <c r="AL1" s="24" t="s">
        <v>7413</v>
      </c>
      <c r="AM1" s="4" t="s">
        <v>5159</v>
      </c>
      <c r="AN1" s="4" t="s">
        <v>5160</v>
      </c>
      <c r="AO1" s="4" t="s">
        <v>5161</v>
      </c>
      <c r="AP1" s="4" t="s">
        <v>5162</v>
      </c>
      <c r="AQ1" s="4" t="s">
        <v>5163</v>
      </c>
      <c r="AR1" s="4" t="s">
        <v>5164</v>
      </c>
      <c r="AS1" s="4" t="s">
        <v>5165</v>
      </c>
      <c r="AT1" s="4" t="s">
        <v>5166</v>
      </c>
      <c r="AU1" s="4" t="s">
        <v>112</v>
      </c>
      <c r="AV1" s="4" t="s">
        <v>113</v>
      </c>
      <c r="AW1" s="4" t="s">
        <v>114</v>
      </c>
      <c r="AX1" s="4" t="s">
        <v>5167</v>
      </c>
      <c r="AY1" s="4" t="s">
        <v>115</v>
      </c>
      <c r="AZ1" s="4" t="s">
        <v>5168</v>
      </c>
      <c r="BA1" s="4" t="s">
        <v>116</v>
      </c>
      <c r="BB1" s="4" t="s">
        <v>5169</v>
      </c>
      <c r="BC1" s="4" t="s">
        <v>5170</v>
      </c>
      <c r="BD1" s="4" t="s">
        <v>117</v>
      </c>
      <c r="BE1" s="4" t="s">
        <v>5171</v>
      </c>
      <c r="BF1" s="4" t="s">
        <v>5172</v>
      </c>
      <c r="BG1" s="4" t="s">
        <v>118</v>
      </c>
      <c r="BH1" s="4" t="s">
        <v>5173</v>
      </c>
      <c r="BI1" s="4" t="s">
        <v>119</v>
      </c>
      <c r="BJ1" s="4" t="s">
        <v>120</v>
      </c>
      <c r="BK1" s="4" t="s">
        <v>121</v>
      </c>
      <c r="BL1" s="4" t="s">
        <v>5174</v>
      </c>
      <c r="BM1" s="4" t="s">
        <v>122</v>
      </c>
      <c r="BN1" s="4" t="s">
        <v>5175</v>
      </c>
      <c r="BO1" s="4" t="s">
        <v>5176</v>
      </c>
      <c r="BP1" s="4" t="s">
        <v>5177</v>
      </c>
      <c r="BQ1" s="4" t="s">
        <v>5178</v>
      </c>
      <c r="BR1" s="4" t="s">
        <v>5179</v>
      </c>
      <c r="BS1" s="4" t="s">
        <v>5180</v>
      </c>
      <c r="BT1" s="4" t="s">
        <v>5181</v>
      </c>
      <c r="BU1" s="4" t="s">
        <v>5182</v>
      </c>
      <c r="BV1" s="4" t="s">
        <v>5183</v>
      </c>
      <c r="BW1" s="4" t="s">
        <v>5184</v>
      </c>
      <c r="BX1" s="4" t="s">
        <v>5185</v>
      </c>
      <c r="BY1" s="4" t="s">
        <v>5186</v>
      </c>
      <c r="BZ1" s="4" t="s">
        <v>5187</v>
      </c>
      <c r="CA1" s="4" t="s">
        <v>123</v>
      </c>
      <c r="CB1" s="4" t="s">
        <v>5188</v>
      </c>
      <c r="CC1" s="4" t="s">
        <v>5189</v>
      </c>
      <c r="CD1" s="4" t="s">
        <v>5190</v>
      </c>
      <c r="CE1" s="4" t="s">
        <v>5191</v>
      </c>
      <c r="CF1" s="4" t="s">
        <v>5192</v>
      </c>
      <c r="CG1" s="4" t="s">
        <v>5193</v>
      </c>
      <c r="CH1" s="4" t="s">
        <v>5194</v>
      </c>
      <c r="CI1" s="4" t="s">
        <v>5195</v>
      </c>
      <c r="CJ1" s="4" t="s">
        <v>5196</v>
      </c>
      <c r="CK1" s="4" t="s">
        <v>5197</v>
      </c>
      <c r="CL1" s="4" t="s">
        <v>5198</v>
      </c>
      <c r="CM1" s="4" t="s">
        <v>5199</v>
      </c>
      <c r="CN1" s="24" t="s">
        <v>6598</v>
      </c>
      <c r="CO1" s="4" t="s">
        <v>5200</v>
      </c>
      <c r="CP1" s="4" t="s">
        <v>5201</v>
      </c>
      <c r="CQ1" s="4" t="s">
        <v>124</v>
      </c>
      <c r="CR1" s="4" t="s">
        <v>5202</v>
      </c>
      <c r="CS1" s="4" t="s">
        <v>5203</v>
      </c>
      <c r="CT1" s="4" t="s">
        <v>5204</v>
      </c>
      <c r="CU1" s="4" t="s">
        <v>5205</v>
      </c>
      <c r="CV1" s="4" t="s">
        <v>5206</v>
      </c>
      <c r="CW1" s="4" t="s">
        <v>5207</v>
      </c>
      <c r="CX1" s="4" t="s">
        <v>5208</v>
      </c>
      <c r="CY1" s="4" t="s">
        <v>5209</v>
      </c>
      <c r="CZ1" s="4" t="s">
        <v>125</v>
      </c>
      <c r="DA1" s="4" t="s">
        <v>5210</v>
      </c>
      <c r="DB1" s="4" t="s">
        <v>5211</v>
      </c>
      <c r="DC1" s="4" t="s">
        <v>5212</v>
      </c>
      <c r="DD1" s="4" t="s">
        <v>126</v>
      </c>
      <c r="DE1" s="4" t="s">
        <v>5213</v>
      </c>
      <c r="DF1" s="4" t="s">
        <v>127</v>
      </c>
      <c r="DG1" s="4" t="s">
        <v>5214</v>
      </c>
      <c r="DH1" s="4" t="s">
        <v>5215</v>
      </c>
      <c r="DI1" s="4" t="s">
        <v>5216</v>
      </c>
      <c r="DJ1" s="4" t="s">
        <v>128</v>
      </c>
      <c r="DK1" s="4" t="s">
        <v>5217</v>
      </c>
      <c r="DL1" s="4" t="s">
        <v>5218</v>
      </c>
      <c r="DM1" s="4" t="s">
        <v>5219</v>
      </c>
      <c r="DN1" s="4" t="s">
        <v>5220</v>
      </c>
      <c r="DO1" s="4" t="s">
        <v>5221</v>
      </c>
      <c r="DP1" s="4" t="s">
        <v>5222</v>
      </c>
      <c r="DQ1" s="4" t="s">
        <v>5223</v>
      </c>
      <c r="DR1" s="4" t="s">
        <v>129</v>
      </c>
      <c r="DS1" s="4" t="s">
        <v>5224</v>
      </c>
      <c r="DT1" s="4" t="s">
        <v>5225</v>
      </c>
      <c r="DU1" s="4" t="s">
        <v>5226</v>
      </c>
      <c r="DV1" s="4" t="s">
        <v>130</v>
      </c>
      <c r="DW1" s="4" t="s">
        <v>5227</v>
      </c>
      <c r="DX1" s="4" t="s">
        <v>5228</v>
      </c>
      <c r="DY1" s="4" t="s">
        <v>131</v>
      </c>
      <c r="DZ1" s="4" t="s">
        <v>5229</v>
      </c>
      <c r="EA1" s="4" t="s">
        <v>5230</v>
      </c>
      <c r="EB1" s="4" t="s">
        <v>5231</v>
      </c>
      <c r="EC1" s="4" t="s">
        <v>5232</v>
      </c>
      <c r="ED1" s="4" t="s">
        <v>5233</v>
      </c>
      <c r="EE1" s="4" t="s">
        <v>5234</v>
      </c>
      <c r="EF1" s="4" t="s">
        <v>5235</v>
      </c>
      <c r="EG1" s="4" t="s">
        <v>5236</v>
      </c>
      <c r="EH1" s="4" t="s">
        <v>5237</v>
      </c>
      <c r="EI1" s="4" t="s">
        <v>132</v>
      </c>
      <c r="EJ1" s="4" t="s">
        <v>5238</v>
      </c>
      <c r="EK1" s="4" t="s">
        <v>5239</v>
      </c>
      <c r="EL1" s="4" t="s">
        <v>5240</v>
      </c>
      <c r="EM1" s="4" t="s">
        <v>5241</v>
      </c>
      <c r="EN1" s="4" t="s">
        <v>5242</v>
      </c>
      <c r="EO1" s="4" t="s">
        <v>5243</v>
      </c>
      <c r="EP1" s="4" t="s">
        <v>5244</v>
      </c>
      <c r="EQ1" s="4" t="s">
        <v>5245</v>
      </c>
      <c r="ER1" s="4" t="s">
        <v>5246</v>
      </c>
      <c r="ES1" s="4" t="s">
        <v>5247</v>
      </c>
      <c r="ET1" s="4" t="s">
        <v>5248</v>
      </c>
      <c r="EU1" s="4" t="s">
        <v>5249</v>
      </c>
      <c r="EV1" s="4" t="s">
        <v>5250</v>
      </c>
      <c r="EW1" s="4" t="s">
        <v>5251</v>
      </c>
      <c r="EX1" s="4" t="s">
        <v>5252</v>
      </c>
      <c r="EY1" s="4" t="s">
        <v>5253</v>
      </c>
      <c r="EZ1" s="4" t="s">
        <v>5254</v>
      </c>
      <c r="FA1" s="4" t="s">
        <v>5255</v>
      </c>
      <c r="FB1" s="4" t="s">
        <v>5256</v>
      </c>
      <c r="FC1" s="4" t="s">
        <v>5257</v>
      </c>
      <c r="FD1" s="4" t="s">
        <v>5258</v>
      </c>
      <c r="FE1" s="4" t="s">
        <v>5259</v>
      </c>
      <c r="FF1" s="4" t="s">
        <v>5260</v>
      </c>
      <c r="FG1" s="4" t="s">
        <v>5261</v>
      </c>
      <c r="FH1" s="4" t="s">
        <v>5262</v>
      </c>
      <c r="FI1" s="4" t="s">
        <v>5263</v>
      </c>
      <c r="FJ1" s="4" t="s">
        <v>5264</v>
      </c>
      <c r="FK1" s="4" t="s">
        <v>5265</v>
      </c>
      <c r="FL1" s="4" t="s">
        <v>5266</v>
      </c>
      <c r="FM1" s="4" t="s">
        <v>5267</v>
      </c>
      <c r="FN1" s="4" t="s">
        <v>5268</v>
      </c>
      <c r="FO1" s="4" t="s">
        <v>7414</v>
      </c>
      <c r="FP1" s="4" t="s">
        <v>5269</v>
      </c>
      <c r="FQ1" s="4" t="s">
        <v>5270</v>
      </c>
      <c r="FR1" s="4" t="s">
        <v>5271</v>
      </c>
      <c r="FS1" s="4" t="s">
        <v>5272</v>
      </c>
      <c r="FT1" s="57" t="s">
        <v>7408</v>
      </c>
      <c r="FU1" s="57" t="s">
        <v>7409</v>
      </c>
    </row>
    <row r="2" spans="1:249" s="5" customFormat="1" ht="58.5" customHeight="1" x14ac:dyDescent="0.15">
      <c r="C2" s="5" t="s">
        <v>152</v>
      </c>
      <c r="D2" s="5" t="s">
        <v>1134</v>
      </c>
      <c r="I2" s="5" t="s">
        <v>153</v>
      </c>
      <c r="M2" s="5" t="s">
        <v>154</v>
      </c>
      <c r="N2" s="5" t="s">
        <v>155</v>
      </c>
      <c r="O2" s="5" t="s">
        <v>14</v>
      </c>
      <c r="T2" s="36"/>
      <c r="U2" s="5" t="s">
        <v>156</v>
      </c>
      <c r="V2" s="5" t="s">
        <v>1141</v>
      </c>
      <c r="W2" s="5" t="s">
        <v>160</v>
      </c>
      <c r="X2" s="5" t="s">
        <v>161</v>
      </c>
      <c r="Y2" s="5" t="s">
        <v>1142</v>
      </c>
      <c r="Z2" s="5" t="s">
        <v>1143</v>
      </c>
      <c r="AA2" s="5" t="s">
        <v>1144</v>
      </c>
      <c r="AB2" s="5" t="s">
        <v>1145</v>
      </c>
      <c r="AC2" s="5" t="s">
        <v>1146</v>
      </c>
      <c r="AD2" s="5" t="s">
        <v>5273</v>
      </c>
      <c r="AE2" s="5" t="s">
        <v>5274</v>
      </c>
      <c r="AF2" s="5" t="s">
        <v>5275</v>
      </c>
      <c r="AG2" s="5" t="s">
        <v>5276</v>
      </c>
      <c r="AH2" s="5" t="s">
        <v>5277</v>
      </c>
      <c r="AI2" s="25" t="s">
        <v>6594</v>
      </c>
      <c r="AJ2" s="25" t="s">
        <v>6595</v>
      </c>
      <c r="AK2" s="25" t="s">
        <v>6596</v>
      </c>
      <c r="AL2" s="25" t="s">
        <v>6597</v>
      </c>
      <c r="AM2" s="5" t="s">
        <v>5278</v>
      </c>
      <c r="AN2" s="5" t="s">
        <v>5279</v>
      </c>
      <c r="AO2" s="5" t="s">
        <v>5280</v>
      </c>
      <c r="AP2" s="5" t="s">
        <v>5281</v>
      </c>
      <c r="AQ2" s="5" t="s">
        <v>5282</v>
      </c>
      <c r="AR2" s="5" t="s">
        <v>5283</v>
      </c>
      <c r="AS2" s="5" t="s">
        <v>5284</v>
      </c>
      <c r="AT2" s="5" t="s">
        <v>5285</v>
      </c>
      <c r="AU2" s="5" t="s">
        <v>196</v>
      </c>
      <c r="AV2" s="5" t="s">
        <v>197</v>
      </c>
      <c r="AW2" s="5" t="s">
        <v>198</v>
      </c>
      <c r="AX2" s="5" t="s">
        <v>5286</v>
      </c>
      <c r="AY2" s="5" t="s">
        <v>199</v>
      </c>
      <c r="AZ2" s="5" t="s">
        <v>5287</v>
      </c>
      <c r="BA2" s="5" t="s">
        <v>200</v>
      </c>
      <c r="BB2" s="5" t="s">
        <v>5288</v>
      </c>
      <c r="BC2" s="5" t="s">
        <v>5289</v>
      </c>
      <c r="BD2" s="5" t="s">
        <v>201</v>
      </c>
      <c r="BE2" s="5" t="s">
        <v>5290</v>
      </c>
      <c r="BF2" s="5" t="s">
        <v>5291</v>
      </c>
      <c r="BG2" s="5" t="s">
        <v>202</v>
      </c>
      <c r="BH2" s="5" t="s">
        <v>5292</v>
      </c>
      <c r="BI2" s="5" t="s">
        <v>203</v>
      </c>
      <c r="BJ2" s="5" t="s">
        <v>204</v>
      </c>
      <c r="BK2" s="5" t="s">
        <v>205</v>
      </c>
      <c r="BL2" s="5" t="s">
        <v>5293</v>
      </c>
      <c r="BM2" s="5" t="s">
        <v>206</v>
      </c>
      <c r="BN2" s="5" t="s">
        <v>5294</v>
      </c>
      <c r="BO2" s="5" t="s">
        <v>5295</v>
      </c>
      <c r="BP2" s="5" t="s">
        <v>5296</v>
      </c>
      <c r="BQ2" s="5" t="s">
        <v>5297</v>
      </c>
      <c r="BR2" s="5" t="s">
        <v>5298</v>
      </c>
      <c r="BS2" s="5" t="s">
        <v>5299</v>
      </c>
      <c r="BT2" s="5" t="s">
        <v>5300</v>
      </c>
      <c r="BU2" s="5" t="s">
        <v>5301</v>
      </c>
      <c r="BV2" s="5" t="s">
        <v>5302</v>
      </c>
      <c r="BW2" s="5" t="s">
        <v>5303</v>
      </c>
      <c r="BX2" s="5" t="s">
        <v>5304</v>
      </c>
      <c r="BY2" s="5" t="s">
        <v>5305</v>
      </c>
      <c r="BZ2" s="5" t="s">
        <v>5306</v>
      </c>
      <c r="CA2" s="5" t="s">
        <v>207</v>
      </c>
      <c r="CB2" s="5" t="s">
        <v>5307</v>
      </c>
      <c r="CC2" s="5" t="s">
        <v>5308</v>
      </c>
      <c r="CD2" s="5" t="s">
        <v>5309</v>
      </c>
      <c r="CE2" s="5" t="s">
        <v>5310</v>
      </c>
      <c r="CF2" s="5" t="s">
        <v>5311</v>
      </c>
      <c r="CG2" s="5" t="s">
        <v>5312</v>
      </c>
      <c r="CH2" s="5" t="s">
        <v>5313</v>
      </c>
      <c r="CI2" s="5" t="s">
        <v>5314</v>
      </c>
      <c r="CJ2" s="5" t="s">
        <v>5315</v>
      </c>
      <c r="CK2" s="5" t="s">
        <v>5316</v>
      </c>
      <c r="CL2" s="5" t="s">
        <v>5317</v>
      </c>
      <c r="CM2" s="5" t="s">
        <v>5318</v>
      </c>
      <c r="CN2" s="25" t="s">
        <v>6599</v>
      </c>
      <c r="CO2" s="5" t="s">
        <v>5319</v>
      </c>
      <c r="CP2" s="5" t="s">
        <v>5320</v>
      </c>
      <c r="CQ2" s="5" t="s">
        <v>208</v>
      </c>
      <c r="CR2" s="5" t="s">
        <v>5321</v>
      </c>
      <c r="CS2" s="5" t="s">
        <v>5322</v>
      </c>
      <c r="CT2" s="5" t="s">
        <v>5323</v>
      </c>
      <c r="CU2" s="5" t="s">
        <v>5324</v>
      </c>
      <c r="CV2" s="5" t="s">
        <v>5325</v>
      </c>
      <c r="CW2" s="5" t="s">
        <v>5326</v>
      </c>
      <c r="CX2" s="5" t="s">
        <v>5327</v>
      </c>
      <c r="CY2" s="5" t="s">
        <v>5328</v>
      </c>
      <c r="CZ2" s="5" t="s">
        <v>209</v>
      </c>
      <c r="DA2" s="5" t="s">
        <v>5329</v>
      </c>
      <c r="DB2" s="5" t="s">
        <v>5330</v>
      </c>
      <c r="DC2" s="5" t="s">
        <v>5331</v>
      </c>
      <c r="DD2" s="5" t="s">
        <v>210</v>
      </c>
      <c r="DE2" s="5" t="s">
        <v>5332</v>
      </c>
      <c r="DF2" s="5" t="s">
        <v>211</v>
      </c>
      <c r="DG2" s="5" t="s">
        <v>5333</v>
      </c>
      <c r="DH2" s="5" t="s">
        <v>5334</v>
      </c>
      <c r="DI2" s="5" t="s">
        <v>5335</v>
      </c>
      <c r="DJ2" s="5" t="s">
        <v>212</v>
      </c>
      <c r="DK2" s="5" t="s">
        <v>5336</v>
      </c>
      <c r="DL2" s="5" t="s">
        <v>5337</v>
      </c>
      <c r="DM2" s="5" t="s">
        <v>5338</v>
      </c>
      <c r="DN2" s="5" t="s">
        <v>5339</v>
      </c>
      <c r="DO2" s="5" t="s">
        <v>5340</v>
      </c>
      <c r="DP2" s="5" t="s">
        <v>5341</v>
      </c>
      <c r="DQ2" s="5" t="s">
        <v>5342</v>
      </c>
      <c r="DR2" s="5" t="s">
        <v>213</v>
      </c>
      <c r="DS2" s="5" t="s">
        <v>5343</v>
      </c>
      <c r="DT2" s="5" t="s">
        <v>5344</v>
      </c>
      <c r="DU2" s="5" t="s">
        <v>5345</v>
      </c>
      <c r="DV2" s="5" t="s">
        <v>214</v>
      </c>
      <c r="DW2" s="5" t="s">
        <v>5346</v>
      </c>
      <c r="DX2" s="5" t="s">
        <v>5347</v>
      </c>
      <c r="DY2" s="5" t="s">
        <v>215</v>
      </c>
      <c r="DZ2" s="5" t="s">
        <v>5348</v>
      </c>
      <c r="EA2" s="5" t="s">
        <v>5349</v>
      </c>
      <c r="EB2" s="5" t="s">
        <v>5350</v>
      </c>
      <c r="EC2" s="5" t="s">
        <v>5351</v>
      </c>
      <c r="ED2" s="5" t="s">
        <v>5352</v>
      </c>
      <c r="EE2" s="5" t="s">
        <v>5353</v>
      </c>
      <c r="EF2" s="5" t="s">
        <v>5354</v>
      </c>
      <c r="EG2" s="5" t="s">
        <v>5355</v>
      </c>
      <c r="EH2" s="5" t="s">
        <v>5356</v>
      </c>
      <c r="EI2" s="5" t="s">
        <v>216</v>
      </c>
      <c r="EJ2" s="5" t="s">
        <v>5357</v>
      </c>
      <c r="EK2" s="5" t="s">
        <v>5358</v>
      </c>
      <c r="EL2" s="5" t="s">
        <v>5359</v>
      </c>
      <c r="EM2" s="5" t="s">
        <v>5360</v>
      </c>
      <c r="EN2" s="5" t="s">
        <v>5361</v>
      </c>
      <c r="EO2" s="5" t="s">
        <v>5362</v>
      </c>
      <c r="EP2" s="5" t="s">
        <v>5363</v>
      </c>
      <c r="EQ2" s="5" t="s">
        <v>5364</v>
      </c>
      <c r="ER2" s="5" t="s">
        <v>5365</v>
      </c>
      <c r="ES2" s="5" t="s">
        <v>5366</v>
      </c>
      <c r="ET2" s="5" t="s">
        <v>5367</v>
      </c>
      <c r="EU2" s="5" t="s">
        <v>5368</v>
      </c>
      <c r="EV2" s="5" t="s">
        <v>5369</v>
      </c>
      <c r="EW2" s="5" t="s">
        <v>5370</v>
      </c>
      <c r="EX2" s="5" t="s">
        <v>5371</v>
      </c>
      <c r="EY2" s="5" t="s">
        <v>5372</v>
      </c>
      <c r="EZ2" s="5" t="s">
        <v>5373</v>
      </c>
      <c r="FA2" s="5" t="s">
        <v>5374</v>
      </c>
      <c r="FB2" s="5" t="s">
        <v>5375</v>
      </c>
      <c r="FC2" s="5" t="s">
        <v>5376</v>
      </c>
      <c r="FD2" s="5" t="s">
        <v>5377</v>
      </c>
      <c r="FE2" s="5" t="s">
        <v>5378</v>
      </c>
      <c r="FF2" s="5" t="s">
        <v>5379</v>
      </c>
      <c r="FG2" s="5" t="s">
        <v>5380</v>
      </c>
      <c r="FH2" s="5" t="s">
        <v>5381</v>
      </c>
      <c r="FI2" s="5" t="s">
        <v>5382</v>
      </c>
      <c r="FJ2" s="5" t="s">
        <v>5383</v>
      </c>
      <c r="FK2" s="5" t="s">
        <v>5384</v>
      </c>
      <c r="FL2" s="5" t="s">
        <v>5385</v>
      </c>
      <c r="FM2" s="5" t="s">
        <v>5386</v>
      </c>
      <c r="FN2" s="5" t="s">
        <v>5387</v>
      </c>
      <c r="FO2" s="5" t="s">
        <v>5388</v>
      </c>
      <c r="FP2" s="5" t="s">
        <v>5389</v>
      </c>
      <c r="FQ2" s="5" t="s">
        <v>5390</v>
      </c>
      <c r="FR2" s="5" t="s">
        <v>5391</v>
      </c>
      <c r="FS2" s="5" t="s">
        <v>5392</v>
      </c>
    </row>
    <row r="3" spans="1:249" s="29" customFormat="1" ht="58.5" hidden="1" customHeight="1" x14ac:dyDescent="0.15">
      <c r="T3" s="37"/>
      <c r="U3" s="29" t="str">
        <f t="shared" ref="U3:CF3" si="0">IF(COUNTA(U4:U65536)=0,"","09")</f>
        <v>09</v>
      </c>
      <c r="V3" s="29" t="str">
        <f t="shared" si="0"/>
        <v>09</v>
      </c>
      <c r="W3" s="29" t="str">
        <f t="shared" si="0"/>
        <v>09</v>
      </c>
      <c r="X3" s="29" t="str">
        <f t="shared" si="0"/>
        <v>09</v>
      </c>
      <c r="Y3" s="29" t="str">
        <f t="shared" si="0"/>
        <v>09</v>
      </c>
      <c r="Z3" s="29" t="str">
        <f t="shared" si="0"/>
        <v>09</v>
      </c>
      <c r="AA3" s="29" t="str">
        <f t="shared" si="0"/>
        <v>09</v>
      </c>
      <c r="AB3" s="29" t="str">
        <f t="shared" si="0"/>
        <v>09</v>
      </c>
      <c r="AC3" s="29" t="str">
        <f t="shared" si="0"/>
        <v>09</v>
      </c>
      <c r="AD3" s="29" t="str">
        <f t="shared" si="0"/>
        <v>09</v>
      </c>
      <c r="AE3" s="29" t="str">
        <f t="shared" si="0"/>
        <v>09</v>
      </c>
      <c r="AF3" s="29" t="str">
        <f t="shared" si="0"/>
        <v>09</v>
      </c>
      <c r="AG3" s="29" t="str">
        <f t="shared" si="0"/>
        <v>09</v>
      </c>
      <c r="AH3" s="29" t="str">
        <f t="shared" si="0"/>
        <v>09</v>
      </c>
      <c r="AI3" s="29" t="str">
        <f t="shared" si="0"/>
        <v>09</v>
      </c>
      <c r="AJ3" s="29" t="str">
        <f t="shared" si="0"/>
        <v>09</v>
      </c>
      <c r="AK3" s="29" t="str">
        <f t="shared" si="0"/>
        <v>09</v>
      </c>
      <c r="AL3" s="29" t="str">
        <f t="shared" si="0"/>
        <v>09</v>
      </c>
      <c r="AM3" s="29" t="str">
        <f t="shared" si="0"/>
        <v>09</v>
      </c>
      <c r="AN3" s="29" t="str">
        <f t="shared" si="0"/>
        <v>09</v>
      </c>
      <c r="AO3" s="29" t="str">
        <f t="shared" si="0"/>
        <v>09</v>
      </c>
      <c r="AP3" s="29" t="str">
        <f t="shared" si="0"/>
        <v>09</v>
      </c>
      <c r="AQ3" s="29" t="str">
        <f t="shared" si="0"/>
        <v>09</v>
      </c>
      <c r="AR3" s="29" t="str">
        <f t="shared" si="0"/>
        <v>09</v>
      </c>
      <c r="AS3" s="29" t="str">
        <f t="shared" si="0"/>
        <v>09</v>
      </c>
      <c r="AT3" s="29" t="str">
        <f t="shared" si="0"/>
        <v>09</v>
      </c>
      <c r="AU3" s="29" t="str">
        <f t="shared" si="0"/>
        <v>09</v>
      </c>
      <c r="AV3" s="29" t="str">
        <f t="shared" si="0"/>
        <v>09</v>
      </c>
      <c r="AW3" s="29" t="str">
        <f t="shared" si="0"/>
        <v>09</v>
      </c>
      <c r="AX3" s="29" t="str">
        <f t="shared" si="0"/>
        <v>09</v>
      </c>
      <c r="AY3" s="29" t="str">
        <f t="shared" si="0"/>
        <v>09</v>
      </c>
      <c r="AZ3" s="29" t="str">
        <f t="shared" si="0"/>
        <v>09</v>
      </c>
      <c r="BA3" s="29" t="str">
        <f t="shared" si="0"/>
        <v>09</v>
      </c>
      <c r="BB3" s="29" t="str">
        <f t="shared" si="0"/>
        <v>09</v>
      </c>
      <c r="BC3" s="29" t="str">
        <f t="shared" si="0"/>
        <v>09</v>
      </c>
      <c r="BD3" s="29" t="str">
        <f t="shared" si="0"/>
        <v>09</v>
      </c>
      <c r="BE3" s="29" t="str">
        <f t="shared" si="0"/>
        <v>09</v>
      </c>
      <c r="BF3" s="29" t="str">
        <f t="shared" si="0"/>
        <v>09</v>
      </c>
      <c r="BG3" s="29" t="str">
        <f t="shared" si="0"/>
        <v>09</v>
      </c>
      <c r="BH3" s="29" t="str">
        <f t="shared" si="0"/>
        <v>09</v>
      </c>
      <c r="BI3" s="29" t="str">
        <f t="shared" si="0"/>
        <v>09</v>
      </c>
      <c r="BJ3" s="29" t="str">
        <f t="shared" si="0"/>
        <v>09</v>
      </c>
      <c r="BK3" s="29" t="str">
        <f t="shared" si="0"/>
        <v>09</v>
      </c>
      <c r="BL3" s="29" t="str">
        <f t="shared" si="0"/>
        <v>09</v>
      </c>
      <c r="BM3" s="29" t="str">
        <f t="shared" si="0"/>
        <v>09</v>
      </c>
      <c r="BN3" s="29" t="str">
        <f t="shared" si="0"/>
        <v>09</v>
      </c>
      <c r="BO3" s="29" t="str">
        <f t="shared" si="0"/>
        <v>09</v>
      </c>
      <c r="BP3" s="29" t="str">
        <f t="shared" si="0"/>
        <v>09</v>
      </c>
      <c r="BQ3" s="29" t="str">
        <f t="shared" si="0"/>
        <v>09</v>
      </c>
      <c r="BR3" s="29" t="str">
        <f t="shared" si="0"/>
        <v>09</v>
      </c>
      <c r="BS3" s="29" t="str">
        <f t="shared" si="0"/>
        <v>09</v>
      </c>
      <c r="BT3" s="29" t="str">
        <f t="shared" si="0"/>
        <v>09</v>
      </c>
      <c r="BU3" s="29" t="str">
        <f t="shared" si="0"/>
        <v>09</v>
      </c>
      <c r="BV3" s="29" t="str">
        <f t="shared" si="0"/>
        <v>09</v>
      </c>
      <c r="BW3" s="29" t="str">
        <f t="shared" si="0"/>
        <v>09</v>
      </c>
      <c r="BX3" s="29" t="str">
        <f t="shared" si="0"/>
        <v>09</v>
      </c>
      <c r="BY3" s="29" t="str">
        <f t="shared" si="0"/>
        <v>09</v>
      </c>
      <c r="BZ3" s="29" t="str">
        <f t="shared" si="0"/>
        <v>09</v>
      </c>
      <c r="CA3" s="29" t="str">
        <f t="shared" si="0"/>
        <v>09</v>
      </c>
      <c r="CB3" s="29" t="str">
        <f t="shared" si="0"/>
        <v>09</v>
      </c>
      <c r="CC3" s="29" t="str">
        <f t="shared" si="0"/>
        <v>09</v>
      </c>
      <c r="CD3" s="29" t="str">
        <f t="shared" si="0"/>
        <v>09</v>
      </c>
      <c r="CE3" s="29" t="str">
        <f t="shared" si="0"/>
        <v>09</v>
      </c>
      <c r="CF3" s="29" t="str">
        <f t="shared" si="0"/>
        <v>09</v>
      </c>
      <c r="CG3" s="29" t="str">
        <f t="shared" ref="CG3:ER3" si="1">IF(COUNTA(CG4:CG65536)=0,"","09")</f>
        <v>09</v>
      </c>
      <c r="CH3" s="29" t="str">
        <f t="shared" si="1"/>
        <v>09</v>
      </c>
      <c r="CI3" s="29" t="str">
        <f t="shared" si="1"/>
        <v>09</v>
      </c>
      <c r="CJ3" s="29" t="str">
        <f t="shared" si="1"/>
        <v>09</v>
      </c>
      <c r="CK3" s="29" t="str">
        <f t="shared" si="1"/>
        <v>09</v>
      </c>
      <c r="CL3" s="29" t="str">
        <f t="shared" si="1"/>
        <v>09</v>
      </c>
      <c r="CM3" s="29" t="str">
        <f t="shared" si="1"/>
        <v>09</v>
      </c>
      <c r="CN3" s="29" t="str">
        <f t="shared" si="1"/>
        <v>09</v>
      </c>
      <c r="CO3" s="29" t="str">
        <f t="shared" si="1"/>
        <v>09</v>
      </c>
      <c r="CP3" s="29" t="str">
        <f t="shared" si="1"/>
        <v>09</v>
      </c>
      <c r="CQ3" s="29" t="str">
        <f t="shared" si="1"/>
        <v>09</v>
      </c>
      <c r="CR3" s="29" t="str">
        <f t="shared" si="1"/>
        <v>09</v>
      </c>
      <c r="CS3" s="29" t="str">
        <f t="shared" si="1"/>
        <v>09</v>
      </c>
      <c r="CT3" s="29" t="str">
        <f t="shared" si="1"/>
        <v>09</v>
      </c>
      <c r="CU3" s="29" t="str">
        <f t="shared" si="1"/>
        <v>09</v>
      </c>
      <c r="CV3" s="29" t="str">
        <f t="shared" si="1"/>
        <v>09</v>
      </c>
      <c r="CW3" s="29" t="str">
        <f t="shared" si="1"/>
        <v>09</v>
      </c>
      <c r="CX3" s="29" t="str">
        <f t="shared" si="1"/>
        <v>09</v>
      </c>
      <c r="CY3" s="29" t="str">
        <f t="shared" si="1"/>
        <v>09</v>
      </c>
      <c r="CZ3" s="29" t="str">
        <f t="shared" si="1"/>
        <v>09</v>
      </c>
      <c r="DA3" s="29" t="str">
        <f t="shared" si="1"/>
        <v>09</v>
      </c>
      <c r="DB3" s="29" t="str">
        <f t="shared" si="1"/>
        <v>09</v>
      </c>
      <c r="DC3" s="29" t="str">
        <f t="shared" si="1"/>
        <v>09</v>
      </c>
      <c r="DD3" s="29" t="str">
        <f t="shared" si="1"/>
        <v>09</v>
      </c>
      <c r="DE3" s="29" t="str">
        <f t="shared" si="1"/>
        <v>09</v>
      </c>
      <c r="DF3" s="29" t="str">
        <f t="shared" si="1"/>
        <v>09</v>
      </c>
      <c r="DG3" s="29" t="str">
        <f t="shared" si="1"/>
        <v>09</v>
      </c>
      <c r="DH3" s="29" t="str">
        <f t="shared" si="1"/>
        <v>09</v>
      </c>
      <c r="DI3" s="29" t="str">
        <f t="shared" si="1"/>
        <v>09</v>
      </c>
      <c r="DJ3" s="29" t="str">
        <f t="shared" si="1"/>
        <v>09</v>
      </c>
      <c r="DK3" s="29" t="str">
        <f t="shared" si="1"/>
        <v>09</v>
      </c>
      <c r="DL3" s="29" t="str">
        <f t="shared" si="1"/>
        <v>09</v>
      </c>
      <c r="DM3" s="29" t="str">
        <f t="shared" si="1"/>
        <v>09</v>
      </c>
      <c r="DN3" s="29" t="str">
        <f t="shared" si="1"/>
        <v>09</v>
      </c>
      <c r="DO3" s="29" t="str">
        <f t="shared" si="1"/>
        <v>09</v>
      </c>
      <c r="DP3" s="29" t="str">
        <f t="shared" si="1"/>
        <v>09</v>
      </c>
      <c r="DQ3" s="29" t="str">
        <f t="shared" si="1"/>
        <v>09</v>
      </c>
      <c r="DR3" s="29" t="str">
        <f t="shared" si="1"/>
        <v>09</v>
      </c>
      <c r="DS3" s="29" t="str">
        <f t="shared" si="1"/>
        <v>09</v>
      </c>
      <c r="DT3" s="29" t="str">
        <f t="shared" si="1"/>
        <v>09</v>
      </c>
      <c r="DU3" s="29" t="str">
        <f t="shared" si="1"/>
        <v>09</v>
      </c>
      <c r="DV3" s="29" t="str">
        <f t="shared" si="1"/>
        <v>09</v>
      </c>
      <c r="DW3" s="29" t="str">
        <f t="shared" si="1"/>
        <v>09</v>
      </c>
      <c r="DX3" s="29" t="str">
        <f t="shared" si="1"/>
        <v>09</v>
      </c>
      <c r="DY3" s="29" t="str">
        <f t="shared" si="1"/>
        <v>09</v>
      </c>
      <c r="DZ3" s="29" t="str">
        <f t="shared" si="1"/>
        <v>09</v>
      </c>
      <c r="EA3" s="29" t="str">
        <f t="shared" si="1"/>
        <v>09</v>
      </c>
      <c r="EB3" s="29" t="str">
        <f t="shared" si="1"/>
        <v>09</v>
      </c>
      <c r="EC3" s="29" t="str">
        <f t="shared" si="1"/>
        <v>09</v>
      </c>
      <c r="ED3" s="29" t="str">
        <f t="shared" si="1"/>
        <v>09</v>
      </c>
      <c r="EE3" s="29" t="str">
        <f t="shared" si="1"/>
        <v>09</v>
      </c>
      <c r="EF3" s="29" t="str">
        <f t="shared" si="1"/>
        <v>09</v>
      </c>
      <c r="EG3" s="29" t="str">
        <f t="shared" si="1"/>
        <v>09</v>
      </c>
      <c r="EH3" s="29" t="str">
        <f t="shared" si="1"/>
        <v>09</v>
      </c>
      <c r="EI3" s="29" t="str">
        <f t="shared" si="1"/>
        <v>09</v>
      </c>
      <c r="EJ3" s="29" t="str">
        <f t="shared" si="1"/>
        <v>09</v>
      </c>
      <c r="EK3" s="29" t="str">
        <f t="shared" si="1"/>
        <v>09</v>
      </c>
      <c r="EL3" s="29" t="str">
        <f t="shared" si="1"/>
        <v>09</v>
      </c>
      <c r="EM3" s="29" t="str">
        <f t="shared" si="1"/>
        <v>09</v>
      </c>
      <c r="EN3" s="29" t="str">
        <f t="shared" si="1"/>
        <v>09</v>
      </c>
      <c r="EO3" s="29" t="str">
        <f t="shared" si="1"/>
        <v>09</v>
      </c>
      <c r="EP3" s="29" t="str">
        <f t="shared" si="1"/>
        <v>09</v>
      </c>
      <c r="EQ3" s="29" t="str">
        <f t="shared" si="1"/>
        <v>09</v>
      </c>
      <c r="ER3" s="29" t="str">
        <f t="shared" si="1"/>
        <v>09</v>
      </c>
      <c r="ES3" s="29" t="str">
        <f t="shared" ref="ES3:HD3" si="2">IF(COUNTA(ES4:ES65536)=0,"","09")</f>
        <v>09</v>
      </c>
      <c r="ET3" s="29" t="str">
        <f t="shared" si="2"/>
        <v>09</v>
      </c>
      <c r="EU3" s="29" t="str">
        <f t="shared" si="2"/>
        <v>09</v>
      </c>
      <c r="EV3" s="29" t="str">
        <f t="shared" si="2"/>
        <v>09</v>
      </c>
      <c r="EW3" s="29" t="str">
        <f t="shared" si="2"/>
        <v>09</v>
      </c>
      <c r="EX3" s="29" t="str">
        <f t="shared" si="2"/>
        <v>09</v>
      </c>
      <c r="EY3" s="29" t="str">
        <f t="shared" si="2"/>
        <v>09</v>
      </c>
      <c r="EZ3" s="29" t="str">
        <f t="shared" si="2"/>
        <v>09</v>
      </c>
      <c r="FA3" s="29" t="str">
        <f t="shared" si="2"/>
        <v>09</v>
      </c>
      <c r="FB3" s="29" t="str">
        <f t="shared" si="2"/>
        <v>09</v>
      </c>
      <c r="FC3" s="29" t="str">
        <f t="shared" si="2"/>
        <v>09</v>
      </c>
      <c r="FD3" s="29" t="str">
        <f t="shared" si="2"/>
        <v>09</v>
      </c>
      <c r="FE3" s="29" t="str">
        <f t="shared" si="2"/>
        <v>09</v>
      </c>
      <c r="FF3" s="29" t="str">
        <f t="shared" si="2"/>
        <v>09</v>
      </c>
      <c r="FG3" s="29" t="str">
        <f t="shared" si="2"/>
        <v>09</v>
      </c>
      <c r="FH3" s="29" t="str">
        <f t="shared" si="2"/>
        <v>09</v>
      </c>
      <c r="FI3" s="29" t="str">
        <f t="shared" si="2"/>
        <v>09</v>
      </c>
      <c r="FJ3" s="29" t="str">
        <f t="shared" si="2"/>
        <v>09</v>
      </c>
      <c r="FK3" s="29" t="str">
        <f t="shared" si="2"/>
        <v>09</v>
      </c>
      <c r="FL3" s="29" t="str">
        <f t="shared" si="2"/>
        <v>09</v>
      </c>
      <c r="FM3" s="29" t="str">
        <f t="shared" si="2"/>
        <v>09</v>
      </c>
      <c r="FN3" s="29" t="str">
        <f t="shared" si="2"/>
        <v>09</v>
      </c>
      <c r="FO3" s="29" t="str">
        <f t="shared" si="2"/>
        <v>09</v>
      </c>
      <c r="FP3" s="29" t="str">
        <f t="shared" si="2"/>
        <v>09</v>
      </c>
      <c r="FQ3" s="29" t="str">
        <f t="shared" si="2"/>
        <v>09</v>
      </c>
      <c r="FR3" s="29" t="str">
        <f t="shared" si="2"/>
        <v>09</v>
      </c>
      <c r="FS3" s="29" t="str">
        <f t="shared" si="2"/>
        <v>09</v>
      </c>
      <c r="FT3" s="29" t="str">
        <f t="shared" si="2"/>
        <v>09</v>
      </c>
      <c r="FU3" s="29" t="str">
        <f t="shared" si="2"/>
        <v>09</v>
      </c>
      <c r="FV3" s="29" t="str">
        <f t="shared" si="2"/>
        <v/>
      </c>
      <c r="FW3" s="29" t="str">
        <f t="shared" si="2"/>
        <v/>
      </c>
      <c r="FX3" s="29" t="str">
        <f t="shared" si="2"/>
        <v/>
      </c>
      <c r="FY3" s="29" t="str">
        <f t="shared" si="2"/>
        <v/>
      </c>
      <c r="FZ3" s="29" t="str">
        <f t="shared" si="2"/>
        <v/>
      </c>
      <c r="GA3" s="29" t="str">
        <f t="shared" si="2"/>
        <v/>
      </c>
      <c r="GB3" s="29" t="str">
        <f t="shared" si="2"/>
        <v/>
      </c>
      <c r="GC3" s="29" t="str">
        <f t="shared" si="2"/>
        <v/>
      </c>
      <c r="GD3" s="29" t="str">
        <f t="shared" si="2"/>
        <v/>
      </c>
      <c r="GE3" s="29" t="str">
        <f t="shared" si="2"/>
        <v/>
      </c>
      <c r="GF3" s="29" t="str">
        <f t="shared" si="2"/>
        <v/>
      </c>
      <c r="GG3" s="29" t="str">
        <f t="shared" si="2"/>
        <v/>
      </c>
      <c r="GH3" s="29" t="str">
        <f t="shared" si="2"/>
        <v/>
      </c>
      <c r="GI3" s="29" t="str">
        <f t="shared" si="2"/>
        <v/>
      </c>
      <c r="GJ3" s="29" t="str">
        <f t="shared" si="2"/>
        <v/>
      </c>
      <c r="GK3" s="29" t="str">
        <f t="shared" si="2"/>
        <v/>
      </c>
      <c r="GL3" s="29" t="str">
        <f t="shared" si="2"/>
        <v/>
      </c>
      <c r="GM3" s="29" t="str">
        <f t="shared" si="2"/>
        <v/>
      </c>
      <c r="GN3" s="29" t="str">
        <f t="shared" si="2"/>
        <v/>
      </c>
      <c r="GO3" s="29" t="str">
        <f t="shared" si="2"/>
        <v/>
      </c>
      <c r="GP3" s="29" t="str">
        <f t="shared" si="2"/>
        <v/>
      </c>
      <c r="GQ3" s="29" t="str">
        <f t="shared" si="2"/>
        <v/>
      </c>
      <c r="GR3" s="29" t="str">
        <f t="shared" si="2"/>
        <v/>
      </c>
      <c r="GS3" s="29" t="str">
        <f t="shared" si="2"/>
        <v/>
      </c>
      <c r="GT3" s="29" t="str">
        <f t="shared" si="2"/>
        <v/>
      </c>
      <c r="GU3" s="29" t="str">
        <f t="shared" si="2"/>
        <v/>
      </c>
      <c r="GV3" s="29" t="str">
        <f t="shared" si="2"/>
        <v/>
      </c>
      <c r="GW3" s="29" t="str">
        <f t="shared" si="2"/>
        <v/>
      </c>
      <c r="GX3" s="29" t="str">
        <f t="shared" si="2"/>
        <v/>
      </c>
      <c r="GY3" s="29" t="str">
        <f t="shared" si="2"/>
        <v/>
      </c>
      <c r="GZ3" s="29" t="str">
        <f t="shared" si="2"/>
        <v/>
      </c>
      <c r="HA3" s="29" t="str">
        <f t="shared" si="2"/>
        <v/>
      </c>
      <c r="HB3" s="29" t="str">
        <f t="shared" si="2"/>
        <v/>
      </c>
      <c r="HC3" s="29" t="str">
        <f t="shared" si="2"/>
        <v/>
      </c>
      <c r="HD3" s="29" t="str">
        <f t="shared" si="2"/>
        <v/>
      </c>
      <c r="HE3" s="29" t="str">
        <f t="shared" ref="HE3:IO3" si="3">IF(COUNTA(HE4:HE65536)=0,"","09")</f>
        <v/>
      </c>
      <c r="HF3" s="29" t="str">
        <f t="shared" si="3"/>
        <v/>
      </c>
      <c r="HG3" s="29" t="str">
        <f t="shared" si="3"/>
        <v/>
      </c>
      <c r="HH3" s="29" t="str">
        <f t="shared" si="3"/>
        <v/>
      </c>
      <c r="HI3" s="29" t="str">
        <f t="shared" si="3"/>
        <v/>
      </c>
      <c r="HJ3" s="29" t="str">
        <f t="shared" si="3"/>
        <v/>
      </c>
      <c r="HK3" s="29" t="str">
        <f t="shared" si="3"/>
        <v/>
      </c>
      <c r="HL3" s="29" t="str">
        <f t="shared" si="3"/>
        <v/>
      </c>
      <c r="HM3" s="29" t="str">
        <f t="shared" si="3"/>
        <v/>
      </c>
      <c r="HN3" s="29" t="str">
        <f t="shared" si="3"/>
        <v/>
      </c>
      <c r="HO3" s="29" t="str">
        <f t="shared" si="3"/>
        <v/>
      </c>
      <c r="HP3" s="29" t="str">
        <f t="shared" si="3"/>
        <v/>
      </c>
      <c r="HQ3" s="29" t="str">
        <f t="shared" si="3"/>
        <v/>
      </c>
      <c r="HR3" s="29" t="str">
        <f t="shared" si="3"/>
        <v/>
      </c>
      <c r="HS3" s="29" t="str">
        <f t="shared" si="3"/>
        <v/>
      </c>
      <c r="HT3" s="29" t="str">
        <f t="shared" si="3"/>
        <v/>
      </c>
      <c r="HU3" s="29" t="str">
        <f t="shared" si="3"/>
        <v/>
      </c>
      <c r="HV3" s="29" t="str">
        <f t="shared" si="3"/>
        <v/>
      </c>
      <c r="HW3" s="29" t="str">
        <f t="shared" si="3"/>
        <v/>
      </c>
      <c r="HX3" s="29" t="str">
        <f t="shared" si="3"/>
        <v/>
      </c>
      <c r="HY3" s="29" t="str">
        <f t="shared" si="3"/>
        <v/>
      </c>
      <c r="HZ3" s="29" t="str">
        <f t="shared" si="3"/>
        <v/>
      </c>
      <c r="IA3" s="29" t="str">
        <f t="shared" si="3"/>
        <v/>
      </c>
      <c r="IB3" s="29" t="str">
        <f t="shared" si="3"/>
        <v/>
      </c>
      <c r="IC3" s="29" t="str">
        <f t="shared" si="3"/>
        <v/>
      </c>
      <c r="ID3" s="29" t="str">
        <f t="shared" si="3"/>
        <v/>
      </c>
      <c r="IE3" s="29" t="str">
        <f t="shared" si="3"/>
        <v/>
      </c>
      <c r="IF3" s="29" t="str">
        <f t="shared" si="3"/>
        <v/>
      </c>
      <c r="IG3" s="29" t="str">
        <f t="shared" si="3"/>
        <v/>
      </c>
      <c r="IH3" s="29" t="str">
        <f t="shared" si="3"/>
        <v/>
      </c>
      <c r="II3" s="29" t="str">
        <f t="shared" si="3"/>
        <v/>
      </c>
      <c r="IJ3" s="29" t="str">
        <f t="shared" si="3"/>
        <v/>
      </c>
      <c r="IK3" s="29" t="str">
        <f t="shared" si="3"/>
        <v/>
      </c>
      <c r="IL3" s="29" t="str">
        <f t="shared" si="3"/>
        <v/>
      </c>
      <c r="IM3" s="29" t="str">
        <f t="shared" si="3"/>
        <v/>
      </c>
      <c r="IN3" s="29" t="str">
        <f t="shared" si="3"/>
        <v/>
      </c>
      <c r="IO3" s="29" t="str">
        <f t="shared" si="3"/>
        <v/>
      </c>
    </row>
    <row r="4" spans="1:249" x14ac:dyDescent="0.2">
      <c r="A4" s="1" t="s">
        <v>1207</v>
      </c>
      <c r="B4" s="1" t="s">
        <v>55</v>
      </c>
      <c r="C4" s="1" t="s">
        <v>1208</v>
      </c>
      <c r="D4" s="1" t="s">
        <v>2</v>
      </c>
      <c r="E4" s="1">
        <v>13</v>
      </c>
      <c r="F4" s="1" t="s">
        <v>1209</v>
      </c>
      <c r="H4" s="1" t="s">
        <v>1210</v>
      </c>
      <c r="I4" s="1" t="s">
        <v>7</v>
      </c>
      <c r="J4" s="1" t="s">
        <v>1211</v>
      </c>
      <c r="K4" s="1" t="s">
        <v>1212</v>
      </c>
      <c r="L4" s="1" t="s">
        <v>1211</v>
      </c>
      <c r="O4" s="1">
        <v>5</v>
      </c>
      <c r="Q4" s="1">
        <v>2007</v>
      </c>
      <c r="R4" s="1" t="s">
        <v>1213</v>
      </c>
      <c r="S4" s="1" t="s">
        <v>27</v>
      </c>
      <c r="T4" s="38">
        <v>1</v>
      </c>
      <c r="U4" s="1">
        <v>75.680000000000007</v>
      </c>
      <c r="W4" s="1">
        <v>5.7</v>
      </c>
      <c r="Y4" s="1">
        <v>1.6116699999999999</v>
      </c>
      <c r="Z4" s="1">
        <v>1.52145</v>
      </c>
      <c r="AA4" s="1">
        <v>1.78807</v>
      </c>
      <c r="AE4" s="1">
        <v>4.9367000000000001</v>
      </c>
      <c r="AF4" s="1">
        <v>1.1878599999999999</v>
      </c>
      <c r="AG4" s="1">
        <v>0.60021000000000002</v>
      </c>
      <c r="AW4" s="1">
        <v>0.20275000000000001</v>
      </c>
      <c r="AX4" s="1">
        <v>7.5500000000000003E-3</v>
      </c>
      <c r="AY4" s="1">
        <v>2.1010000000000001E-2</v>
      </c>
      <c r="BA4" s="1">
        <v>1.06959</v>
      </c>
      <c r="BB4" s="1">
        <v>2.7899999999999999E-3</v>
      </c>
      <c r="BC4" s="1">
        <v>5.1799999999999997E-3</v>
      </c>
      <c r="BD4" s="1">
        <v>1.6250000000000001E-2</v>
      </c>
      <c r="BG4" s="1">
        <v>0.28366999999999998</v>
      </c>
      <c r="BH4" s="1">
        <v>8.9999999999999993E-3</v>
      </c>
      <c r="BI4" s="1">
        <v>9.41E-3</v>
      </c>
      <c r="BZ4" s="1">
        <v>0.25208000000000003</v>
      </c>
      <c r="CC4" s="1">
        <v>5.1799999999999997E-3</v>
      </c>
      <c r="CK4" s="1">
        <v>0.84238999999999997</v>
      </c>
      <c r="CM4" s="1">
        <v>0.13477</v>
      </c>
      <c r="CV4" s="1">
        <v>0.15672</v>
      </c>
      <c r="CX4" s="1">
        <v>9.7300000000000008E-3</v>
      </c>
      <c r="DA4" s="1">
        <v>0.10753</v>
      </c>
      <c r="DB4" s="1">
        <v>1.304E-2</v>
      </c>
      <c r="DN4" s="1">
        <v>0.51432</v>
      </c>
      <c r="EA4" s="1">
        <v>1.005E-2</v>
      </c>
      <c r="ED4" s="1">
        <v>1.0359999999999999E-2</v>
      </c>
      <c r="EH4" s="1">
        <v>8.3830000000000002E-2</v>
      </c>
      <c r="EL4" s="1">
        <v>7.8700000000000003E-3</v>
      </c>
      <c r="EQ4" s="1">
        <v>2.0590000000000001E-2</v>
      </c>
      <c r="ET4" s="1">
        <v>6.5089999999999995E-2</v>
      </c>
      <c r="EX4" s="1">
        <v>2.4629999999999999E-2</v>
      </c>
      <c r="EY4" s="1">
        <v>4.2959999999999998E-2</v>
      </c>
      <c r="FA4" s="1">
        <v>1.7080000000000001E-2</v>
      </c>
      <c r="FE4" s="1">
        <v>0.29574</v>
      </c>
      <c r="FI4" s="1">
        <v>6.8300000000000001E-3</v>
      </c>
      <c r="FJ4" s="1">
        <v>8.8950000000000001E-2</v>
      </c>
      <c r="FM4" s="1">
        <v>0.57279000000000002</v>
      </c>
    </row>
    <row r="5" spans="1:249" x14ac:dyDescent="0.2">
      <c r="A5" s="1" t="s">
        <v>1214</v>
      </c>
      <c r="B5" s="1" t="s">
        <v>55</v>
      </c>
      <c r="C5" s="1" t="s">
        <v>1208</v>
      </c>
      <c r="D5" s="1" t="s">
        <v>2</v>
      </c>
      <c r="E5" s="1">
        <v>13</v>
      </c>
      <c r="F5" s="1" t="s">
        <v>1209</v>
      </c>
      <c r="H5" s="1" t="s">
        <v>1215</v>
      </c>
      <c r="I5" s="1" t="s">
        <v>11</v>
      </c>
      <c r="J5" s="1" t="s">
        <v>1211</v>
      </c>
      <c r="K5" s="1" t="s">
        <v>1212</v>
      </c>
      <c r="L5" s="1" t="s">
        <v>1211</v>
      </c>
      <c r="N5" s="1" t="s">
        <v>1216</v>
      </c>
      <c r="O5" s="1">
        <v>5</v>
      </c>
      <c r="Q5" s="1">
        <v>2007</v>
      </c>
      <c r="R5" s="1" t="s">
        <v>1213</v>
      </c>
      <c r="S5" s="1" t="s">
        <v>27</v>
      </c>
      <c r="T5" s="38">
        <v>1</v>
      </c>
      <c r="U5" s="1">
        <v>71.08</v>
      </c>
      <c r="W5" s="1">
        <v>5.9</v>
      </c>
      <c r="Y5" s="1">
        <v>1.6909700000000001</v>
      </c>
      <c r="Z5" s="1">
        <v>1.52946</v>
      </c>
      <c r="AA5" s="1">
        <v>1.8943700000000001</v>
      </c>
      <c r="AE5" s="1">
        <v>5.1314099999999998</v>
      </c>
      <c r="AF5" s="1">
        <v>1.2231099999999999</v>
      </c>
      <c r="AG5" s="1">
        <v>0.67125999999999997</v>
      </c>
      <c r="AW5" s="1">
        <v>0.21862000000000001</v>
      </c>
      <c r="AX5" s="1">
        <v>7.9100000000000004E-3</v>
      </c>
      <c r="AY5" s="1">
        <v>2.2599999999999999E-2</v>
      </c>
      <c r="BA5" s="1">
        <v>1.1211100000000001</v>
      </c>
      <c r="BB5" s="1">
        <v>3.2299999999999998E-3</v>
      </c>
      <c r="BC5" s="1">
        <v>5.47E-3</v>
      </c>
      <c r="BD5" s="1">
        <v>1.643E-2</v>
      </c>
      <c r="BG5" s="1">
        <v>0.29241</v>
      </c>
      <c r="BH5" s="1">
        <v>1.038E-2</v>
      </c>
      <c r="BI5" s="1">
        <v>9.41E-3</v>
      </c>
      <c r="BZ5" s="1">
        <v>0.26407000000000003</v>
      </c>
      <c r="CC5" s="1">
        <v>5.3299999999999997E-3</v>
      </c>
      <c r="CK5" s="1">
        <v>0.85335000000000005</v>
      </c>
      <c r="CM5" s="1">
        <v>0.14004</v>
      </c>
      <c r="CV5" s="1">
        <v>0.15293000000000001</v>
      </c>
      <c r="CX5" s="1">
        <v>9.4299999999999991E-3</v>
      </c>
      <c r="DA5" s="1">
        <v>9.7460000000000005E-2</v>
      </c>
      <c r="DB5" s="1">
        <v>6.8500000000000002E-3</v>
      </c>
      <c r="DN5" s="1">
        <v>0.61212</v>
      </c>
      <c r="EA5" s="1">
        <v>1.008E-2</v>
      </c>
      <c r="ED5" s="1">
        <v>1.017E-2</v>
      </c>
      <c r="EH5" s="1">
        <v>8.7389999999999995E-2</v>
      </c>
      <c r="EL5" s="1">
        <v>4.7400000000000003E-3</v>
      </c>
      <c r="EQ5" s="1">
        <v>2.308E-2</v>
      </c>
      <c r="ET5" s="1">
        <v>6.8040000000000003E-2</v>
      </c>
      <c r="EX5" s="1">
        <v>2.6929999999999999E-2</v>
      </c>
      <c r="EY5" s="1">
        <v>4.333E-2</v>
      </c>
      <c r="FA5" s="1">
        <v>1.687E-2</v>
      </c>
      <c r="FE5" s="1">
        <v>0.31064000000000003</v>
      </c>
      <c r="FI5" s="1">
        <v>5.1700000000000001E-3</v>
      </c>
      <c r="FJ5" s="1">
        <v>8.8690000000000005E-2</v>
      </c>
      <c r="FM5" s="1">
        <v>0.58711999999999998</v>
      </c>
    </row>
    <row r="6" spans="1:249" x14ac:dyDescent="0.2">
      <c r="A6" s="1" t="s">
        <v>1217</v>
      </c>
      <c r="B6" s="1" t="s">
        <v>55</v>
      </c>
      <c r="C6" s="1" t="s">
        <v>1208</v>
      </c>
      <c r="D6" s="1" t="s">
        <v>2</v>
      </c>
      <c r="E6" s="1">
        <v>13</v>
      </c>
      <c r="F6" s="1" t="s">
        <v>1209</v>
      </c>
      <c r="H6" s="1" t="s">
        <v>1218</v>
      </c>
      <c r="I6" s="1" t="s">
        <v>11</v>
      </c>
      <c r="J6" s="1" t="s">
        <v>1211</v>
      </c>
      <c r="K6" s="1" t="s">
        <v>1212</v>
      </c>
      <c r="L6" s="1" t="s">
        <v>1211</v>
      </c>
      <c r="N6" s="1" t="s">
        <v>1219</v>
      </c>
      <c r="O6" s="1">
        <v>5</v>
      </c>
      <c r="Q6" s="1">
        <v>2007</v>
      </c>
      <c r="R6" s="1" t="s">
        <v>1213</v>
      </c>
      <c r="S6" s="1" t="s">
        <v>27</v>
      </c>
      <c r="T6" s="38">
        <v>1</v>
      </c>
      <c r="U6" s="1" t="s">
        <v>1221</v>
      </c>
      <c r="W6" s="1" t="s">
        <v>1223</v>
      </c>
      <c r="Y6" s="1">
        <v>2.1696399999999998</v>
      </c>
      <c r="Z6" s="1">
        <v>2.3936700000000002</v>
      </c>
      <c r="AA6" s="1">
        <v>3.8993799999999998</v>
      </c>
      <c r="AE6" s="1">
        <v>8.4780899999999999</v>
      </c>
      <c r="AF6" s="1">
        <v>1.25807</v>
      </c>
      <c r="AG6" s="1">
        <v>2.6413099999999998</v>
      </c>
      <c r="AW6" s="1">
        <v>0.20934</v>
      </c>
      <c r="AX6" s="1">
        <v>7.3699999999999998E-3</v>
      </c>
      <c r="AY6" s="1">
        <v>2.1600000000000001E-2</v>
      </c>
      <c r="BA6" s="1">
        <v>1.49515</v>
      </c>
      <c r="BB6" s="1">
        <v>2.8999999999999998E-3</v>
      </c>
      <c r="BC6" s="1">
        <v>5.13E-3</v>
      </c>
      <c r="BD6" s="1">
        <v>1.694E-2</v>
      </c>
      <c r="BG6" s="1">
        <v>0.40084999999999998</v>
      </c>
      <c r="BH6" s="1">
        <v>1.0279999999999999E-2</v>
      </c>
      <c r="BI6" s="1">
        <v>1.5480000000000001E-2</v>
      </c>
      <c r="BZ6" s="1">
        <v>0.25591999999999998</v>
      </c>
      <c r="CC6" s="1">
        <v>4.81E-3</v>
      </c>
      <c r="CK6" s="1">
        <v>1.7077899999999999</v>
      </c>
      <c r="CM6" s="1">
        <v>0.15859999999999999</v>
      </c>
      <c r="CV6" s="1">
        <v>0.15035999999999999</v>
      </c>
      <c r="CX6" s="1">
        <v>9.7800000000000005E-3</v>
      </c>
      <c r="DA6" s="1">
        <v>9.3359999999999999E-2</v>
      </c>
      <c r="DB6" s="1">
        <v>1.306E-2</v>
      </c>
      <c r="DN6" s="1">
        <v>2.5823900000000002</v>
      </c>
      <c r="EA6" s="1">
        <v>1.031E-2</v>
      </c>
      <c r="ED6" s="1">
        <v>1.0829999999999999E-2</v>
      </c>
      <c r="EH6" s="1">
        <v>8.9510000000000006E-2</v>
      </c>
      <c r="EL6" s="1">
        <v>3.2699999999999999E-3</v>
      </c>
      <c r="EQ6" s="1">
        <v>2.2800000000000001E-2</v>
      </c>
      <c r="ET6" s="1">
        <v>6.7089999999999997E-2</v>
      </c>
      <c r="EX6" s="1">
        <v>2.7629999999999998E-2</v>
      </c>
      <c r="EY6" s="1">
        <v>4.3090000000000003E-2</v>
      </c>
      <c r="FA6" s="1">
        <v>1.6899999999999998E-2</v>
      </c>
      <c r="FE6" s="1">
        <v>0.31578000000000001</v>
      </c>
      <c r="FI6" s="1">
        <v>3.5500000000000002E-3</v>
      </c>
      <c r="FJ6" s="1">
        <v>9.4210000000000002E-2</v>
      </c>
      <c r="FM6" s="1">
        <v>0.61202000000000001</v>
      </c>
    </row>
    <row r="7" spans="1:249" x14ac:dyDescent="0.2">
      <c r="A7" s="1" t="s">
        <v>1244</v>
      </c>
      <c r="B7" s="1" t="s">
        <v>55</v>
      </c>
      <c r="C7" s="1" t="s">
        <v>1208</v>
      </c>
      <c r="D7" s="1" t="s">
        <v>2</v>
      </c>
      <c r="E7" s="1">
        <v>13</v>
      </c>
      <c r="F7" s="1" t="s">
        <v>1209</v>
      </c>
      <c r="H7" s="1" t="s">
        <v>1245</v>
      </c>
      <c r="I7" s="1" t="s">
        <v>11</v>
      </c>
      <c r="J7" s="1" t="s">
        <v>1211</v>
      </c>
      <c r="K7" s="1" t="s">
        <v>1212</v>
      </c>
      <c r="L7" s="1" t="s">
        <v>1211</v>
      </c>
      <c r="N7" s="1" t="s">
        <v>1246</v>
      </c>
      <c r="O7" s="1">
        <v>5</v>
      </c>
      <c r="Q7" s="1">
        <v>2007</v>
      </c>
      <c r="R7" s="1" t="s">
        <v>1213</v>
      </c>
      <c r="S7" s="1" t="s">
        <v>27</v>
      </c>
      <c r="T7" s="38">
        <v>1</v>
      </c>
      <c r="U7" s="1">
        <v>65.760000000000005</v>
      </c>
      <c r="W7" s="1">
        <v>6.88</v>
      </c>
      <c r="Y7" s="1">
        <v>1.9800500000000001</v>
      </c>
      <c r="Z7" s="1">
        <v>1.73308</v>
      </c>
      <c r="AA7" s="1">
        <v>2.2125699999999999</v>
      </c>
      <c r="AE7" s="1">
        <v>5.9449399999999999</v>
      </c>
      <c r="AF7" s="1">
        <v>1.4641</v>
      </c>
      <c r="AG7" s="1">
        <v>0.74841999999999997</v>
      </c>
      <c r="AW7" s="1">
        <v>0.25555</v>
      </c>
      <c r="AX7" s="1">
        <v>8.8900000000000003E-3</v>
      </c>
      <c r="AY7" s="1">
        <v>2.606E-2</v>
      </c>
      <c r="BA7" s="1">
        <v>1.31446</v>
      </c>
      <c r="BB7" s="1">
        <v>4.5700000000000003E-3</v>
      </c>
      <c r="BC7" s="1">
        <v>5.8300000000000001E-3</v>
      </c>
      <c r="BD7" s="1">
        <v>1.9709999999999998E-2</v>
      </c>
      <c r="BG7" s="1">
        <v>0.34129999999999999</v>
      </c>
      <c r="BH7" s="1">
        <v>1.272E-2</v>
      </c>
      <c r="BI7" s="1">
        <v>1.025E-2</v>
      </c>
      <c r="BZ7" s="1">
        <v>0.31309999999999999</v>
      </c>
      <c r="CC7" s="1">
        <v>6.1500000000000001E-3</v>
      </c>
      <c r="CK7" s="1">
        <v>0.94798000000000004</v>
      </c>
      <c r="CM7" s="1">
        <v>0.16575999999999999</v>
      </c>
      <c r="CV7" s="1">
        <v>1.7469999999999999E-2</v>
      </c>
      <c r="CX7" s="1">
        <v>1.0749999999999999E-2</v>
      </c>
      <c r="DA7" s="1">
        <v>0.10725999999999999</v>
      </c>
      <c r="DB7" s="1">
        <v>7.3699999999999998E-3</v>
      </c>
      <c r="DN7" s="1">
        <v>0.67945999999999995</v>
      </c>
      <c r="EA7" s="1">
        <v>1.1690000000000001E-2</v>
      </c>
      <c r="ED7" s="1">
        <v>1.093E-2</v>
      </c>
      <c r="EH7" s="1">
        <v>0.10495</v>
      </c>
      <c r="EL7" s="1">
        <v>1.83E-3</v>
      </c>
      <c r="EQ7" s="1">
        <v>2.8400000000000002E-2</v>
      </c>
      <c r="ET7" s="1">
        <v>8.3260000000000001E-2</v>
      </c>
      <c r="EX7" s="1">
        <v>3.2480000000000002E-2</v>
      </c>
      <c r="EY7" s="1">
        <v>5.101E-2</v>
      </c>
      <c r="FA7" s="1">
        <v>2.0049999999999998E-2</v>
      </c>
      <c r="FE7" s="1">
        <v>0.37902999999999998</v>
      </c>
      <c r="FI7" s="1">
        <v>5.4999999999999997E-3</v>
      </c>
      <c r="FJ7" s="1">
        <v>0.10607999999999999</v>
      </c>
      <c r="FM7" s="1">
        <v>0.69784000000000002</v>
      </c>
    </row>
    <row r="8" spans="1:249" x14ac:dyDescent="0.2">
      <c r="A8" s="1" t="s">
        <v>1247</v>
      </c>
      <c r="B8" s="1" t="s">
        <v>55</v>
      </c>
      <c r="C8" s="1" t="s">
        <v>1248</v>
      </c>
      <c r="E8" s="1">
        <v>37</v>
      </c>
      <c r="F8" s="1" t="s">
        <v>1249</v>
      </c>
      <c r="H8" s="1" t="s">
        <v>1250</v>
      </c>
      <c r="I8" s="1" t="s">
        <v>7</v>
      </c>
      <c r="J8" s="1" t="s">
        <v>1251</v>
      </c>
      <c r="K8" s="1" t="s">
        <v>1252</v>
      </c>
      <c r="L8" s="1" t="s">
        <v>1251</v>
      </c>
      <c r="O8" s="1">
        <v>1</v>
      </c>
      <c r="Q8" s="1">
        <v>2010</v>
      </c>
      <c r="R8" s="1" t="s">
        <v>1253</v>
      </c>
      <c r="S8" s="1" t="s">
        <v>27</v>
      </c>
      <c r="T8" s="38">
        <v>1</v>
      </c>
      <c r="U8" s="1">
        <v>65.98</v>
      </c>
      <c r="V8" s="1">
        <v>14.46</v>
      </c>
    </row>
    <row r="9" spans="1:249" x14ac:dyDescent="0.2">
      <c r="A9" s="1" t="s">
        <v>1254</v>
      </c>
      <c r="B9" s="1" t="s">
        <v>55</v>
      </c>
      <c r="C9" s="1" t="s">
        <v>1248</v>
      </c>
      <c r="E9" s="1">
        <v>37</v>
      </c>
      <c r="F9" s="1" t="s">
        <v>1249</v>
      </c>
      <c r="H9" s="1" t="s">
        <v>1255</v>
      </c>
      <c r="I9" s="1" t="s">
        <v>11</v>
      </c>
      <c r="J9" s="1" t="s">
        <v>1251</v>
      </c>
      <c r="K9" s="1" t="s">
        <v>1252</v>
      </c>
      <c r="L9" s="1" t="s">
        <v>1251</v>
      </c>
      <c r="N9" s="1" t="s">
        <v>1256</v>
      </c>
      <c r="O9" s="1">
        <v>1</v>
      </c>
      <c r="Q9" s="1">
        <v>2010</v>
      </c>
      <c r="R9" s="1" t="s">
        <v>1253</v>
      </c>
      <c r="S9" s="1" t="s">
        <v>27</v>
      </c>
      <c r="T9" s="38">
        <v>1</v>
      </c>
      <c r="U9" s="1">
        <v>56.52</v>
      </c>
      <c r="V9" s="1">
        <v>19.61</v>
      </c>
    </row>
    <row r="10" spans="1:249" x14ac:dyDescent="0.2">
      <c r="A10" s="1" t="s">
        <v>1257</v>
      </c>
      <c r="B10" s="1" t="s">
        <v>55</v>
      </c>
      <c r="C10" s="1" t="s">
        <v>1248</v>
      </c>
      <c r="E10" s="1">
        <v>37</v>
      </c>
      <c r="F10" s="1" t="s">
        <v>1249</v>
      </c>
      <c r="H10" s="1" t="s">
        <v>1258</v>
      </c>
      <c r="I10" s="1" t="s">
        <v>11</v>
      </c>
      <c r="J10" s="1" t="s">
        <v>1251</v>
      </c>
      <c r="K10" s="1" t="s">
        <v>1252</v>
      </c>
      <c r="L10" s="1" t="s">
        <v>1251</v>
      </c>
      <c r="N10" s="1" t="s">
        <v>1259</v>
      </c>
      <c r="O10" s="1">
        <v>1</v>
      </c>
      <c r="Q10" s="1">
        <v>2010</v>
      </c>
      <c r="R10" s="1" t="s">
        <v>1253</v>
      </c>
      <c r="S10" s="1" t="s">
        <v>27</v>
      </c>
      <c r="T10" s="38">
        <v>1</v>
      </c>
      <c r="U10" s="1">
        <v>59.13</v>
      </c>
      <c r="V10" s="1">
        <v>15.89</v>
      </c>
    </row>
    <row r="11" spans="1:249" x14ac:dyDescent="0.2">
      <c r="A11" s="1" t="s">
        <v>1260</v>
      </c>
      <c r="B11" s="1" t="s">
        <v>55</v>
      </c>
      <c r="C11" s="1" t="s">
        <v>1248</v>
      </c>
      <c r="E11" s="1">
        <v>37</v>
      </c>
      <c r="F11" s="1" t="s">
        <v>1249</v>
      </c>
      <c r="H11" s="1" t="s">
        <v>1261</v>
      </c>
      <c r="I11" s="1" t="s">
        <v>11</v>
      </c>
      <c r="J11" s="1" t="s">
        <v>1251</v>
      </c>
      <c r="K11" s="1" t="s">
        <v>1252</v>
      </c>
      <c r="L11" s="1" t="s">
        <v>1251</v>
      </c>
      <c r="N11" s="1" t="s">
        <v>1262</v>
      </c>
      <c r="O11" s="1">
        <v>1</v>
      </c>
      <c r="Q11" s="1">
        <v>2010</v>
      </c>
      <c r="R11" s="1" t="s">
        <v>1253</v>
      </c>
      <c r="S11" s="1" t="s">
        <v>27</v>
      </c>
      <c r="T11" s="38">
        <v>1</v>
      </c>
      <c r="U11" s="1">
        <v>61.54</v>
      </c>
      <c r="V11" s="1">
        <v>13.44</v>
      </c>
    </row>
    <row r="12" spans="1:249" x14ac:dyDescent="0.2">
      <c r="A12" s="1" t="s">
        <v>1263</v>
      </c>
      <c r="B12" s="1" t="s">
        <v>55</v>
      </c>
      <c r="C12" s="1" t="s">
        <v>1264</v>
      </c>
      <c r="D12" s="1" t="s">
        <v>2</v>
      </c>
      <c r="E12" s="1">
        <v>13</v>
      </c>
      <c r="F12" s="1" t="s">
        <v>1265</v>
      </c>
      <c r="H12" s="1" t="s">
        <v>1266</v>
      </c>
      <c r="I12" s="1" t="s">
        <v>7</v>
      </c>
      <c r="J12" s="1" t="s">
        <v>1267</v>
      </c>
      <c r="K12" s="1" t="s">
        <v>1268</v>
      </c>
      <c r="L12" s="1" t="s">
        <v>1267</v>
      </c>
      <c r="P12" s="1" t="s">
        <v>1269</v>
      </c>
      <c r="Q12" s="1">
        <v>2009</v>
      </c>
      <c r="R12" s="1" t="s">
        <v>1270</v>
      </c>
      <c r="S12" s="1" t="s">
        <v>27</v>
      </c>
      <c r="T12" s="38">
        <v>1</v>
      </c>
      <c r="V12" s="1">
        <v>2.5499999999999998</v>
      </c>
      <c r="Y12" s="1">
        <v>0.95327074499999997</v>
      </c>
      <c r="Z12" s="1">
        <v>0.77572043499999999</v>
      </c>
      <c r="AA12" s="1">
        <v>0.39557493500000002</v>
      </c>
      <c r="AB12" s="1">
        <v>0.11158388499999999</v>
      </c>
      <c r="AD12" s="1">
        <v>0.87692156862745096</v>
      </c>
      <c r="AW12" s="1">
        <v>0.111136655</v>
      </c>
      <c r="BA12" s="1">
        <v>0.655862795</v>
      </c>
      <c r="BG12" s="1">
        <v>0.16950017000000001</v>
      </c>
      <c r="BI12" s="1">
        <v>6.2612199999999996E-3</v>
      </c>
      <c r="BM12" s="1">
        <v>1.0509905E-2</v>
      </c>
      <c r="BZ12" s="1">
        <v>3.4213094999999999E-2</v>
      </c>
      <c r="CK12" s="1">
        <v>0.69164119499999999</v>
      </c>
      <c r="CM12" s="1">
        <v>0</v>
      </c>
      <c r="CV12" s="1">
        <v>3.7120090000000001E-2</v>
      </c>
      <c r="DD12" s="1">
        <v>1.2746054999999999E-2</v>
      </c>
      <c r="DN12" s="1">
        <v>0.188507445</v>
      </c>
      <c r="EH12" s="1">
        <v>2.3926804999999999E-2</v>
      </c>
      <c r="EX12" s="1">
        <v>2.3032344999999999E-2</v>
      </c>
      <c r="FA12" s="1">
        <v>1.8336430000000001E-2</v>
      </c>
      <c r="FE12" s="1">
        <v>6.9320650000000003E-3</v>
      </c>
      <c r="FJ12" s="1">
        <v>2.8846335000000001E-2</v>
      </c>
      <c r="FM12" s="1">
        <v>0.10599351</v>
      </c>
    </row>
    <row r="13" spans="1:249" x14ac:dyDescent="0.2">
      <c r="A13" s="1" t="s">
        <v>1271</v>
      </c>
      <c r="B13" s="1" t="s">
        <v>55</v>
      </c>
      <c r="C13" s="1" t="s">
        <v>1272</v>
      </c>
      <c r="D13" s="1" t="s">
        <v>2</v>
      </c>
      <c r="E13" s="1">
        <v>23</v>
      </c>
      <c r="F13" s="1" t="s">
        <v>1273</v>
      </c>
      <c r="H13" s="1" t="s">
        <v>1274</v>
      </c>
      <c r="I13" s="1" t="s">
        <v>7</v>
      </c>
      <c r="J13" s="1" t="s">
        <v>1275</v>
      </c>
      <c r="K13" s="1" t="s">
        <v>1276</v>
      </c>
      <c r="L13" s="1" t="s">
        <v>1275</v>
      </c>
      <c r="P13" s="1" t="s">
        <v>1269</v>
      </c>
      <c r="Q13" s="1">
        <v>2009</v>
      </c>
      <c r="R13" s="1" t="s">
        <v>1270</v>
      </c>
      <c r="S13" s="1" t="s">
        <v>27</v>
      </c>
      <c r="T13" s="38">
        <v>1</v>
      </c>
      <c r="V13" s="1">
        <v>9.92</v>
      </c>
      <c r="Y13" s="1">
        <v>2.6936136159999999</v>
      </c>
      <c r="Z13" s="1">
        <v>2.8804169960000001</v>
      </c>
      <c r="AA13" s="1">
        <v>3.388886684</v>
      </c>
      <c r="AB13" s="1">
        <v>0.14944270400000001</v>
      </c>
      <c r="AD13" s="1">
        <v>0.91858467741935501</v>
      </c>
      <c r="AW13" s="1">
        <v>3.189326E-2</v>
      </c>
      <c r="BA13" s="1">
        <v>1.7960461560000001</v>
      </c>
      <c r="BG13" s="1">
        <v>0.58592474800000005</v>
      </c>
      <c r="BI13" s="1">
        <v>2.0047191999999998E-2</v>
      </c>
      <c r="BM13" s="1">
        <v>0.25970226000000002</v>
      </c>
      <c r="BZ13" s="1">
        <v>0.57772362399999999</v>
      </c>
      <c r="CK13" s="1">
        <v>1.5263203000000001</v>
      </c>
      <c r="CM13" s="1">
        <v>0.41552361599999998</v>
      </c>
      <c r="CV13" s="1">
        <v>0.23327641599999999</v>
      </c>
      <c r="DD13" s="1">
        <v>0.12757304</v>
      </c>
      <c r="DN13" s="1">
        <v>0.19682697599999999</v>
      </c>
      <c r="EH13" s="1">
        <v>2.733708E-2</v>
      </c>
      <c r="EX13" s="1">
        <v>0.226897764</v>
      </c>
      <c r="FA13" s="1">
        <v>6.4697755999999995E-2</v>
      </c>
      <c r="FE13" s="1">
        <v>0.75359217199999995</v>
      </c>
      <c r="FJ13" s="1">
        <v>0.27883821600000003</v>
      </c>
      <c r="FM13" s="1">
        <v>1.84069672</v>
      </c>
    </row>
    <row r="14" spans="1:249" x14ac:dyDescent="0.2">
      <c r="A14" s="1" t="s">
        <v>1277</v>
      </c>
      <c r="B14" s="1" t="s">
        <v>55</v>
      </c>
      <c r="C14" s="1" t="s">
        <v>1278</v>
      </c>
      <c r="D14" s="1" t="s">
        <v>2</v>
      </c>
      <c r="E14" s="1">
        <v>13</v>
      </c>
      <c r="F14" s="1" t="s">
        <v>1279</v>
      </c>
      <c r="H14" s="1" t="s">
        <v>1280</v>
      </c>
      <c r="I14" s="1" t="s">
        <v>7</v>
      </c>
      <c r="J14" s="1" t="s">
        <v>1281</v>
      </c>
      <c r="K14" s="1" t="s">
        <v>1282</v>
      </c>
      <c r="L14" s="1" t="s">
        <v>1281</v>
      </c>
      <c r="M14" s="1" t="s">
        <v>1283</v>
      </c>
      <c r="N14" s="1" t="s">
        <v>1284</v>
      </c>
      <c r="O14" s="1">
        <v>6</v>
      </c>
      <c r="Q14" s="1">
        <v>2003</v>
      </c>
      <c r="R14" s="1" t="s">
        <v>1285</v>
      </c>
      <c r="S14" s="1" t="s">
        <v>27</v>
      </c>
      <c r="T14" s="38">
        <v>1</v>
      </c>
      <c r="U14" s="1">
        <v>77.17</v>
      </c>
      <c r="W14" s="1">
        <v>2.87</v>
      </c>
      <c r="Y14" s="1">
        <v>0.48566140000000002</v>
      </c>
      <c r="Z14" s="1">
        <v>0.55597640000000004</v>
      </c>
      <c r="AA14" s="1">
        <v>0.72335479999999996</v>
      </c>
      <c r="AF14" s="1">
        <v>0.58829260000000005</v>
      </c>
      <c r="AG14" s="1">
        <v>0.13506219999999999</v>
      </c>
      <c r="AW14" s="1">
        <v>7.1663900000000003E-2</v>
      </c>
      <c r="AY14" s="1">
        <v>7.4045999999999999E-3</v>
      </c>
      <c r="BA14" s="1">
        <v>0.35737239999999998</v>
      </c>
      <c r="BG14" s="1">
        <v>4.69819E-2</v>
      </c>
      <c r="BI14" s="1">
        <v>2.2385999999999999E-3</v>
      </c>
      <c r="BS14" s="1">
        <v>2.7265000000000002E-3</v>
      </c>
      <c r="CA14" s="1">
        <v>0.14717359999999999</v>
      </c>
      <c r="CF14" s="1">
        <v>1.24558E-2</v>
      </c>
      <c r="CG14" s="1">
        <v>4.6293099999999997E-2</v>
      </c>
      <c r="CI14" s="1">
        <v>0.28854980000000002</v>
      </c>
      <c r="CV14" s="1">
        <v>3.5932400000000003E-2</v>
      </c>
      <c r="DA14" s="1">
        <v>1.8454100000000001E-2</v>
      </c>
      <c r="DB14" s="1">
        <v>4.3911000000000002E-3</v>
      </c>
      <c r="DN14" s="1">
        <v>0.1083712</v>
      </c>
      <c r="DT14" s="1">
        <v>3.6162E-3</v>
      </c>
      <c r="EH14" s="1">
        <v>1.8167099999999999E-2</v>
      </c>
      <c r="ET14" s="1">
        <v>1.96308E-2</v>
      </c>
      <c r="EX14" s="1">
        <v>1.62729E-2</v>
      </c>
      <c r="EY14" s="1">
        <v>9.2414000000000003E-3</v>
      </c>
      <c r="FE14" s="1">
        <v>0.1421511</v>
      </c>
      <c r="FI14" s="1">
        <v>6.8018999999999996E-3</v>
      </c>
      <c r="FJ14" s="1">
        <v>3.1828299999999997E-2</v>
      </c>
      <c r="FM14" s="1">
        <v>0.36727389999999999</v>
      </c>
    </row>
    <row r="15" spans="1:249" x14ac:dyDescent="0.2">
      <c r="A15" s="1" t="s">
        <v>1286</v>
      </c>
      <c r="B15" s="1" t="s">
        <v>55</v>
      </c>
      <c r="C15" s="1" t="s">
        <v>1287</v>
      </c>
      <c r="D15" s="1" t="s">
        <v>2</v>
      </c>
      <c r="E15" s="1">
        <v>33</v>
      </c>
      <c r="F15" s="1" t="s">
        <v>1288</v>
      </c>
      <c r="H15" s="1" t="s">
        <v>1289</v>
      </c>
      <c r="I15" s="1" t="s">
        <v>7</v>
      </c>
      <c r="J15" s="1" t="s">
        <v>1290</v>
      </c>
      <c r="K15" s="1" t="s">
        <v>1291</v>
      </c>
      <c r="L15" s="1" t="s">
        <v>1290</v>
      </c>
      <c r="M15" s="1" t="s">
        <v>1292</v>
      </c>
      <c r="N15" s="1" t="s">
        <v>1293</v>
      </c>
      <c r="P15" s="1" t="s">
        <v>1269</v>
      </c>
      <c r="Q15" s="1">
        <v>2008</v>
      </c>
      <c r="R15" s="1" t="s">
        <v>1294</v>
      </c>
      <c r="S15" s="1" t="s">
        <v>27</v>
      </c>
      <c r="T15" s="38">
        <v>1</v>
      </c>
      <c r="V15" s="1">
        <v>6.5</v>
      </c>
      <c r="Y15" s="1">
        <v>1.65861215</v>
      </c>
      <c r="Z15" s="1">
        <v>1.53236577</v>
      </c>
      <c r="AA15" s="1">
        <v>1.58281695</v>
      </c>
      <c r="AB15" s="1">
        <v>1.1475867</v>
      </c>
      <c r="AD15" s="1">
        <v>0.91100000000000003</v>
      </c>
      <c r="AO15" s="1">
        <v>3.4640774999999999E-2</v>
      </c>
      <c r="AP15" s="1">
        <v>0.10031021</v>
      </c>
      <c r="AQ15" s="1">
        <v>4.0562275000000002E-2</v>
      </c>
      <c r="AU15" s="1">
        <v>2.13174E-3</v>
      </c>
      <c r="AV15" s="1">
        <v>1.89488E-3</v>
      </c>
      <c r="AW15" s="1">
        <v>0.231471435</v>
      </c>
      <c r="AY15" s="1">
        <v>3.5528999999999998E-2</v>
      </c>
      <c r="BA15" s="1">
        <v>0.95028232000000001</v>
      </c>
      <c r="BD15" s="1">
        <v>5.2227629999999997E-2</v>
      </c>
      <c r="BG15" s="1">
        <v>0.15988050000000001</v>
      </c>
      <c r="BI15" s="1">
        <v>4.1450499999999999E-3</v>
      </c>
      <c r="BJ15" s="1">
        <v>2.7831050000000001E-3</v>
      </c>
      <c r="BK15" s="1">
        <v>2.3685999999999998E-3</v>
      </c>
      <c r="BM15" s="1">
        <v>3.67133E-3</v>
      </c>
      <c r="BS15" s="1">
        <v>4.1450499999999999E-3</v>
      </c>
      <c r="CA15" s="1">
        <v>0.29465384</v>
      </c>
      <c r="CI15" s="1">
        <v>1.05000038</v>
      </c>
      <c r="CV15" s="1">
        <v>7.4018749999999994E-2</v>
      </c>
      <c r="DB15" s="1">
        <v>6.9281549999999997E-2</v>
      </c>
      <c r="DE15" s="1">
        <v>4.0266200000000002E-2</v>
      </c>
      <c r="DK15" s="1">
        <v>0.41450500000000001</v>
      </c>
      <c r="DM15" s="1">
        <v>5.8622850000000001E-3</v>
      </c>
      <c r="DT15" s="1">
        <v>4.0266199999999999E-3</v>
      </c>
      <c r="DW15" s="1">
        <v>4.0266199999999999E-3</v>
      </c>
      <c r="EC15" s="1">
        <v>8.8822499999999995E-3</v>
      </c>
      <c r="EF15" s="1">
        <v>7.6979500000000006E-2</v>
      </c>
      <c r="EL15" s="1">
        <v>5.0332750000000002E-3</v>
      </c>
      <c r="EX15" s="1">
        <v>4.0266200000000002E-2</v>
      </c>
      <c r="FE15" s="1">
        <v>0.33160400000000001</v>
      </c>
      <c r="FM15" s="1">
        <v>0.66658325500000004</v>
      </c>
    </row>
    <row r="16" spans="1:249" x14ac:dyDescent="0.2">
      <c r="A16" s="1" t="s">
        <v>1296</v>
      </c>
      <c r="B16" s="1" t="s">
        <v>55</v>
      </c>
      <c r="C16" s="1" t="s">
        <v>1287</v>
      </c>
      <c r="D16" s="1" t="s">
        <v>2</v>
      </c>
      <c r="E16" s="1">
        <v>33</v>
      </c>
      <c r="F16" s="1" t="s">
        <v>1297</v>
      </c>
      <c r="H16" s="1" t="s">
        <v>1298</v>
      </c>
      <c r="I16" s="1" t="s">
        <v>7</v>
      </c>
      <c r="J16" s="1" t="s">
        <v>1299</v>
      </c>
      <c r="K16" s="1" t="s">
        <v>1300</v>
      </c>
      <c r="L16" s="1" t="s">
        <v>1299</v>
      </c>
      <c r="M16" s="1" t="s">
        <v>1292</v>
      </c>
      <c r="N16" s="1" t="s">
        <v>1301</v>
      </c>
      <c r="P16" s="1" t="s">
        <v>1269</v>
      </c>
      <c r="Q16" s="1">
        <v>2008</v>
      </c>
      <c r="R16" s="1" t="s">
        <v>1294</v>
      </c>
      <c r="S16" s="1" t="s">
        <v>27</v>
      </c>
      <c r="T16" s="38">
        <v>1</v>
      </c>
      <c r="V16" s="1">
        <v>8.1</v>
      </c>
      <c r="Y16" s="1">
        <v>2.1004711899999999</v>
      </c>
      <c r="Z16" s="1">
        <v>2.12197266</v>
      </c>
      <c r="AA16" s="1">
        <v>1.8350392499999999</v>
      </c>
      <c r="AB16" s="1">
        <v>1.3568169000000001</v>
      </c>
      <c r="AD16" s="1">
        <v>0.91534567901234598</v>
      </c>
      <c r="AO16" s="1">
        <v>0.10476405900000001</v>
      </c>
      <c r="AP16" s="1">
        <v>0.104393344</v>
      </c>
      <c r="AQ16" s="1">
        <v>1.5495887E-2</v>
      </c>
      <c r="AU16" s="1">
        <v>3.7071500000000002E-3</v>
      </c>
      <c r="AV16" s="1">
        <v>2.2242899999999999E-3</v>
      </c>
      <c r="AW16" s="1">
        <v>0.32029775999999999</v>
      </c>
      <c r="AY16" s="1">
        <v>3.5588639999999998E-2</v>
      </c>
      <c r="BA16" s="1">
        <v>1.1677522499999999</v>
      </c>
      <c r="BD16" s="1">
        <v>4.5968660000000001E-2</v>
      </c>
      <c r="BG16" s="1">
        <v>0.23725760000000001</v>
      </c>
      <c r="BI16" s="1">
        <v>8.8971599999999994E-3</v>
      </c>
      <c r="BJ16" s="1">
        <v>3.8554359999999998E-3</v>
      </c>
      <c r="BK16" s="1">
        <v>2.9657199999999998E-3</v>
      </c>
      <c r="BM16" s="1">
        <v>4.8192950000000003E-3</v>
      </c>
      <c r="BS16" s="1">
        <v>1.0231733999999999E-2</v>
      </c>
      <c r="CA16" s="1">
        <v>0.45560873499999999</v>
      </c>
      <c r="CI16" s="1">
        <v>1.5162243500000001</v>
      </c>
      <c r="CV16" s="1">
        <v>8.8971599999999998E-2</v>
      </c>
      <c r="DB16" s="1">
        <v>2.3874045999999999E-2</v>
      </c>
      <c r="DE16" s="1">
        <v>2.6913909E-2</v>
      </c>
      <c r="DK16" s="1">
        <v>0.55051177500000004</v>
      </c>
      <c r="DM16" s="1">
        <v>5.041724E-3</v>
      </c>
      <c r="DT16" s="1">
        <v>4.893438E-3</v>
      </c>
      <c r="DW16" s="1">
        <v>4.893438E-3</v>
      </c>
      <c r="EC16" s="1">
        <v>1.038002E-2</v>
      </c>
      <c r="EF16" s="1">
        <v>9.4161610000000007E-2</v>
      </c>
      <c r="EL16" s="1">
        <v>1.112145E-2</v>
      </c>
      <c r="EX16" s="1">
        <v>4.5968660000000001E-2</v>
      </c>
      <c r="FE16" s="1">
        <v>0.29953772000000001</v>
      </c>
      <c r="FM16" s="1">
        <v>0.79073509500000005</v>
      </c>
    </row>
    <row r="17" spans="1:169" x14ac:dyDescent="0.2">
      <c r="A17" s="1" t="s">
        <v>1303</v>
      </c>
      <c r="B17" s="1" t="s">
        <v>55</v>
      </c>
      <c r="C17" s="1" t="s">
        <v>1287</v>
      </c>
      <c r="D17" s="1" t="s">
        <v>2</v>
      </c>
      <c r="E17" s="1">
        <v>33</v>
      </c>
      <c r="F17" s="1" t="s">
        <v>1304</v>
      </c>
      <c r="H17" s="1" t="s">
        <v>1305</v>
      </c>
      <c r="I17" s="1" t="s">
        <v>7</v>
      </c>
      <c r="J17" s="1" t="s">
        <v>1306</v>
      </c>
      <c r="K17" s="1" t="s">
        <v>1307</v>
      </c>
      <c r="L17" s="1" t="s">
        <v>1306</v>
      </c>
      <c r="M17" s="1" t="s">
        <v>1292</v>
      </c>
      <c r="N17" s="1" t="s">
        <v>1308</v>
      </c>
      <c r="P17" s="1" t="s">
        <v>1269</v>
      </c>
      <c r="Q17" s="1">
        <v>2008</v>
      </c>
      <c r="R17" s="1" t="s">
        <v>1294</v>
      </c>
      <c r="S17" s="1" t="s">
        <v>27</v>
      </c>
      <c r="T17" s="38">
        <v>1</v>
      </c>
      <c r="V17" s="1">
        <v>2.29</v>
      </c>
      <c r="Y17" s="1">
        <v>0.64615590840000003</v>
      </c>
      <c r="Z17" s="1">
        <v>0.53766582900000004</v>
      </c>
      <c r="AA17" s="1">
        <v>0.54663689400000004</v>
      </c>
      <c r="AB17" s="1">
        <v>0.26315124000000001</v>
      </c>
      <c r="AD17" s="1">
        <v>0.87055458515283801</v>
      </c>
      <c r="AO17" s="1">
        <v>3.6582009499999998E-2</v>
      </c>
      <c r="AP17" s="1">
        <v>2.3324768999999999E-3</v>
      </c>
      <c r="AQ17" s="1">
        <v>0</v>
      </c>
      <c r="AU17" s="1">
        <v>1.1363349E-3</v>
      </c>
      <c r="AV17" s="1">
        <v>9.9678500000000003E-4</v>
      </c>
      <c r="AW17" s="1">
        <v>0.11815889390000001</v>
      </c>
      <c r="AY17" s="1">
        <v>1.6387145400000001E-2</v>
      </c>
      <c r="BA17" s="1">
        <v>0.33723230119999997</v>
      </c>
      <c r="BD17" s="1">
        <v>1.95569217E-2</v>
      </c>
      <c r="BG17" s="1">
        <v>8.9032836200000007E-2</v>
      </c>
      <c r="BI17" s="1">
        <v>2.3125412000000001E-3</v>
      </c>
      <c r="BJ17" s="1">
        <v>1.594856E-3</v>
      </c>
      <c r="BK17" s="1">
        <v>6.4591668E-3</v>
      </c>
      <c r="BM17" s="1">
        <v>2.7710623E-3</v>
      </c>
      <c r="BS17" s="1">
        <v>1.9337629E-3</v>
      </c>
      <c r="CA17" s="1">
        <v>0.1290836575</v>
      </c>
      <c r="CI17" s="1">
        <v>0.34032233470000001</v>
      </c>
      <c r="CV17" s="1">
        <v>3.7698408699999998E-2</v>
      </c>
      <c r="DB17" s="1">
        <v>4.9639892999999999E-3</v>
      </c>
      <c r="DE17" s="1">
        <v>2.3583933099999999E-2</v>
      </c>
      <c r="DK17" s="1">
        <v>0.1588476576</v>
      </c>
      <c r="DM17" s="1">
        <v>1.7344058999999999E-3</v>
      </c>
      <c r="DT17" s="1">
        <v>9.1704220000000003E-4</v>
      </c>
      <c r="DW17" s="1">
        <v>9.1704220000000003E-4</v>
      </c>
      <c r="EC17" s="1">
        <v>2.9504836E-3</v>
      </c>
      <c r="EF17" s="1">
        <v>3.09402064E-2</v>
      </c>
      <c r="EL17" s="1">
        <v>2.2128627000000001E-3</v>
      </c>
      <c r="EX17" s="1">
        <v>1.41344113E-2</v>
      </c>
      <c r="FE17" s="1">
        <v>9.0029621200000007E-2</v>
      </c>
      <c r="FM17" s="1">
        <v>0.23934801419999999</v>
      </c>
    </row>
    <row r="18" spans="1:169" x14ac:dyDescent="0.2">
      <c r="A18" s="1" t="s">
        <v>1310</v>
      </c>
      <c r="B18" s="1" t="s">
        <v>55</v>
      </c>
      <c r="C18" s="1" t="s">
        <v>1311</v>
      </c>
      <c r="D18" s="1" t="s">
        <v>2</v>
      </c>
      <c r="E18" s="1">
        <v>11</v>
      </c>
      <c r="F18" s="1" t="s">
        <v>1312</v>
      </c>
      <c r="H18" s="1" t="s">
        <v>1313</v>
      </c>
      <c r="I18" s="1" t="s">
        <v>7</v>
      </c>
      <c r="J18" s="1" t="s">
        <v>1314</v>
      </c>
      <c r="K18" s="1" t="s">
        <v>1315</v>
      </c>
      <c r="L18" s="1" t="s">
        <v>1314</v>
      </c>
      <c r="M18" s="1" t="s">
        <v>1316</v>
      </c>
      <c r="N18" s="1" t="s">
        <v>1317</v>
      </c>
      <c r="P18" s="1" t="s">
        <v>1269</v>
      </c>
      <c r="Q18" s="1">
        <v>2010</v>
      </c>
      <c r="R18" s="1" t="s">
        <v>1318</v>
      </c>
      <c r="S18" s="1" t="s">
        <v>27</v>
      </c>
      <c r="T18" s="38">
        <v>1</v>
      </c>
      <c r="U18" s="1" t="s">
        <v>1319</v>
      </c>
      <c r="V18" s="1" t="s">
        <v>1321</v>
      </c>
      <c r="Y18" s="1">
        <v>2.642088218</v>
      </c>
      <c r="Z18" s="1">
        <v>5.2619740139999998</v>
      </c>
      <c r="AA18" s="1">
        <v>1.5228843089999999</v>
      </c>
      <c r="AD18" s="1">
        <v>0.91996444849589798</v>
      </c>
      <c r="AF18" s="1">
        <v>0.89818889000000002</v>
      </c>
      <c r="AG18" s="1">
        <v>0.62469541900000003</v>
      </c>
      <c r="AW18" s="1">
        <v>0.15238935100000001</v>
      </c>
      <c r="BA18" s="1">
        <v>2.0648252459999998</v>
      </c>
      <c r="BG18" s="1">
        <v>0.29367749100000001</v>
      </c>
      <c r="BI18" s="1">
        <v>0.17661017500000001</v>
      </c>
      <c r="BK18" s="1">
        <v>5.6515256E-2</v>
      </c>
      <c r="BP18" s="1">
        <v>3.1285230999999997E-2</v>
      </c>
      <c r="BZ18" s="1">
        <v>0.98901698000000005</v>
      </c>
      <c r="CH18" s="1">
        <v>0.144315743</v>
      </c>
      <c r="CK18" s="1">
        <v>3.8622122270000001</v>
      </c>
      <c r="CU18" s="1">
        <v>6.6607265999999998E-2</v>
      </c>
      <c r="DB18" s="1">
        <v>6.3579662999999995E-2</v>
      </c>
      <c r="DN18" s="1">
        <v>0.28863148599999999</v>
      </c>
      <c r="DT18" s="1">
        <v>0.14885714750000001</v>
      </c>
      <c r="EH18" s="1">
        <v>0.49148088699999998</v>
      </c>
      <c r="EK18" s="1">
        <v>5.0460049999999999E-2</v>
      </c>
      <c r="EX18" s="1">
        <v>0.13624213499999999</v>
      </c>
      <c r="FE18" s="1">
        <v>0.179637778</v>
      </c>
      <c r="FM18" s="1">
        <v>0.22707022499999999</v>
      </c>
    </row>
    <row r="19" spans="1:169" x14ac:dyDescent="0.2">
      <c r="A19" s="1" t="s">
        <v>1323</v>
      </c>
      <c r="B19" s="1" t="s">
        <v>55</v>
      </c>
      <c r="C19" s="1" t="s">
        <v>1311</v>
      </c>
      <c r="D19" s="1" t="s">
        <v>2</v>
      </c>
      <c r="E19" s="1">
        <v>11</v>
      </c>
      <c r="F19" s="1" t="s">
        <v>1312</v>
      </c>
      <c r="H19" s="1" t="s">
        <v>1324</v>
      </c>
      <c r="I19" s="1" t="s">
        <v>11</v>
      </c>
      <c r="J19" s="1" t="s">
        <v>1314</v>
      </c>
      <c r="K19" s="1" t="s">
        <v>1315</v>
      </c>
      <c r="L19" s="1" t="s">
        <v>1314</v>
      </c>
      <c r="M19" s="1" t="s">
        <v>1316</v>
      </c>
      <c r="N19" s="1" t="s">
        <v>1325</v>
      </c>
      <c r="P19" s="1" t="s">
        <v>1269</v>
      </c>
      <c r="Q19" s="1">
        <v>2010</v>
      </c>
      <c r="R19" s="1" t="s">
        <v>1318</v>
      </c>
      <c r="S19" s="1" t="s">
        <v>27</v>
      </c>
      <c r="T19" s="38">
        <v>1</v>
      </c>
      <c r="U19" s="1">
        <v>70.84</v>
      </c>
      <c r="V19" s="1">
        <v>8.32</v>
      </c>
      <c r="Y19" s="1">
        <v>2.0504235959999999</v>
      </c>
      <c r="Z19" s="1">
        <v>3.81358978</v>
      </c>
      <c r="AA19" s="1">
        <v>1.176460064</v>
      </c>
      <c r="AD19" s="1">
        <v>0.91581250000000003</v>
      </c>
      <c r="AF19" s="1">
        <v>0.70328538799999996</v>
      </c>
      <c r="AG19" s="1">
        <v>0.47241272000000001</v>
      </c>
      <c r="AW19" s="1">
        <v>0.13029447599999999</v>
      </c>
      <c r="BA19" s="1">
        <v>1.5048630999999999</v>
      </c>
      <c r="BG19" s="1">
        <v>0.30021066400000002</v>
      </c>
      <c r="BI19" s="1">
        <v>0.108959708</v>
      </c>
      <c r="BK19" s="1">
        <v>5.1813008000000001E-2</v>
      </c>
      <c r="BP19" s="1">
        <v>2.5906504E-2</v>
      </c>
      <c r="BZ19" s="1">
        <v>0.749002748</v>
      </c>
      <c r="CH19" s="1">
        <v>0.111245576</v>
      </c>
      <c r="CK19" s="1">
        <v>2.7659002799999999</v>
      </c>
      <c r="CU19" s="1">
        <v>5.1813008000000001E-2</v>
      </c>
      <c r="DB19" s="1">
        <v>6.1718436000000002E-2</v>
      </c>
      <c r="DN19" s="1">
        <v>0.22325310800000001</v>
      </c>
      <c r="DT19" s="1">
        <v>0.12953252000000001</v>
      </c>
      <c r="EH19" s="1">
        <v>0.40383668</v>
      </c>
      <c r="EK19" s="1">
        <v>3.047824E-2</v>
      </c>
      <c r="EX19" s="1">
        <v>8.9148852000000001E-2</v>
      </c>
      <c r="FE19" s="1">
        <v>0.12724665199999999</v>
      </c>
      <c r="FM19" s="1">
        <v>0.17220205599999999</v>
      </c>
    </row>
    <row r="20" spans="1:169" x14ac:dyDescent="0.2">
      <c r="A20" s="1" t="s">
        <v>1326</v>
      </c>
      <c r="B20" s="1" t="s">
        <v>55</v>
      </c>
      <c r="C20" s="1" t="s">
        <v>1311</v>
      </c>
      <c r="D20" s="1" t="s">
        <v>2</v>
      </c>
      <c r="E20" s="1">
        <v>11</v>
      </c>
      <c r="F20" s="1" t="s">
        <v>1312</v>
      </c>
      <c r="H20" s="1" t="s">
        <v>1327</v>
      </c>
      <c r="I20" s="1" t="s">
        <v>11</v>
      </c>
      <c r="J20" s="1" t="s">
        <v>1314</v>
      </c>
      <c r="K20" s="1" t="s">
        <v>1315</v>
      </c>
      <c r="L20" s="1" t="s">
        <v>1314</v>
      </c>
      <c r="M20" s="1" t="s">
        <v>1316</v>
      </c>
      <c r="N20" s="1" t="s">
        <v>1328</v>
      </c>
      <c r="P20" s="1" t="s">
        <v>1269</v>
      </c>
      <c r="Q20" s="1">
        <v>2010</v>
      </c>
      <c r="R20" s="1" t="s">
        <v>1318</v>
      </c>
      <c r="S20" s="1" t="s">
        <v>27</v>
      </c>
      <c r="T20" s="38">
        <v>1</v>
      </c>
      <c r="U20" s="1" t="s">
        <v>1329</v>
      </c>
      <c r="V20" s="1" t="s">
        <v>1332</v>
      </c>
      <c r="Y20" s="1">
        <v>1.88696639</v>
      </c>
      <c r="Z20" s="1">
        <v>3.5207853999999998</v>
      </c>
      <c r="AA20" s="1">
        <v>0.96821598499999995</v>
      </c>
      <c r="AD20" s="1">
        <v>0.91501257861635199</v>
      </c>
      <c r="AF20" s="1">
        <v>0.57831082499999997</v>
      </c>
      <c r="AG20" s="1">
        <v>0.39790694500000001</v>
      </c>
      <c r="AW20" s="1">
        <v>0.13021086500000001</v>
      </c>
      <c r="BA20" s="1">
        <v>1.4665089600000001</v>
      </c>
      <c r="BG20" s="1">
        <v>0.18040387999999999</v>
      </c>
      <c r="BI20" s="1">
        <v>0.10038603</v>
      </c>
      <c r="BK20" s="1">
        <v>7.419837E-2</v>
      </c>
      <c r="BP20" s="1">
        <v>2.5460225E-2</v>
      </c>
      <c r="BZ20" s="1">
        <v>0.66051097999999997</v>
      </c>
      <c r="CH20" s="1">
        <v>0.18258618500000001</v>
      </c>
      <c r="CK20" s="1">
        <v>2.4740064350000002</v>
      </c>
      <c r="CU20" s="1">
        <v>4.4373534999999999E-2</v>
      </c>
      <c r="DB20" s="1">
        <v>6.4741715000000005E-2</v>
      </c>
      <c r="DN20" s="1">
        <v>0.201499495</v>
      </c>
      <c r="DT20" s="1">
        <v>8.6564765000000002E-2</v>
      </c>
      <c r="EH20" s="1">
        <v>0.34480419000000001</v>
      </c>
      <c r="EK20" s="1">
        <v>4.2191230000000003E-2</v>
      </c>
      <c r="EX20" s="1">
        <v>6.6924020000000001E-2</v>
      </c>
      <c r="FE20" s="1">
        <v>9.6748854999999995E-2</v>
      </c>
      <c r="FM20" s="1">
        <v>0.136030345</v>
      </c>
    </row>
    <row r="21" spans="1:169" x14ac:dyDescent="0.2">
      <c r="A21" s="1" t="s">
        <v>1334</v>
      </c>
      <c r="B21" s="1" t="s">
        <v>55</v>
      </c>
      <c r="C21" s="1" t="s">
        <v>1311</v>
      </c>
      <c r="D21" s="1" t="s">
        <v>2</v>
      </c>
      <c r="E21" s="1">
        <v>11</v>
      </c>
      <c r="F21" s="1" t="s">
        <v>1312</v>
      </c>
      <c r="H21" s="1" t="s">
        <v>1335</v>
      </c>
      <c r="I21" s="1" t="s">
        <v>11</v>
      </c>
      <c r="J21" s="1" t="s">
        <v>1314</v>
      </c>
      <c r="K21" s="1" t="s">
        <v>1315</v>
      </c>
      <c r="L21" s="1" t="s">
        <v>1314</v>
      </c>
      <c r="M21" s="1" t="s">
        <v>1316</v>
      </c>
      <c r="N21" s="1" t="s">
        <v>1336</v>
      </c>
      <c r="P21" s="1" t="s">
        <v>1269</v>
      </c>
      <c r="Q21" s="1">
        <v>2010</v>
      </c>
      <c r="R21" s="1" t="s">
        <v>1318</v>
      </c>
      <c r="S21" s="1" t="s">
        <v>27</v>
      </c>
      <c r="T21" s="38">
        <v>1</v>
      </c>
      <c r="U21" s="1">
        <v>72.38</v>
      </c>
      <c r="V21" s="1">
        <v>5.73</v>
      </c>
      <c r="Y21" s="1">
        <v>1.328348877</v>
      </c>
      <c r="Z21" s="1">
        <v>2.6353650850000001</v>
      </c>
      <c r="AA21" s="1">
        <v>0.78514628099999995</v>
      </c>
      <c r="AD21" s="1">
        <v>0.90804363001745203</v>
      </c>
      <c r="AF21" s="1">
        <v>0.47868428000000002</v>
      </c>
      <c r="AG21" s="1">
        <v>0.30594169199999999</v>
      </c>
      <c r="AW21" s="1">
        <v>7.0241714999999996E-2</v>
      </c>
      <c r="BA21" s="1">
        <v>1.0562272699999999</v>
      </c>
      <c r="BG21" s="1">
        <v>0.122792924</v>
      </c>
      <c r="BI21" s="1">
        <v>6.8680788000000006E-2</v>
      </c>
      <c r="BK21" s="1">
        <v>3.8502865999999997E-2</v>
      </c>
      <c r="BP21" s="1">
        <v>1.4568652E-2</v>
      </c>
      <c r="BZ21" s="1">
        <v>0.45370944800000002</v>
      </c>
      <c r="CH21" s="1">
        <v>0.10041963700000001</v>
      </c>
      <c r="CK21" s="1">
        <v>1.959483694</v>
      </c>
      <c r="CU21" s="1">
        <v>3.0177921999999999E-2</v>
      </c>
      <c r="DB21" s="1">
        <v>4.6307501000000001E-2</v>
      </c>
      <c r="DN21" s="1">
        <v>0.13684126699999999</v>
      </c>
      <c r="DT21" s="1">
        <v>9.4175929000000005E-2</v>
      </c>
      <c r="EH21" s="1">
        <v>0.240382758</v>
      </c>
      <c r="EK21" s="1">
        <v>1.9251432999999998E-2</v>
      </c>
      <c r="EX21" s="1">
        <v>5.59332175E-2</v>
      </c>
      <c r="FE21" s="1">
        <v>9.4175929000000005E-2</v>
      </c>
      <c r="FM21" s="1">
        <v>0.143605284</v>
      </c>
    </row>
    <row r="22" spans="1:169" x14ac:dyDescent="0.2">
      <c r="A22" s="1" t="s">
        <v>1337</v>
      </c>
      <c r="B22" s="1" t="s">
        <v>55</v>
      </c>
      <c r="C22" s="1" t="s">
        <v>1338</v>
      </c>
      <c r="D22" s="1" t="s">
        <v>2</v>
      </c>
      <c r="E22" s="1">
        <v>13</v>
      </c>
      <c r="F22" s="1" t="s">
        <v>1339</v>
      </c>
      <c r="H22" s="1" t="s">
        <v>1340</v>
      </c>
      <c r="I22" s="1" t="s">
        <v>7</v>
      </c>
      <c r="J22" s="1" t="s">
        <v>1267</v>
      </c>
      <c r="K22" s="1" t="s">
        <v>1268</v>
      </c>
      <c r="L22" s="1" t="s">
        <v>1267</v>
      </c>
      <c r="O22" s="1">
        <v>1</v>
      </c>
      <c r="P22" s="1" t="s">
        <v>1269</v>
      </c>
      <c r="Q22" s="1">
        <v>2008</v>
      </c>
      <c r="R22" s="1" t="s">
        <v>1341</v>
      </c>
      <c r="S22" s="1" t="s">
        <v>27</v>
      </c>
      <c r="T22" s="38">
        <v>1</v>
      </c>
      <c r="U22" s="1">
        <v>83.57</v>
      </c>
      <c r="V22" s="1">
        <v>1.84</v>
      </c>
      <c r="Y22" s="1">
        <v>0.704554444</v>
      </c>
      <c r="Z22" s="1">
        <v>0.54576609600000003</v>
      </c>
      <c r="AA22" s="1">
        <v>0.24471345999999999</v>
      </c>
      <c r="AD22" s="1">
        <v>0.85528260869565198</v>
      </c>
      <c r="AF22" s="1">
        <v>6.9715795999999997E-2</v>
      </c>
      <c r="AG22" s="1">
        <v>0.17484029200000001</v>
      </c>
      <c r="AU22" s="1">
        <v>1.731092E-3</v>
      </c>
      <c r="AV22" s="1">
        <v>0</v>
      </c>
      <c r="AW22" s="1">
        <v>7.5066443999999996E-2</v>
      </c>
      <c r="AY22" s="1">
        <v>2.832696E-3</v>
      </c>
      <c r="BA22" s="1">
        <v>0.44363166799999998</v>
      </c>
      <c r="BD22" s="1">
        <v>2.6753240000000002E-3</v>
      </c>
      <c r="BG22" s="1">
        <v>0.175784524</v>
      </c>
      <c r="BI22" s="1">
        <v>2.3605800000000001E-3</v>
      </c>
      <c r="BJ22" s="1">
        <v>4.7211600000000002E-4</v>
      </c>
      <c r="BQ22" s="1">
        <v>4.7211600000000002E-4</v>
      </c>
      <c r="BZ22" s="1">
        <v>2.5809008000000001E-2</v>
      </c>
      <c r="CK22" s="1">
        <v>0.48801057199999998</v>
      </c>
      <c r="CM22" s="1">
        <v>1.4478224E-2</v>
      </c>
      <c r="CV22" s="1">
        <v>1.652406E-2</v>
      </c>
      <c r="DB22" s="1">
        <v>4.7211600000000002E-4</v>
      </c>
      <c r="DN22" s="1">
        <v>0.123851764</v>
      </c>
      <c r="DT22" s="1">
        <v>7.8685999999999999E-3</v>
      </c>
      <c r="ED22" s="1">
        <v>4.0916720000000002E-3</v>
      </c>
      <c r="EH22" s="1">
        <v>6.9243680000000002E-3</v>
      </c>
      <c r="ET22" s="1">
        <v>1.101604E-3</v>
      </c>
      <c r="EX22" s="1">
        <v>3.3205492000000003E-2</v>
      </c>
      <c r="EY22" s="1">
        <v>5.8227640000000002E-3</v>
      </c>
      <c r="FE22" s="1">
        <v>9.1275760000000001E-3</v>
      </c>
      <c r="FJ22" s="1">
        <v>1.0543924E-2</v>
      </c>
      <c r="FM22" s="1">
        <v>4.2018324000000003E-2</v>
      </c>
    </row>
    <row r="23" spans="1:169" x14ac:dyDescent="0.2">
      <c r="A23" s="1" t="s">
        <v>1342</v>
      </c>
      <c r="B23" s="1" t="s">
        <v>55</v>
      </c>
      <c r="C23" s="1" t="s">
        <v>1343</v>
      </c>
      <c r="D23" s="1" t="s">
        <v>2</v>
      </c>
      <c r="E23" s="1">
        <v>13</v>
      </c>
      <c r="F23" s="1" t="s">
        <v>1265</v>
      </c>
      <c r="G23" s="1" t="s">
        <v>1344</v>
      </c>
      <c r="H23" s="1" t="s">
        <v>1345</v>
      </c>
      <c r="I23" s="1" t="s">
        <v>7</v>
      </c>
      <c r="J23" s="1" t="s">
        <v>1267</v>
      </c>
      <c r="K23" s="1" t="s">
        <v>1268</v>
      </c>
      <c r="L23" s="1" t="s">
        <v>1267</v>
      </c>
      <c r="Q23" s="1">
        <v>2010</v>
      </c>
      <c r="R23" s="1" t="s">
        <v>1346</v>
      </c>
      <c r="S23" s="1" t="s">
        <v>27</v>
      </c>
      <c r="T23" s="38">
        <v>1</v>
      </c>
      <c r="U23" s="1">
        <v>82.3</v>
      </c>
      <c r="V23" s="1">
        <v>3.2</v>
      </c>
    </row>
    <row r="24" spans="1:169" x14ac:dyDescent="0.2">
      <c r="A24" s="1" t="s">
        <v>1347</v>
      </c>
      <c r="B24" s="1" t="s">
        <v>55</v>
      </c>
      <c r="C24" s="1" t="s">
        <v>1343</v>
      </c>
      <c r="D24" s="1" t="s">
        <v>2</v>
      </c>
      <c r="E24" s="1">
        <v>13</v>
      </c>
      <c r="F24" s="1" t="s">
        <v>1265</v>
      </c>
      <c r="G24" s="1" t="s">
        <v>1344</v>
      </c>
      <c r="H24" s="1" t="s">
        <v>1348</v>
      </c>
      <c r="I24" s="1" t="s">
        <v>7</v>
      </c>
      <c r="J24" s="1" t="s">
        <v>1267</v>
      </c>
      <c r="K24" s="1" t="s">
        <v>1268</v>
      </c>
      <c r="L24" s="1" t="s">
        <v>1267</v>
      </c>
      <c r="P24" s="1" t="s">
        <v>1269</v>
      </c>
      <c r="Q24" s="1">
        <v>2010</v>
      </c>
      <c r="R24" s="1" t="s">
        <v>1346</v>
      </c>
      <c r="S24" s="1" t="s">
        <v>27</v>
      </c>
      <c r="T24" s="38">
        <v>1</v>
      </c>
      <c r="U24" s="1">
        <v>82.7</v>
      </c>
      <c r="V24" s="1">
        <v>2.9</v>
      </c>
      <c r="Y24" s="1">
        <v>0.9763887</v>
      </c>
      <c r="Z24" s="1">
        <v>0.98920220000000003</v>
      </c>
      <c r="AA24" s="1">
        <v>0.61248530000000001</v>
      </c>
      <c r="AD24" s="1">
        <v>0.88368965517241405</v>
      </c>
      <c r="AF24" s="1">
        <v>9.9945300000000001E-2</v>
      </c>
      <c r="AG24" s="1">
        <v>0.51254</v>
      </c>
      <c r="AW24" s="1">
        <v>9.3026010000000006E-2</v>
      </c>
      <c r="AY24" s="1">
        <v>5.3816699999999999E-3</v>
      </c>
      <c r="BA24" s="1">
        <v>0.68962257000000005</v>
      </c>
      <c r="BD24" s="1">
        <v>2.2039220000000002E-2</v>
      </c>
      <c r="BG24" s="1">
        <v>0.16555042</v>
      </c>
      <c r="CA24" s="1">
        <v>1.9989059999999999E-2</v>
      </c>
      <c r="CL24" s="1">
        <v>2.9727320000000002E-2</v>
      </c>
      <c r="CQ24" s="1">
        <v>0.90488937000000003</v>
      </c>
      <c r="CT24" s="1">
        <v>3.510899E-2</v>
      </c>
      <c r="DN24" s="1">
        <v>0.45923584000000001</v>
      </c>
      <c r="EH24" s="1">
        <v>1.9220250000000001E-2</v>
      </c>
      <c r="EX24" s="1">
        <v>3.9721850000000003E-2</v>
      </c>
      <c r="FA24" s="1">
        <v>1.306977E-2</v>
      </c>
      <c r="FE24" s="1">
        <v>7.1755600000000001E-3</v>
      </c>
      <c r="FM24" s="1">
        <v>7.4318300000000004E-2</v>
      </c>
    </row>
    <row r="25" spans="1:169" x14ac:dyDescent="0.2">
      <c r="A25" s="1" t="s">
        <v>1349</v>
      </c>
      <c r="B25" s="1" t="s">
        <v>55</v>
      </c>
      <c r="C25" s="1" t="s">
        <v>1343</v>
      </c>
      <c r="D25" s="1" t="s">
        <v>2</v>
      </c>
      <c r="E25" s="1">
        <v>13</v>
      </c>
      <c r="F25" s="1" t="s">
        <v>1265</v>
      </c>
      <c r="G25" s="1" t="s">
        <v>1344</v>
      </c>
      <c r="H25" s="1" t="s">
        <v>1348</v>
      </c>
      <c r="I25" s="1" t="s">
        <v>7</v>
      </c>
      <c r="J25" s="1" t="s">
        <v>1267</v>
      </c>
      <c r="K25" s="1" t="s">
        <v>1268</v>
      </c>
      <c r="L25" s="1" t="s">
        <v>1267</v>
      </c>
      <c r="P25" s="1" t="s">
        <v>1269</v>
      </c>
      <c r="Q25" s="1">
        <v>2010</v>
      </c>
      <c r="R25" s="1" t="s">
        <v>1346</v>
      </c>
      <c r="S25" s="1" t="s">
        <v>27</v>
      </c>
      <c r="T25" s="38">
        <v>1</v>
      </c>
      <c r="U25" s="1">
        <v>82.2</v>
      </c>
      <c r="V25" s="1">
        <v>1.7</v>
      </c>
      <c r="Y25" s="1">
        <v>0.54260560000000002</v>
      </c>
      <c r="Z25" s="1">
        <v>0.55703659999999999</v>
      </c>
      <c r="AA25" s="1">
        <v>0.34345779999999998</v>
      </c>
      <c r="AD25" s="1">
        <v>0.84888235294117698</v>
      </c>
      <c r="AF25" s="1">
        <v>8.0813599999999999E-2</v>
      </c>
      <c r="AG25" s="1">
        <v>0.26264419999999999</v>
      </c>
      <c r="AW25" s="1">
        <v>4.5169029999999999E-2</v>
      </c>
      <c r="AY25" s="1">
        <v>3.0305100000000001E-3</v>
      </c>
      <c r="BA25" s="1">
        <v>0.38213288000000001</v>
      </c>
      <c r="BD25" s="1">
        <v>3.8963700000000001E-3</v>
      </c>
      <c r="BG25" s="1">
        <v>0.10779957</v>
      </c>
      <c r="CA25" s="1">
        <v>1.342083E-2</v>
      </c>
      <c r="CL25" s="1">
        <v>1.8471680000000001E-2</v>
      </c>
      <c r="CQ25" s="1">
        <v>0.50335328000000001</v>
      </c>
      <c r="CT25" s="1">
        <v>2.2223739999999999E-2</v>
      </c>
      <c r="DN25" s="1">
        <v>0.22050568000000001</v>
      </c>
      <c r="EH25" s="1">
        <v>8.6586000000000007E-3</v>
      </c>
      <c r="EX25" s="1">
        <v>3.2181130000000002E-2</v>
      </c>
      <c r="FA25" s="1">
        <v>1.039032E-2</v>
      </c>
      <c r="FE25" s="1">
        <v>5.7723999999999996E-3</v>
      </c>
      <c r="FM25" s="1">
        <v>6.6238290000000005E-2</v>
      </c>
    </row>
    <row r="26" spans="1:169" x14ac:dyDescent="0.2">
      <c r="A26" s="1" t="s">
        <v>1350</v>
      </c>
      <c r="B26" s="1" t="s">
        <v>55</v>
      </c>
      <c r="C26" s="1" t="s">
        <v>1343</v>
      </c>
      <c r="D26" s="1" t="s">
        <v>2</v>
      </c>
      <c r="E26" s="1">
        <v>13</v>
      </c>
      <c r="F26" s="1" t="s">
        <v>1265</v>
      </c>
      <c r="G26" s="1" t="s">
        <v>1344</v>
      </c>
      <c r="H26" s="1" t="s">
        <v>1351</v>
      </c>
      <c r="I26" s="1" t="s">
        <v>7</v>
      </c>
      <c r="J26" s="1" t="s">
        <v>1267</v>
      </c>
      <c r="K26" s="1" t="s">
        <v>1268</v>
      </c>
      <c r="L26" s="1" t="s">
        <v>1267</v>
      </c>
      <c r="Q26" s="1">
        <v>2010</v>
      </c>
      <c r="R26" s="1" t="s">
        <v>1346</v>
      </c>
      <c r="S26" s="1" t="s">
        <v>27</v>
      </c>
      <c r="T26" s="38">
        <v>1</v>
      </c>
      <c r="U26" s="1">
        <v>83.3</v>
      </c>
      <c r="V26" s="1">
        <v>1.8</v>
      </c>
    </row>
    <row r="27" spans="1:169" x14ac:dyDescent="0.2">
      <c r="A27" s="1" t="s">
        <v>1352</v>
      </c>
      <c r="B27" s="1" t="s">
        <v>55</v>
      </c>
      <c r="C27" s="1" t="s">
        <v>1343</v>
      </c>
      <c r="D27" s="1" t="s">
        <v>2</v>
      </c>
      <c r="E27" s="1">
        <v>13</v>
      </c>
      <c r="F27" s="1" t="s">
        <v>1265</v>
      </c>
      <c r="G27" s="1" t="s">
        <v>1344</v>
      </c>
      <c r="H27" s="1" t="s">
        <v>1348</v>
      </c>
      <c r="I27" s="1" t="s">
        <v>7</v>
      </c>
      <c r="J27" s="1" t="s">
        <v>1267</v>
      </c>
      <c r="K27" s="1" t="s">
        <v>1268</v>
      </c>
      <c r="L27" s="1" t="s">
        <v>1267</v>
      </c>
      <c r="Q27" s="1">
        <v>2010</v>
      </c>
      <c r="R27" s="1" t="s">
        <v>1346</v>
      </c>
      <c r="S27" s="1" t="s">
        <v>27</v>
      </c>
      <c r="T27" s="38">
        <v>1</v>
      </c>
      <c r="U27" s="1">
        <v>83.3</v>
      </c>
      <c r="V27" s="1">
        <v>2</v>
      </c>
    </row>
    <row r="28" spans="1:169" x14ac:dyDescent="0.2">
      <c r="A28" s="1" t="s">
        <v>1353</v>
      </c>
      <c r="B28" s="1" t="s">
        <v>55</v>
      </c>
      <c r="C28" s="1" t="s">
        <v>1343</v>
      </c>
      <c r="D28" s="1" t="s">
        <v>2</v>
      </c>
      <c r="E28" s="1">
        <v>13</v>
      </c>
      <c r="F28" s="1" t="s">
        <v>1265</v>
      </c>
      <c r="G28" s="1" t="s">
        <v>1344</v>
      </c>
      <c r="H28" s="1" t="s">
        <v>1348</v>
      </c>
      <c r="I28" s="1" t="s">
        <v>7</v>
      </c>
      <c r="J28" s="1" t="s">
        <v>1267</v>
      </c>
      <c r="K28" s="1" t="s">
        <v>1268</v>
      </c>
      <c r="L28" s="1" t="s">
        <v>1267</v>
      </c>
      <c r="Q28" s="1">
        <v>2010</v>
      </c>
      <c r="R28" s="1" t="s">
        <v>1346</v>
      </c>
      <c r="S28" s="1" t="s">
        <v>27</v>
      </c>
      <c r="T28" s="38">
        <v>1</v>
      </c>
      <c r="U28" s="1">
        <v>82.1</v>
      </c>
      <c r="V28" s="1">
        <v>1.4</v>
      </c>
    </row>
    <row r="29" spans="1:169" x14ac:dyDescent="0.2">
      <c r="A29" s="1" t="s">
        <v>1354</v>
      </c>
      <c r="B29" s="1" t="s">
        <v>55</v>
      </c>
      <c r="C29" s="1" t="s">
        <v>1343</v>
      </c>
      <c r="D29" s="1" t="s">
        <v>2</v>
      </c>
      <c r="E29" s="1">
        <v>13</v>
      </c>
      <c r="F29" s="1" t="s">
        <v>1265</v>
      </c>
      <c r="G29" s="1" t="s">
        <v>1344</v>
      </c>
      <c r="H29" s="1" t="s">
        <v>1355</v>
      </c>
      <c r="I29" s="1" t="s">
        <v>7</v>
      </c>
      <c r="J29" s="1" t="s">
        <v>1267</v>
      </c>
      <c r="K29" s="1" t="s">
        <v>1268</v>
      </c>
      <c r="L29" s="1" t="s">
        <v>1267</v>
      </c>
      <c r="P29" s="1" t="s">
        <v>1269</v>
      </c>
      <c r="Q29" s="1">
        <v>2010</v>
      </c>
      <c r="R29" s="1" t="s">
        <v>1346</v>
      </c>
      <c r="S29" s="1" t="s">
        <v>27</v>
      </c>
      <c r="T29" s="38">
        <v>1</v>
      </c>
      <c r="U29" s="1">
        <v>79.900000000000006</v>
      </c>
      <c r="V29" s="1">
        <v>1.9</v>
      </c>
      <c r="Y29" s="1">
        <v>0.62417509999999998</v>
      </c>
      <c r="Z29" s="1">
        <v>0.60624840000000002</v>
      </c>
      <c r="AA29" s="1">
        <v>0.3943874</v>
      </c>
      <c r="AD29" s="1">
        <v>0.85773684210526302</v>
      </c>
      <c r="AF29" s="1">
        <v>9.4522599999999998E-2</v>
      </c>
      <c r="AG29" s="1">
        <v>0.29986479999999999</v>
      </c>
      <c r="AW29" s="1">
        <v>5.4269009999999999E-2</v>
      </c>
      <c r="AY29" s="1">
        <v>4.0742499999999997E-3</v>
      </c>
      <c r="BA29" s="1">
        <v>0.44034494000000002</v>
      </c>
      <c r="BD29" s="1">
        <v>5.7039500000000002E-3</v>
      </c>
      <c r="BG29" s="1">
        <v>0.12027185999999999</v>
      </c>
      <c r="CA29" s="1">
        <v>1.548215E-2</v>
      </c>
      <c r="CL29" s="1">
        <v>2.004531E-2</v>
      </c>
      <c r="CQ29" s="1">
        <v>0.55360909000000003</v>
      </c>
      <c r="CT29" s="1">
        <v>1.6459970000000001E-2</v>
      </c>
      <c r="DN29" s="1">
        <v>0.26091497000000002</v>
      </c>
      <c r="EH29" s="1">
        <v>1.939343E-2</v>
      </c>
      <c r="EX29" s="1">
        <v>3.0149450000000001E-2</v>
      </c>
      <c r="FA29" s="1">
        <v>8.6374099999999999E-3</v>
      </c>
      <c r="FE29" s="1">
        <v>5.54098E-3</v>
      </c>
      <c r="FM29" s="1">
        <v>7.0077100000000003E-2</v>
      </c>
    </row>
    <row r="30" spans="1:169" x14ac:dyDescent="0.2">
      <c r="A30" s="1" t="s">
        <v>1356</v>
      </c>
      <c r="B30" s="1" t="s">
        <v>55</v>
      </c>
      <c r="C30" s="1" t="s">
        <v>1343</v>
      </c>
      <c r="D30" s="1" t="s">
        <v>2</v>
      </c>
      <c r="E30" s="1">
        <v>13</v>
      </c>
      <c r="F30" s="1" t="s">
        <v>1265</v>
      </c>
      <c r="G30" s="1" t="s">
        <v>1344</v>
      </c>
      <c r="H30" s="1" t="s">
        <v>1355</v>
      </c>
      <c r="I30" s="1" t="s">
        <v>7</v>
      </c>
      <c r="J30" s="1" t="s">
        <v>1267</v>
      </c>
      <c r="K30" s="1" t="s">
        <v>1268</v>
      </c>
      <c r="L30" s="1" t="s">
        <v>1267</v>
      </c>
      <c r="Q30" s="1">
        <v>2010</v>
      </c>
      <c r="R30" s="1" t="s">
        <v>1346</v>
      </c>
      <c r="S30" s="1" t="s">
        <v>27</v>
      </c>
      <c r="T30" s="38">
        <v>1</v>
      </c>
      <c r="U30" s="1">
        <v>80</v>
      </c>
      <c r="V30" s="1">
        <v>1.8</v>
      </c>
    </row>
    <row r="31" spans="1:169" x14ac:dyDescent="0.2">
      <c r="A31" s="1" t="s">
        <v>1357</v>
      </c>
      <c r="B31" s="1" t="s">
        <v>55</v>
      </c>
      <c r="C31" s="1" t="s">
        <v>1343</v>
      </c>
      <c r="D31" s="1" t="s">
        <v>2</v>
      </c>
      <c r="E31" s="1">
        <v>13</v>
      </c>
      <c r="F31" s="1" t="s">
        <v>1265</v>
      </c>
      <c r="G31" s="1" t="s">
        <v>1344</v>
      </c>
      <c r="H31" s="1" t="s">
        <v>1355</v>
      </c>
      <c r="I31" s="1" t="s">
        <v>7</v>
      </c>
      <c r="J31" s="1" t="s">
        <v>1267</v>
      </c>
      <c r="K31" s="1" t="s">
        <v>1268</v>
      </c>
      <c r="L31" s="1" t="s">
        <v>1267</v>
      </c>
      <c r="Q31" s="1">
        <v>2010</v>
      </c>
      <c r="R31" s="1" t="s">
        <v>1346</v>
      </c>
      <c r="S31" s="1" t="s">
        <v>27</v>
      </c>
      <c r="T31" s="38">
        <v>1</v>
      </c>
      <c r="U31" s="1">
        <v>80.400000000000006</v>
      </c>
      <c r="V31" s="1">
        <v>2.2999999999999998</v>
      </c>
    </row>
    <row r="32" spans="1:169" x14ac:dyDescent="0.2">
      <c r="A32" s="1" t="s">
        <v>1358</v>
      </c>
      <c r="B32" s="1" t="s">
        <v>55</v>
      </c>
      <c r="C32" s="1" t="s">
        <v>236</v>
      </c>
      <c r="D32" s="1" t="s">
        <v>2</v>
      </c>
      <c r="E32" s="1">
        <v>13</v>
      </c>
      <c r="F32" s="1" t="s">
        <v>1359</v>
      </c>
      <c r="H32" s="1" t="s">
        <v>1360</v>
      </c>
      <c r="I32" s="1" t="s">
        <v>7</v>
      </c>
      <c r="J32" s="1" t="s">
        <v>1361</v>
      </c>
      <c r="K32" s="1" t="s">
        <v>1362</v>
      </c>
      <c r="L32" s="1" t="s">
        <v>1361</v>
      </c>
      <c r="N32" s="1" t="s">
        <v>1363</v>
      </c>
      <c r="Q32" s="1">
        <v>1998</v>
      </c>
      <c r="R32" s="1" t="s">
        <v>1364</v>
      </c>
      <c r="S32" s="1" t="s">
        <v>27</v>
      </c>
      <c r="T32" s="38">
        <v>1</v>
      </c>
      <c r="U32" s="1">
        <v>78.8</v>
      </c>
      <c r="W32" s="1">
        <v>5.3</v>
      </c>
    </row>
    <row r="33" spans="1:169" x14ac:dyDescent="0.2">
      <c r="A33" s="1" t="s">
        <v>1365</v>
      </c>
      <c r="B33" s="1" t="s">
        <v>55</v>
      </c>
      <c r="C33" s="1" t="s">
        <v>236</v>
      </c>
      <c r="D33" s="1" t="s">
        <v>2</v>
      </c>
      <c r="E33" s="1">
        <v>13</v>
      </c>
      <c r="F33" s="1" t="s">
        <v>1359</v>
      </c>
      <c r="H33" s="1" t="s">
        <v>1360</v>
      </c>
      <c r="I33" s="1" t="s">
        <v>7</v>
      </c>
      <c r="J33" s="1" t="s">
        <v>1361</v>
      </c>
      <c r="K33" s="1" t="s">
        <v>1362</v>
      </c>
      <c r="L33" s="1" t="s">
        <v>1361</v>
      </c>
      <c r="N33" s="1" t="s">
        <v>1363</v>
      </c>
      <c r="Q33" s="1">
        <v>1998</v>
      </c>
      <c r="R33" s="1" t="s">
        <v>1364</v>
      </c>
      <c r="S33" s="1" t="s">
        <v>27</v>
      </c>
      <c r="T33" s="38">
        <v>1</v>
      </c>
      <c r="U33" s="1">
        <v>78.3</v>
      </c>
      <c r="W33" s="1">
        <v>5.7</v>
      </c>
    </row>
    <row r="34" spans="1:169" x14ac:dyDescent="0.2">
      <c r="A34" s="1" t="s">
        <v>1366</v>
      </c>
      <c r="B34" s="1" t="s">
        <v>55</v>
      </c>
      <c r="C34" s="1" t="s">
        <v>236</v>
      </c>
      <c r="D34" s="1" t="s">
        <v>2</v>
      </c>
      <c r="E34" s="1">
        <v>13</v>
      </c>
      <c r="F34" s="1" t="s">
        <v>1359</v>
      </c>
      <c r="H34" s="1" t="s">
        <v>1360</v>
      </c>
      <c r="I34" s="1" t="s">
        <v>7</v>
      </c>
      <c r="J34" s="1" t="s">
        <v>1361</v>
      </c>
      <c r="K34" s="1" t="s">
        <v>1362</v>
      </c>
      <c r="L34" s="1" t="s">
        <v>1361</v>
      </c>
      <c r="N34" s="1" t="s">
        <v>1363</v>
      </c>
      <c r="Q34" s="1">
        <v>1998</v>
      </c>
      <c r="R34" s="1" t="s">
        <v>1364</v>
      </c>
      <c r="S34" s="1" t="s">
        <v>27</v>
      </c>
      <c r="T34" s="38">
        <v>1</v>
      </c>
      <c r="U34" s="1">
        <v>78.099999999999994</v>
      </c>
      <c r="W34" s="1">
        <v>5.6</v>
      </c>
    </row>
    <row r="35" spans="1:169" x14ac:dyDescent="0.2">
      <c r="A35" s="1" t="s">
        <v>1367</v>
      </c>
      <c r="B35" s="1" t="s">
        <v>55</v>
      </c>
      <c r="C35" s="1" t="s">
        <v>236</v>
      </c>
      <c r="D35" s="1" t="s">
        <v>2</v>
      </c>
      <c r="E35" s="1">
        <v>13</v>
      </c>
      <c r="F35" s="1" t="s">
        <v>1359</v>
      </c>
      <c r="H35" s="1" t="s">
        <v>1368</v>
      </c>
      <c r="I35" s="1" t="s">
        <v>11</v>
      </c>
      <c r="J35" s="1" t="s">
        <v>1361</v>
      </c>
      <c r="K35" s="1" t="s">
        <v>1362</v>
      </c>
      <c r="L35" s="1" t="s">
        <v>1361</v>
      </c>
      <c r="N35" s="1" t="s">
        <v>1369</v>
      </c>
      <c r="Q35" s="1">
        <v>1998</v>
      </c>
      <c r="R35" s="1" t="s">
        <v>1364</v>
      </c>
      <c r="S35" s="1" t="s">
        <v>27</v>
      </c>
      <c r="T35" s="38">
        <v>1</v>
      </c>
      <c r="U35" s="1">
        <v>76.3</v>
      </c>
      <c r="W35" s="1">
        <v>4.5999999999999996</v>
      </c>
    </row>
    <row r="36" spans="1:169" x14ac:dyDescent="0.2">
      <c r="A36" s="1" t="s">
        <v>1370</v>
      </c>
      <c r="B36" s="1" t="s">
        <v>55</v>
      </c>
      <c r="C36" s="1" t="s">
        <v>236</v>
      </c>
      <c r="D36" s="1" t="s">
        <v>2</v>
      </c>
      <c r="E36" s="1">
        <v>13</v>
      </c>
      <c r="F36" s="1" t="s">
        <v>1359</v>
      </c>
      <c r="H36" s="1" t="s">
        <v>1371</v>
      </c>
      <c r="I36" s="1" t="s">
        <v>11</v>
      </c>
      <c r="J36" s="1" t="s">
        <v>1361</v>
      </c>
      <c r="K36" s="1" t="s">
        <v>1362</v>
      </c>
      <c r="L36" s="1" t="s">
        <v>1361</v>
      </c>
      <c r="N36" s="1" t="s">
        <v>1363</v>
      </c>
      <c r="Q36" s="1">
        <v>1998</v>
      </c>
      <c r="R36" s="1" t="s">
        <v>1364</v>
      </c>
      <c r="S36" s="1" t="s">
        <v>27</v>
      </c>
      <c r="T36" s="38">
        <v>1</v>
      </c>
      <c r="U36" s="1">
        <v>75.099999999999994</v>
      </c>
      <c r="W36" s="1">
        <v>4.9000000000000004</v>
      </c>
    </row>
    <row r="37" spans="1:169" x14ac:dyDescent="0.2">
      <c r="A37" s="1" t="s">
        <v>1372</v>
      </c>
      <c r="B37" s="1" t="s">
        <v>55</v>
      </c>
      <c r="C37" s="1" t="s">
        <v>236</v>
      </c>
      <c r="D37" s="1" t="s">
        <v>2</v>
      </c>
      <c r="E37" s="1">
        <v>12</v>
      </c>
      <c r="F37" s="1" t="s">
        <v>1373</v>
      </c>
      <c r="H37" s="1" t="s">
        <v>1374</v>
      </c>
      <c r="I37" s="1" t="s">
        <v>7</v>
      </c>
      <c r="J37" s="1" t="s">
        <v>1375</v>
      </c>
      <c r="K37" s="1" t="s">
        <v>1376</v>
      </c>
      <c r="L37" s="1" t="s">
        <v>1375</v>
      </c>
      <c r="N37" s="1" t="s">
        <v>1377</v>
      </c>
      <c r="P37" s="1" t="s">
        <v>1269</v>
      </c>
      <c r="Q37" s="1">
        <v>2007</v>
      </c>
      <c r="R37" s="1" t="s">
        <v>1378</v>
      </c>
      <c r="S37" s="1" t="s">
        <v>27</v>
      </c>
      <c r="T37" s="38">
        <v>1</v>
      </c>
      <c r="U37" s="1">
        <v>76.3</v>
      </c>
      <c r="W37" s="1">
        <v>0.97</v>
      </c>
      <c r="AD37" s="1">
        <v>0.785577319587629</v>
      </c>
      <c r="AW37" s="1">
        <v>7.3914969999999997E-2</v>
      </c>
      <c r="BA37" s="1">
        <v>0.20040863</v>
      </c>
      <c r="BG37" s="1">
        <v>5.3721705000000002E-2</v>
      </c>
      <c r="BI37" s="1">
        <v>4.4196579999999999E-3</v>
      </c>
      <c r="BZ37" s="1">
        <v>2.8575375E-2</v>
      </c>
      <c r="CK37" s="1">
        <v>0.20955275000000001</v>
      </c>
      <c r="CV37" s="1">
        <v>5.2578690000000001E-3</v>
      </c>
      <c r="DN37" s="1">
        <v>0.10820542</v>
      </c>
      <c r="ED37" s="1">
        <v>1.0134733E-2</v>
      </c>
      <c r="EX37" s="1">
        <v>5.7912759999999997E-3</v>
      </c>
      <c r="FE37" s="1">
        <v>1.8516843000000002E-2</v>
      </c>
      <c r="FM37" s="1">
        <v>3.3909445000000003E-2</v>
      </c>
    </row>
    <row r="38" spans="1:169" x14ac:dyDescent="0.2">
      <c r="A38" s="1" t="s">
        <v>1379</v>
      </c>
      <c r="B38" s="1" t="s">
        <v>55</v>
      </c>
      <c r="C38" s="1" t="s">
        <v>1380</v>
      </c>
      <c r="E38" s="1">
        <v>13</v>
      </c>
      <c r="F38" s="1" t="s">
        <v>1381</v>
      </c>
      <c r="G38" s="1" t="s">
        <v>1382</v>
      </c>
      <c r="H38" s="1" t="s">
        <v>1383</v>
      </c>
      <c r="I38" s="1" t="s">
        <v>7</v>
      </c>
      <c r="J38" s="1" t="s">
        <v>1384</v>
      </c>
      <c r="K38" s="1" t="s">
        <v>1385</v>
      </c>
      <c r="L38" s="1" t="s">
        <v>1384</v>
      </c>
      <c r="P38" s="1" t="s">
        <v>1386</v>
      </c>
      <c r="Q38" s="1">
        <v>1995</v>
      </c>
      <c r="R38" s="1" t="s">
        <v>1387</v>
      </c>
      <c r="S38" s="1" t="s">
        <v>27</v>
      </c>
      <c r="T38" s="38">
        <v>1</v>
      </c>
      <c r="V38" s="1">
        <v>19.75</v>
      </c>
      <c r="Y38" s="1">
        <v>7.8003287639833703</v>
      </c>
      <c r="AA38" s="1">
        <v>2.4349941169273901</v>
      </c>
      <c r="AB38" s="1">
        <v>1.08882135387721</v>
      </c>
      <c r="AD38" s="1">
        <v>0.92575949367088595</v>
      </c>
      <c r="AF38" s="1">
        <v>1.9202109389836299</v>
      </c>
      <c r="AW38" s="1">
        <v>0.38963902165374298</v>
      </c>
      <c r="BA38" s="1">
        <v>5.5279980396337898</v>
      </c>
      <c r="BG38" s="1">
        <v>1.8826917026958301</v>
      </c>
      <c r="BZ38" s="1">
        <v>1.8631850729836199</v>
      </c>
      <c r="CK38" s="1">
        <v>5.0964206922284099</v>
      </c>
      <c r="DN38" s="1">
        <v>0.51478317794376505</v>
      </c>
      <c r="EH38" s="1">
        <v>0.44867883850745699</v>
      </c>
      <c r="EL38" s="1">
        <v>0.50399962143467703</v>
      </c>
      <c r="FE38" s="1">
        <v>0.28494442702907802</v>
      </c>
      <c r="FM38" s="1">
        <v>0.68258805201241202</v>
      </c>
    </row>
    <row r="39" spans="1:169" x14ac:dyDescent="0.2">
      <c r="A39" s="1" t="s">
        <v>1388</v>
      </c>
      <c r="B39" s="1" t="s">
        <v>55</v>
      </c>
      <c r="C39" s="1" t="s">
        <v>1380</v>
      </c>
      <c r="E39" s="1">
        <v>11</v>
      </c>
      <c r="F39" s="1" t="s">
        <v>1389</v>
      </c>
      <c r="G39" s="1" t="s">
        <v>1390</v>
      </c>
      <c r="H39" s="1" t="s">
        <v>1391</v>
      </c>
      <c r="I39" s="1" t="s">
        <v>7</v>
      </c>
      <c r="J39" s="1" t="s">
        <v>1392</v>
      </c>
      <c r="K39" s="1" t="s">
        <v>1393</v>
      </c>
      <c r="L39" s="1" t="s">
        <v>1392</v>
      </c>
      <c r="P39" s="1" t="s">
        <v>1386</v>
      </c>
      <c r="Q39" s="1">
        <v>1995</v>
      </c>
      <c r="R39" s="1" t="s">
        <v>1387</v>
      </c>
      <c r="S39" s="1" t="s">
        <v>27</v>
      </c>
      <c r="T39" s="38">
        <v>1</v>
      </c>
      <c r="V39" s="1">
        <v>1.19</v>
      </c>
      <c r="Y39" s="1">
        <v>0.25379851721706997</v>
      </c>
      <c r="AA39" s="1">
        <v>0.19352442647214699</v>
      </c>
      <c r="AB39" s="1">
        <v>5.1590289529099699E-2</v>
      </c>
      <c r="AD39" s="1">
        <v>0.81283193277310894</v>
      </c>
      <c r="AF39" s="1">
        <v>3.4947303081315197E-2</v>
      </c>
      <c r="BA39" s="1">
        <v>0.16704919184616099</v>
      </c>
      <c r="BG39" s="1">
        <v>5.5710939442381799E-2</v>
      </c>
      <c r="BI39" s="1">
        <v>3.1038385928527101E-2</v>
      </c>
      <c r="BZ39" s="1">
        <v>6.3497172560249504E-2</v>
      </c>
      <c r="CK39" s="1">
        <v>0.40485959422143403</v>
      </c>
      <c r="DN39" s="1">
        <v>0.14087855625642601</v>
      </c>
      <c r="DT39" s="1">
        <v>1.7698567134405398E-2</v>
      </c>
      <c r="EH39" s="1">
        <v>2.09067788806916E-2</v>
      </c>
      <c r="FM39" s="1">
        <v>1.40405242006236E-2</v>
      </c>
    </row>
    <row r="40" spans="1:169" x14ac:dyDescent="0.2">
      <c r="A40" s="1" t="s">
        <v>1394</v>
      </c>
      <c r="B40" s="1" t="s">
        <v>55</v>
      </c>
      <c r="C40" s="1" t="s">
        <v>1380</v>
      </c>
      <c r="E40" s="1">
        <v>13</v>
      </c>
      <c r="G40" s="1" t="s">
        <v>1395</v>
      </c>
      <c r="H40" s="1" t="s">
        <v>1396</v>
      </c>
      <c r="I40" s="1" t="s">
        <v>7</v>
      </c>
      <c r="J40" s="1" t="s">
        <v>1397</v>
      </c>
      <c r="L40" s="1" t="s">
        <v>1398</v>
      </c>
      <c r="P40" s="1" t="s">
        <v>1386</v>
      </c>
      <c r="Q40" s="1">
        <v>1995</v>
      </c>
      <c r="R40" s="1" t="s">
        <v>1387</v>
      </c>
      <c r="S40" s="1" t="s">
        <v>27</v>
      </c>
      <c r="T40" s="38">
        <v>1</v>
      </c>
      <c r="V40" s="1">
        <v>0.7</v>
      </c>
      <c r="Y40" s="1">
        <v>0.185520277662266</v>
      </c>
      <c r="AA40" s="1">
        <v>9.5246141857895802E-2</v>
      </c>
      <c r="AB40" s="1">
        <v>8.0512829131896793E-2</v>
      </c>
      <c r="AD40" s="1">
        <v>0.72871428571428598</v>
      </c>
      <c r="AF40" s="1">
        <v>2.20095979917782E-2</v>
      </c>
      <c r="AW40" s="1">
        <v>5.3547750681660101E-3</v>
      </c>
      <c r="BA40" s="1">
        <v>9.2068650475685507E-2</v>
      </c>
      <c r="BG40" s="1">
        <v>5.16109106298865E-2</v>
      </c>
      <c r="BI40" s="1">
        <v>3.6485941488528503E-2</v>
      </c>
      <c r="BZ40" s="1">
        <v>2.6272840335772599E-2</v>
      </c>
      <c r="CK40" s="1">
        <v>0.122547911012168</v>
      </c>
      <c r="DN40" s="1">
        <v>1.23579028226239E-2</v>
      </c>
      <c r="DT40" s="1">
        <v>6.0878641043493699E-2</v>
      </c>
      <c r="FM40" s="1">
        <v>2.20095979917782E-2</v>
      </c>
    </row>
    <row r="41" spans="1:169" x14ac:dyDescent="0.2">
      <c r="A41" s="1" t="s">
        <v>1399</v>
      </c>
      <c r="B41" s="1" t="s">
        <v>55</v>
      </c>
      <c r="C41" s="1" t="s">
        <v>1380</v>
      </c>
      <c r="E41" s="1">
        <v>13</v>
      </c>
      <c r="F41" s="1" t="s">
        <v>1400</v>
      </c>
      <c r="G41" s="1" t="s">
        <v>1401</v>
      </c>
      <c r="H41" s="1" t="s">
        <v>1402</v>
      </c>
      <c r="I41" s="1" t="s">
        <v>7</v>
      </c>
      <c r="J41" s="1" t="s">
        <v>1403</v>
      </c>
      <c r="K41" s="1" t="s">
        <v>1404</v>
      </c>
      <c r="L41" s="1" t="s">
        <v>1403</v>
      </c>
      <c r="P41" s="1" t="s">
        <v>1386</v>
      </c>
      <c r="Q41" s="1">
        <v>1995</v>
      </c>
      <c r="R41" s="1" t="s">
        <v>1387</v>
      </c>
      <c r="S41" s="1" t="s">
        <v>27</v>
      </c>
      <c r="T41" s="38">
        <v>1</v>
      </c>
      <c r="V41" s="1">
        <v>3.18</v>
      </c>
      <c r="Y41" s="1">
        <v>1.0455276307038901</v>
      </c>
      <c r="AA41" s="1">
        <v>0.76984473618262395</v>
      </c>
      <c r="AB41" s="1">
        <v>0.16795751413801999</v>
      </c>
      <c r="AD41" s="1">
        <v>0.88803144654088095</v>
      </c>
      <c r="AF41" s="1">
        <v>0.52116321948263</v>
      </c>
      <c r="BA41" s="1">
        <v>0.75397951500104898</v>
      </c>
      <c r="BG41" s="1">
        <v>0.29154811570284</v>
      </c>
      <c r="BZ41" s="1">
        <v>0.12823682346127299</v>
      </c>
      <c r="CK41" s="1">
        <v>0.71237329551419504</v>
      </c>
      <c r="DN41" s="1">
        <v>0.248681516699993</v>
      </c>
      <c r="EH41" s="1">
        <v>4.0679424783665499E-2</v>
      </c>
      <c r="EL41" s="1">
        <v>0.15322026736401101</v>
      </c>
      <c r="FM41" s="1">
        <v>0.32726352733495401</v>
      </c>
    </row>
    <row r="42" spans="1:169" x14ac:dyDescent="0.2">
      <c r="A42" s="1" t="s">
        <v>1405</v>
      </c>
      <c r="B42" s="1" t="s">
        <v>55</v>
      </c>
      <c r="C42" s="1" t="s">
        <v>1380</v>
      </c>
      <c r="E42" s="1">
        <v>33</v>
      </c>
      <c r="F42" s="1" t="s">
        <v>1406</v>
      </c>
      <c r="G42" s="1" t="s">
        <v>1407</v>
      </c>
      <c r="H42" s="1" t="s">
        <v>1408</v>
      </c>
      <c r="I42" s="1" t="s">
        <v>7</v>
      </c>
      <c r="J42" s="1" t="s">
        <v>1409</v>
      </c>
      <c r="K42" s="1" t="s">
        <v>1410</v>
      </c>
      <c r="L42" s="1" t="s">
        <v>1409</v>
      </c>
      <c r="P42" s="1" t="s">
        <v>1386</v>
      </c>
      <c r="Q42" s="1">
        <v>1995</v>
      </c>
      <c r="R42" s="1" t="s">
        <v>1387</v>
      </c>
      <c r="S42" s="1" t="s">
        <v>27</v>
      </c>
      <c r="T42" s="38">
        <v>1</v>
      </c>
      <c r="V42" s="1">
        <v>0.69</v>
      </c>
      <c r="Y42" s="1">
        <v>0.193904175532123</v>
      </c>
      <c r="AA42" s="1">
        <v>0.13741522192809</v>
      </c>
      <c r="AB42" s="1">
        <v>7.2413724958178702E-2</v>
      </c>
      <c r="AD42" s="1">
        <v>0.72575362318840597</v>
      </c>
      <c r="AF42" s="1">
        <v>0.11096738013698</v>
      </c>
      <c r="AW42" s="1">
        <v>1.81111044954353E-2</v>
      </c>
      <c r="BA42" s="1">
        <v>0.123091185713291</v>
      </c>
      <c r="BG42" s="1">
        <v>5.27018853233963E-2</v>
      </c>
      <c r="BZ42" s="1">
        <v>4.8617446484649302E-2</v>
      </c>
      <c r="CK42" s="1">
        <v>4.8419431096958801E-2</v>
      </c>
      <c r="DT42" s="1">
        <v>2.6447841791110299E-2</v>
      </c>
      <c r="FE42" s="1">
        <v>5.87391168920154E-2</v>
      </c>
      <c r="FM42" s="1">
        <v>5.2228263244964802E-2</v>
      </c>
    </row>
    <row r="43" spans="1:169" x14ac:dyDescent="0.2">
      <c r="A43" s="1" t="s">
        <v>1411</v>
      </c>
      <c r="B43" s="1" t="s">
        <v>55</v>
      </c>
      <c r="C43" s="1" t="s">
        <v>1380</v>
      </c>
      <c r="E43" s="1">
        <v>13</v>
      </c>
      <c r="F43" s="1" t="s">
        <v>1412</v>
      </c>
      <c r="G43" s="1" t="s">
        <v>1413</v>
      </c>
      <c r="H43" s="1" t="s">
        <v>1414</v>
      </c>
      <c r="I43" s="1" t="s">
        <v>7</v>
      </c>
      <c r="J43" s="1" t="s">
        <v>1415</v>
      </c>
      <c r="K43" s="1" t="s">
        <v>1416</v>
      </c>
      <c r="L43" s="1" t="s">
        <v>1415</v>
      </c>
      <c r="P43" s="1" t="s">
        <v>1386</v>
      </c>
      <c r="Q43" s="1">
        <v>1995</v>
      </c>
      <c r="R43" s="1" t="s">
        <v>1387</v>
      </c>
      <c r="S43" s="1" t="s">
        <v>27</v>
      </c>
      <c r="T43" s="38">
        <v>1</v>
      </c>
      <c r="V43" s="1">
        <v>3.68</v>
      </c>
      <c r="Y43" s="1">
        <v>1.49409894394645</v>
      </c>
      <c r="AA43" s="1">
        <v>0.66525226283294103</v>
      </c>
      <c r="AB43" s="1">
        <v>8.0756323984750203E-2</v>
      </c>
      <c r="AD43" s="1">
        <v>0.89414130434782602</v>
      </c>
      <c r="AF43" s="1">
        <v>0.43953832405280502</v>
      </c>
      <c r="AW43" s="1">
        <v>8.6707247949913302E-2</v>
      </c>
      <c r="BA43" s="1">
        <v>0.99003594026476405</v>
      </c>
      <c r="BG43" s="1">
        <v>0.35874630908383898</v>
      </c>
      <c r="BI43" s="1">
        <v>5.8609446647938497E-2</v>
      </c>
      <c r="BZ43" s="1">
        <v>0.28495393459944501</v>
      </c>
      <c r="CK43" s="1">
        <v>0.76537853463640904</v>
      </c>
      <c r="DN43" s="1">
        <v>0.22571393878013599</v>
      </c>
      <c r="EH43" s="1">
        <v>8.1690389092600305E-2</v>
      </c>
      <c r="EL43" s="1">
        <v>0.12903099184402</v>
      </c>
      <c r="FE43" s="1">
        <v>4.0009545763360799E-2</v>
      </c>
      <c r="FM43" s="1">
        <v>0.18880739735282401</v>
      </c>
    </row>
    <row r="44" spans="1:169" x14ac:dyDescent="0.2">
      <c r="A44" s="1" t="s">
        <v>1417</v>
      </c>
      <c r="B44" s="1" t="s">
        <v>55</v>
      </c>
      <c r="C44" s="1" t="s">
        <v>1380</v>
      </c>
      <c r="E44" s="1">
        <v>13</v>
      </c>
      <c r="F44" s="1" t="s">
        <v>1418</v>
      </c>
      <c r="G44" s="1" t="s">
        <v>1419</v>
      </c>
      <c r="H44" s="1" t="s">
        <v>1420</v>
      </c>
      <c r="I44" s="1" t="s">
        <v>7</v>
      </c>
      <c r="J44" s="1" t="s">
        <v>1421</v>
      </c>
      <c r="K44" s="1" t="s">
        <v>1422</v>
      </c>
      <c r="L44" s="1" t="s">
        <v>1421</v>
      </c>
      <c r="P44" s="1" t="s">
        <v>1386</v>
      </c>
      <c r="Q44" s="1">
        <v>1995</v>
      </c>
      <c r="R44" s="1" t="s">
        <v>1387</v>
      </c>
      <c r="S44" s="1" t="s">
        <v>27</v>
      </c>
      <c r="T44" s="38">
        <v>1</v>
      </c>
      <c r="V44" s="1">
        <v>0.88</v>
      </c>
      <c r="Y44" s="1">
        <v>0.34612028038398301</v>
      </c>
      <c r="AA44" s="1">
        <v>0.21067936335854801</v>
      </c>
      <c r="AB44" s="1">
        <v>1.9336200525773201E-2</v>
      </c>
      <c r="AD44" s="1">
        <v>0.77049999999999996</v>
      </c>
      <c r="AF44" s="1">
        <v>0.15018842375764399</v>
      </c>
      <c r="AW44" s="1">
        <v>1.6658469668468599E-2</v>
      </c>
      <c r="BA44" s="1">
        <v>0.26661113733799102</v>
      </c>
      <c r="BG44" s="1">
        <v>6.2850673377523605E-2</v>
      </c>
      <c r="BZ44" s="1">
        <v>3.5610260679604697E-2</v>
      </c>
      <c r="CK44" s="1">
        <v>6.6293895052091101E-2</v>
      </c>
      <c r="DN44" s="1">
        <v>3.4086403536731202E-2</v>
      </c>
      <c r="ED44" s="1">
        <v>2.6404536064173301E-2</v>
      </c>
      <c r="EL44" s="1">
        <v>5.62461801166955E-2</v>
      </c>
      <c r="ET44" s="1">
        <v>1.28244905852485E-2</v>
      </c>
      <c r="FE44" s="1">
        <v>3.2706128891106599E-2</v>
      </c>
      <c r="FM44" s="1">
        <v>4.8411624164592999E-2</v>
      </c>
    </row>
    <row r="45" spans="1:169" x14ac:dyDescent="0.2">
      <c r="A45" s="1" t="s">
        <v>1423</v>
      </c>
      <c r="B45" s="1" t="s">
        <v>55</v>
      </c>
      <c r="C45" s="1" t="s">
        <v>1380</v>
      </c>
      <c r="E45" s="1">
        <v>13</v>
      </c>
      <c r="F45" s="1" t="s">
        <v>1424</v>
      </c>
      <c r="G45" s="1" t="s">
        <v>1425</v>
      </c>
      <c r="H45" s="1" t="s">
        <v>1396</v>
      </c>
      <c r="I45" s="1" t="s">
        <v>7</v>
      </c>
      <c r="J45" s="1" t="s">
        <v>1426</v>
      </c>
      <c r="L45" s="1" t="s">
        <v>1427</v>
      </c>
      <c r="P45" s="1" t="s">
        <v>1386</v>
      </c>
      <c r="Q45" s="1">
        <v>1995</v>
      </c>
      <c r="R45" s="1" t="s">
        <v>1387</v>
      </c>
      <c r="S45" s="1" t="s">
        <v>27</v>
      </c>
      <c r="T45" s="38">
        <v>1</v>
      </c>
      <c r="V45" s="1">
        <v>2.98</v>
      </c>
      <c r="Y45" s="1">
        <v>0.99420594622678604</v>
      </c>
      <c r="AA45" s="1">
        <v>1.17710728661372</v>
      </c>
      <c r="AB45" s="1">
        <v>5.2320732817454801E-4</v>
      </c>
      <c r="AD45" s="1">
        <v>0.88501342281879203</v>
      </c>
      <c r="AF45" s="1">
        <v>0.59918080932239604</v>
      </c>
      <c r="BA45" s="1">
        <v>0.69950878429030605</v>
      </c>
      <c r="BG45" s="1">
        <v>0.29469716193648099</v>
      </c>
      <c r="CK45" s="1">
        <v>0.46550355983132302</v>
      </c>
      <c r="DN45" s="1">
        <v>0.57792647729131996</v>
      </c>
      <c r="EL45" s="1">
        <v>0.20119040042053701</v>
      </c>
      <c r="FM45" s="1">
        <v>0.39799040890185999</v>
      </c>
    </row>
    <row r="46" spans="1:169" x14ac:dyDescent="0.2">
      <c r="A46" s="1" t="s">
        <v>1428</v>
      </c>
      <c r="B46" s="1" t="s">
        <v>55</v>
      </c>
      <c r="C46" s="1" t="s">
        <v>1380</v>
      </c>
      <c r="E46" s="1">
        <v>13</v>
      </c>
      <c r="F46" s="1" t="s">
        <v>1429</v>
      </c>
      <c r="G46" s="1" t="s">
        <v>1430</v>
      </c>
      <c r="H46" s="1" t="s">
        <v>1396</v>
      </c>
      <c r="I46" s="1" t="s">
        <v>7</v>
      </c>
      <c r="J46" s="1" t="s">
        <v>1431</v>
      </c>
      <c r="P46" s="1" t="s">
        <v>1386</v>
      </c>
      <c r="Q46" s="1">
        <v>1995</v>
      </c>
      <c r="R46" s="1" t="s">
        <v>1387</v>
      </c>
      <c r="S46" s="1" t="s">
        <v>27</v>
      </c>
      <c r="T46" s="38">
        <v>1</v>
      </c>
      <c r="V46" s="1">
        <v>5.5</v>
      </c>
      <c r="Y46" s="1">
        <v>1.98462092979968</v>
      </c>
      <c r="AA46" s="1">
        <v>0.53505910706954096</v>
      </c>
      <c r="AB46" s="1">
        <v>0.14421573393893</v>
      </c>
      <c r="AD46" s="1">
        <v>0.90700000000000003</v>
      </c>
      <c r="AF46" s="1">
        <v>0.31779042401888002</v>
      </c>
      <c r="BA46" s="1">
        <v>1.3888096579117799</v>
      </c>
      <c r="BG46" s="1">
        <v>0.46631593561253898</v>
      </c>
      <c r="BI46" s="1">
        <v>0.129495336275357</v>
      </c>
      <c r="BZ46" s="1">
        <v>0.32655799297381299</v>
      </c>
      <c r="CK46" s="1">
        <v>1.99804623621804</v>
      </c>
      <c r="DN46" s="1">
        <v>0.21726868305066099</v>
      </c>
      <c r="EH46" s="1">
        <v>9.9859490648391405E-2</v>
      </c>
      <c r="EL46" s="1">
        <v>0.122365593801228</v>
      </c>
      <c r="FM46" s="1">
        <v>9.5565339569259805E-2</v>
      </c>
    </row>
    <row r="47" spans="1:169" x14ac:dyDescent="0.2">
      <c r="A47" s="1" t="s">
        <v>1432</v>
      </c>
      <c r="B47" s="1" t="s">
        <v>55</v>
      </c>
      <c r="C47" s="1" t="s">
        <v>1380</v>
      </c>
      <c r="E47" s="1">
        <v>13</v>
      </c>
      <c r="F47" s="1" t="s">
        <v>1433</v>
      </c>
      <c r="G47" s="1" t="s">
        <v>1434</v>
      </c>
      <c r="H47" s="1" t="s">
        <v>1435</v>
      </c>
      <c r="I47" s="1" t="s">
        <v>7</v>
      </c>
      <c r="J47" s="1" t="s">
        <v>1436</v>
      </c>
      <c r="K47" s="1" t="s">
        <v>1434</v>
      </c>
      <c r="L47" s="1" t="s">
        <v>1437</v>
      </c>
      <c r="P47" s="1" t="s">
        <v>1386</v>
      </c>
      <c r="Q47" s="1">
        <v>1995</v>
      </c>
      <c r="R47" s="1" t="s">
        <v>1387</v>
      </c>
      <c r="S47" s="1" t="s">
        <v>27</v>
      </c>
      <c r="T47" s="38">
        <v>1</v>
      </c>
      <c r="V47" s="1">
        <v>18.309999999999999</v>
      </c>
      <c r="Y47" s="1">
        <v>7.4436766368622704</v>
      </c>
      <c r="AA47" s="1">
        <v>1.2680497837824101</v>
      </c>
      <c r="AB47" s="1">
        <v>0.232599370951481</v>
      </c>
      <c r="AD47" s="1">
        <v>0.92519006007646098</v>
      </c>
      <c r="AF47" s="1">
        <v>0.23523784807869999</v>
      </c>
      <c r="AW47" s="1">
        <v>2.5912421547825901</v>
      </c>
      <c r="BA47" s="1">
        <v>3.5953803987314101</v>
      </c>
      <c r="BG47" s="1">
        <v>1.0505019970050899</v>
      </c>
      <c r="BI47" s="1">
        <v>0.20655208634318101</v>
      </c>
      <c r="BZ47" s="1">
        <v>1.1478219270141701</v>
      </c>
      <c r="CK47" s="1">
        <v>6.8480822813896696</v>
      </c>
      <c r="DN47" s="1">
        <v>1.03281193570371</v>
      </c>
      <c r="FE47" s="1">
        <v>0.23523784807869999</v>
      </c>
    </row>
    <row r="48" spans="1:169" x14ac:dyDescent="0.2">
      <c r="A48" s="1" t="s">
        <v>1438</v>
      </c>
      <c r="B48" s="1" t="s">
        <v>55</v>
      </c>
      <c r="C48" s="1" t="s">
        <v>1380</v>
      </c>
      <c r="E48" s="1">
        <v>13</v>
      </c>
      <c r="G48" s="1" t="s">
        <v>1439</v>
      </c>
      <c r="H48" s="1" t="s">
        <v>1396</v>
      </c>
      <c r="I48" s="1" t="s">
        <v>7</v>
      </c>
      <c r="J48" s="1" t="s">
        <v>1440</v>
      </c>
      <c r="L48" s="1" t="s">
        <v>1441</v>
      </c>
      <c r="P48" s="1" t="s">
        <v>1386</v>
      </c>
      <c r="Q48" s="1">
        <v>1995</v>
      </c>
      <c r="R48" s="1" t="s">
        <v>1387</v>
      </c>
      <c r="S48" s="1" t="s">
        <v>27</v>
      </c>
      <c r="T48" s="38">
        <v>1</v>
      </c>
      <c r="V48" s="1">
        <v>9.17</v>
      </c>
      <c r="Y48" s="1">
        <v>2.8368684411876002</v>
      </c>
      <c r="AA48" s="1">
        <v>0.579684017970032</v>
      </c>
      <c r="AB48" s="1">
        <v>0.622176812689893</v>
      </c>
      <c r="AD48" s="1">
        <v>0.91740567066521295</v>
      </c>
      <c r="AF48" s="1">
        <v>0.17921019708788</v>
      </c>
      <c r="AW48" s="1">
        <v>0.16174720813944299</v>
      </c>
      <c r="BA48" s="1">
        <v>1.97179102382142</v>
      </c>
      <c r="BG48" s="1">
        <v>0.51361433526267697</v>
      </c>
      <c r="BI48" s="1">
        <v>0.18971587396405901</v>
      </c>
      <c r="BZ48" s="1">
        <v>0.82446020348221005</v>
      </c>
      <c r="CK48" s="1">
        <v>3.5494205246702601</v>
      </c>
      <c r="DN48" s="1">
        <v>0.17361863044822501</v>
      </c>
      <c r="DT48" s="1">
        <v>0.22685519043392699</v>
      </c>
      <c r="EH48" s="1">
        <v>9.7732401573009497E-2</v>
      </c>
      <c r="FM48" s="1">
        <v>8.1477795514870402E-2</v>
      </c>
    </row>
    <row r="49" spans="1:169" x14ac:dyDescent="0.2">
      <c r="A49" s="1" t="s">
        <v>1442</v>
      </c>
      <c r="B49" s="1" t="s">
        <v>55</v>
      </c>
      <c r="C49" s="1" t="s">
        <v>1380</v>
      </c>
      <c r="E49" s="1">
        <v>13</v>
      </c>
      <c r="F49" s="1" t="s">
        <v>1443</v>
      </c>
      <c r="G49" s="1" t="s">
        <v>1444</v>
      </c>
      <c r="H49" s="1" t="s">
        <v>1396</v>
      </c>
      <c r="I49" s="1" t="s">
        <v>7</v>
      </c>
      <c r="J49" s="1" t="s">
        <v>1445</v>
      </c>
      <c r="L49" s="1" t="s">
        <v>1445</v>
      </c>
      <c r="P49" s="1" t="s">
        <v>1386</v>
      </c>
      <c r="Q49" s="1">
        <v>1995</v>
      </c>
      <c r="R49" s="1" t="s">
        <v>1387</v>
      </c>
      <c r="S49" s="1" t="s">
        <v>27</v>
      </c>
      <c r="T49" s="38">
        <v>1</v>
      </c>
      <c r="V49" s="1">
        <v>2.6</v>
      </c>
      <c r="Y49" s="1">
        <v>0.69543012134510596</v>
      </c>
      <c r="AA49" s="1">
        <v>0.39319180253761699</v>
      </c>
      <c r="AB49" s="1">
        <v>0.21225378284513299</v>
      </c>
      <c r="AD49" s="1">
        <v>0.878</v>
      </c>
      <c r="AF49" s="1">
        <v>0.28202450753902403</v>
      </c>
      <c r="BA49" s="1">
        <v>0.48963673590026902</v>
      </c>
      <c r="BG49" s="1">
        <v>0.15940110446720801</v>
      </c>
      <c r="BI49" s="1">
        <v>4.6392280977628902E-2</v>
      </c>
      <c r="BZ49" s="1">
        <v>8.7334554225852998E-2</v>
      </c>
      <c r="CK49" s="1">
        <v>0.89458973904629202</v>
      </c>
      <c r="DN49" s="1">
        <v>8.9131746588215904E-2</v>
      </c>
      <c r="DT49" s="1">
        <v>2.2035548410376301E-2</v>
      </c>
      <c r="EH49" s="1">
        <v>0.116060115383409</v>
      </c>
      <c r="EL49" s="1">
        <v>3.0519757006213101E-2</v>
      </c>
      <c r="FE49" s="1">
        <v>3.1878145800809797E-2</v>
      </c>
      <c r="FM49" s="1">
        <v>0.103566489348592</v>
      </c>
    </row>
    <row r="50" spans="1:169" x14ac:dyDescent="0.2">
      <c r="A50" s="1" t="s">
        <v>1446</v>
      </c>
      <c r="B50" s="1" t="s">
        <v>55</v>
      </c>
      <c r="C50" s="1" t="s">
        <v>1380</v>
      </c>
      <c r="E50" s="1">
        <v>13</v>
      </c>
      <c r="F50" s="1" t="s">
        <v>1447</v>
      </c>
      <c r="G50" s="1" t="s">
        <v>1448</v>
      </c>
      <c r="H50" s="1" t="s">
        <v>1449</v>
      </c>
      <c r="I50" s="1" t="s">
        <v>7</v>
      </c>
      <c r="J50" s="1" t="s">
        <v>1450</v>
      </c>
      <c r="K50" s="1" t="s">
        <v>1451</v>
      </c>
      <c r="L50" s="1" t="s">
        <v>1450</v>
      </c>
      <c r="P50" s="1" t="s">
        <v>1386</v>
      </c>
      <c r="Q50" s="1">
        <v>1995</v>
      </c>
      <c r="R50" s="1" t="s">
        <v>1387</v>
      </c>
      <c r="S50" s="1" t="s">
        <v>27</v>
      </c>
      <c r="T50" s="38">
        <v>1</v>
      </c>
      <c r="V50" s="1">
        <v>1.27</v>
      </c>
      <c r="Y50" s="1">
        <v>0.39463500430358101</v>
      </c>
      <c r="AA50" s="1">
        <v>0.216323536438665</v>
      </c>
      <c r="AB50" s="1">
        <v>0.13251248960661799</v>
      </c>
      <c r="AD50" s="1">
        <v>0.82040157480315001</v>
      </c>
      <c r="AF50" s="1">
        <v>0.15726924072232501</v>
      </c>
      <c r="AW50" s="1">
        <v>9.9085990224274095E-3</v>
      </c>
      <c r="BA50" s="1">
        <v>0.249189207284396</v>
      </c>
      <c r="BG50" s="1">
        <v>0.106494204396734</v>
      </c>
      <c r="BI50" s="1">
        <v>2.9042993600022798E-2</v>
      </c>
      <c r="BZ50" s="1">
        <v>5.2122573938524597E-2</v>
      </c>
      <c r="CK50" s="1">
        <v>0.24631639571261099</v>
      </c>
      <c r="DN50" s="1">
        <v>5.9054295716340098E-2</v>
      </c>
      <c r="EL50" s="1">
        <v>1.52950020584791E-2</v>
      </c>
      <c r="ET50" s="1">
        <v>1.6786563367016501E-2</v>
      </c>
      <c r="FE50" s="1">
        <v>4.5230277537922199E-2</v>
      </c>
      <c r="FM50" s="1">
        <v>7.9957397758907603E-2</v>
      </c>
    </row>
    <row r="51" spans="1:169" x14ac:dyDescent="0.2">
      <c r="A51" s="1" t="s">
        <v>1452</v>
      </c>
      <c r="B51" s="1" t="s">
        <v>55</v>
      </c>
      <c r="C51" s="1" t="s">
        <v>1380</v>
      </c>
      <c r="E51" s="1">
        <v>13</v>
      </c>
      <c r="G51" s="1" t="s">
        <v>1453</v>
      </c>
      <c r="H51" s="1" t="s">
        <v>1396</v>
      </c>
      <c r="I51" s="1" t="s">
        <v>7</v>
      </c>
      <c r="J51" s="1" t="s">
        <v>1454</v>
      </c>
      <c r="L51" s="1" t="s">
        <v>1455</v>
      </c>
      <c r="P51" s="1" t="s">
        <v>1386</v>
      </c>
      <c r="Q51" s="1">
        <v>1995</v>
      </c>
      <c r="R51" s="1" t="s">
        <v>1387</v>
      </c>
      <c r="S51" s="1" t="s">
        <v>27</v>
      </c>
      <c r="T51" s="38">
        <v>1</v>
      </c>
      <c r="V51" s="1">
        <v>0.7</v>
      </c>
      <c r="Y51" s="1">
        <v>0.171063396039393</v>
      </c>
      <c r="AA51" s="1">
        <v>0.11198243364303399</v>
      </c>
      <c r="AB51" s="1">
        <v>4.9890147442175702E-2</v>
      </c>
      <c r="AD51" s="1">
        <v>0.72871428571428598</v>
      </c>
      <c r="AF51" s="1">
        <v>7.5447026594986297E-2</v>
      </c>
      <c r="AW51" s="1">
        <v>1.0160379357203E-2</v>
      </c>
      <c r="BA51" s="1">
        <v>0.116088036547475</v>
      </c>
      <c r="BG51" s="1">
        <v>3.9423304532946297E-2</v>
      </c>
      <c r="BI51" s="1">
        <v>5.3916756017683099E-3</v>
      </c>
      <c r="BZ51" s="1">
        <v>3.97650685248465E-2</v>
      </c>
      <c r="CK51" s="1">
        <v>0.13739895435055099</v>
      </c>
      <c r="DN51" s="1">
        <v>3.65354070480476E-2</v>
      </c>
      <c r="EH51" s="1">
        <v>1.75718637407094E-2</v>
      </c>
      <c r="EL51" s="1">
        <v>2.3446916091414499E-2</v>
      </c>
      <c r="ET51" s="1">
        <v>1.0212657305403499E-2</v>
      </c>
      <c r="FE51" s="1">
        <v>5.8967971916688202E-3</v>
      </c>
      <c r="FM51" s="1">
        <v>1.8318792265790099E-2</v>
      </c>
    </row>
    <row r="52" spans="1:169" x14ac:dyDescent="0.2">
      <c r="A52" s="1" t="s">
        <v>1456</v>
      </c>
      <c r="B52" s="1" t="s">
        <v>55</v>
      </c>
      <c r="C52" s="1" t="s">
        <v>1380</v>
      </c>
      <c r="E52" s="1">
        <v>12</v>
      </c>
      <c r="F52" s="1" t="s">
        <v>1373</v>
      </c>
      <c r="G52" s="1" t="s">
        <v>1457</v>
      </c>
      <c r="H52" s="1" t="s">
        <v>1458</v>
      </c>
      <c r="I52" s="1" t="s">
        <v>7</v>
      </c>
      <c r="J52" s="1" t="s">
        <v>1375</v>
      </c>
      <c r="K52" s="1" t="s">
        <v>1376</v>
      </c>
      <c r="L52" s="1" t="s">
        <v>1375</v>
      </c>
      <c r="P52" s="1" t="s">
        <v>1386</v>
      </c>
      <c r="Q52" s="1">
        <v>1995</v>
      </c>
      <c r="R52" s="1" t="s">
        <v>1387</v>
      </c>
      <c r="S52" s="1" t="s">
        <v>27</v>
      </c>
      <c r="T52" s="38">
        <v>1</v>
      </c>
      <c r="V52" s="1">
        <v>2.86</v>
      </c>
      <c r="Y52" s="1">
        <v>0.97185486109956398</v>
      </c>
      <c r="AA52" s="1">
        <v>0.414154931589931</v>
      </c>
      <c r="AB52" s="1">
        <v>2.15795390840294E-2</v>
      </c>
      <c r="AD52" s="1">
        <v>0.88300000000000001</v>
      </c>
      <c r="AF52" s="1">
        <v>0.122074404241457</v>
      </c>
      <c r="AW52" s="1">
        <v>8.3557292089722998E-2</v>
      </c>
      <c r="BA52" s="1">
        <v>0.67170978543926296</v>
      </c>
      <c r="BG52" s="1">
        <v>0.163982565549808</v>
      </c>
      <c r="BI52" s="1">
        <v>5.26052180207707E-2</v>
      </c>
      <c r="BZ52" s="1">
        <v>0.166097441119126</v>
      </c>
      <c r="CK52" s="1">
        <v>0.95169322710734905</v>
      </c>
      <c r="DN52" s="1">
        <v>0.23544073972183099</v>
      </c>
      <c r="DT52" s="1">
        <v>5.6639787626643998E-2</v>
      </c>
      <c r="EH52" s="1">
        <v>2.3005135775587701E-2</v>
      </c>
      <c r="EL52" s="1">
        <v>2.4883967703444799E-2</v>
      </c>
      <c r="FE52" s="1">
        <v>5.0246702439207702E-2</v>
      </c>
      <c r="FM52" s="1">
        <v>2.3938598323216501E-2</v>
      </c>
    </row>
    <row r="53" spans="1:169" x14ac:dyDescent="0.2">
      <c r="A53" s="1" t="s">
        <v>1459</v>
      </c>
      <c r="B53" s="1" t="s">
        <v>55</v>
      </c>
      <c r="C53" s="1" t="s">
        <v>1380</v>
      </c>
      <c r="E53" s="1">
        <v>13</v>
      </c>
      <c r="G53" s="1" t="s">
        <v>1460</v>
      </c>
      <c r="H53" s="1" t="s">
        <v>1396</v>
      </c>
      <c r="I53" s="1" t="s">
        <v>7</v>
      </c>
      <c r="J53" s="1" t="s">
        <v>1461</v>
      </c>
      <c r="L53" s="1" t="s">
        <v>1462</v>
      </c>
      <c r="P53" s="1" t="s">
        <v>1386</v>
      </c>
      <c r="Q53" s="1">
        <v>1995</v>
      </c>
      <c r="R53" s="1" t="s">
        <v>1387</v>
      </c>
      <c r="S53" s="1" t="s">
        <v>27</v>
      </c>
      <c r="T53" s="38">
        <v>1</v>
      </c>
      <c r="V53" s="1">
        <v>0.27</v>
      </c>
      <c r="Y53" s="1">
        <v>3.92805385316186E-2</v>
      </c>
      <c r="AA53" s="1">
        <v>2.52797620612101E-2</v>
      </c>
      <c r="AB53" s="1">
        <v>3.6980393396536797E-2</v>
      </c>
      <c r="AD53" s="1">
        <v>0.40337037037036999</v>
      </c>
      <c r="AF53" s="1">
        <v>1.93405320796264E-2</v>
      </c>
      <c r="BA53" s="1">
        <v>5.4462964218970396E-3</v>
      </c>
      <c r="BG53" s="1">
        <v>3.7294989106597901E-3</v>
      </c>
      <c r="BI53" s="1">
        <v>3.0104743199061802E-2</v>
      </c>
      <c r="CK53" s="1">
        <v>7.3693060106344698E-3</v>
      </c>
      <c r="DN53" s="1">
        <v>5.9392299815837699E-3</v>
      </c>
      <c r="EL53" s="1">
        <v>5.6241692293189996E-3</v>
      </c>
      <c r="FE53" s="1">
        <v>6.6160603406145496E-3</v>
      </c>
      <c r="FM53" s="1">
        <v>7.1003025096928202E-3</v>
      </c>
    </row>
    <row r="54" spans="1:169" x14ac:dyDescent="0.2">
      <c r="A54" s="1" t="s">
        <v>1463</v>
      </c>
      <c r="B54" s="1" t="s">
        <v>55</v>
      </c>
      <c r="C54" s="1" t="s">
        <v>1380</v>
      </c>
      <c r="E54" s="1">
        <v>23</v>
      </c>
      <c r="F54" s="1" t="s">
        <v>1464</v>
      </c>
      <c r="G54" s="1" t="s">
        <v>1465</v>
      </c>
      <c r="H54" s="1" t="s">
        <v>1396</v>
      </c>
      <c r="I54" s="1" t="s">
        <v>7</v>
      </c>
      <c r="J54" s="1" t="s">
        <v>1466</v>
      </c>
      <c r="K54" s="1" t="s">
        <v>1467</v>
      </c>
      <c r="L54" s="1" t="s">
        <v>1468</v>
      </c>
      <c r="P54" s="1" t="s">
        <v>1386</v>
      </c>
      <c r="Q54" s="1">
        <v>1995</v>
      </c>
      <c r="R54" s="1" t="s">
        <v>1387</v>
      </c>
      <c r="S54" s="1" t="s">
        <v>27</v>
      </c>
      <c r="T54" s="38">
        <v>1</v>
      </c>
      <c r="V54" s="1">
        <v>6.42</v>
      </c>
      <c r="Y54" s="1">
        <v>1.7601970458709899</v>
      </c>
      <c r="AA54" s="1">
        <v>1.7302756624973299</v>
      </c>
      <c r="AB54" s="1">
        <v>0.30014149664531198</v>
      </c>
      <c r="AD54" s="1">
        <v>0.91072585669781903</v>
      </c>
      <c r="AF54" s="1">
        <v>1.6668109530241499</v>
      </c>
      <c r="AW54" s="1">
        <v>0.100132666372811</v>
      </c>
      <c r="BA54" s="1">
        <v>1.20866442203757</v>
      </c>
      <c r="BG54" s="1">
        <v>0.31440449334873199</v>
      </c>
      <c r="BI54" s="1">
        <v>0.13699546411187699</v>
      </c>
      <c r="BZ54" s="1">
        <v>0.42446151727095599</v>
      </c>
      <c r="CK54" s="1">
        <v>1.6317842777154199</v>
      </c>
      <c r="DT54" s="1">
        <v>6.3464709473176603E-2</v>
      </c>
      <c r="EH54" s="1">
        <v>0.74339690149357096</v>
      </c>
      <c r="EL54" s="1">
        <v>7.0496342740193702E-2</v>
      </c>
      <c r="ET54" s="1">
        <v>6.31463613604758E-2</v>
      </c>
      <c r="FE54" s="1">
        <v>9.8050685404585294E-2</v>
      </c>
      <c r="FM54" s="1">
        <v>0.69172066202532301</v>
      </c>
    </row>
    <row r="55" spans="1:169" x14ac:dyDescent="0.2">
      <c r="A55" s="1" t="s">
        <v>1469</v>
      </c>
      <c r="B55" s="1" t="s">
        <v>55</v>
      </c>
      <c r="C55" s="1" t="s">
        <v>1470</v>
      </c>
      <c r="D55" s="1" t="s">
        <v>2</v>
      </c>
      <c r="E55" s="1">
        <v>23</v>
      </c>
      <c r="F55" s="1" t="s">
        <v>1471</v>
      </c>
      <c r="H55" s="1" t="s">
        <v>1472</v>
      </c>
      <c r="I55" s="1" t="s">
        <v>7</v>
      </c>
      <c r="J55" s="1" t="s">
        <v>1473</v>
      </c>
      <c r="K55" s="1" t="s">
        <v>1474</v>
      </c>
      <c r="L55" s="1" t="s">
        <v>1473</v>
      </c>
      <c r="N55" s="1" t="s">
        <v>1475</v>
      </c>
      <c r="O55" s="1">
        <v>1</v>
      </c>
      <c r="Q55" s="1">
        <v>2004</v>
      </c>
      <c r="R55" s="1" t="s">
        <v>1476</v>
      </c>
      <c r="S55" s="1" t="s">
        <v>27</v>
      </c>
      <c r="T55" s="38">
        <v>1</v>
      </c>
      <c r="U55" s="1">
        <v>73.38</v>
      </c>
      <c r="W55" s="1">
        <v>3.44</v>
      </c>
    </row>
    <row r="56" spans="1:169" x14ac:dyDescent="0.2">
      <c r="A56" s="1" t="s">
        <v>1477</v>
      </c>
      <c r="B56" s="1" t="s">
        <v>55</v>
      </c>
      <c r="C56" s="1" t="s">
        <v>1470</v>
      </c>
      <c r="D56" s="1" t="s">
        <v>2</v>
      </c>
      <c r="E56" s="1">
        <v>23</v>
      </c>
      <c r="F56" s="1" t="s">
        <v>1471</v>
      </c>
      <c r="H56" s="1" t="s">
        <v>1478</v>
      </c>
      <c r="I56" s="1" t="s">
        <v>11</v>
      </c>
      <c r="J56" s="1" t="s">
        <v>1473</v>
      </c>
      <c r="K56" s="1" t="s">
        <v>1474</v>
      </c>
      <c r="L56" s="1" t="s">
        <v>1473</v>
      </c>
      <c r="N56" s="1" t="s">
        <v>1479</v>
      </c>
      <c r="O56" s="1">
        <v>1</v>
      </c>
      <c r="Q56" s="1">
        <v>2004</v>
      </c>
      <c r="R56" s="1" t="s">
        <v>1476</v>
      </c>
      <c r="S56" s="1" t="s">
        <v>27</v>
      </c>
      <c r="T56" s="38">
        <v>1</v>
      </c>
      <c r="U56" s="1" t="s">
        <v>1480</v>
      </c>
      <c r="W56" s="1" t="s">
        <v>1482</v>
      </c>
    </row>
    <row r="57" spans="1:169" x14ac:dyDescent="0.2">
      <c r="A57" s="1" t="s">
        <v>1484</v>
      </c>
      <c r="B57" s="1" t="s">
        <v>55</v>
      </c>
      <c r="C57" s="1" t="s">
        <v>1470</v>
      </c>
      <c r="D57" s="1" t="s">
        <v>2</v>
      </c>
      <c r="E57" s="1">
        <v>23</v>
      </c>
      <c r="F57" s="1" t="s">
        <v>1471</v>
      </c>
      <c r="H57" s="1" t="s">
        <v>1485</v>
      </c>
      <c r="I57" s="1" t="s">
        <v>11</v>
      </c>
      <c r="J57" s="1" t="s">
        <v>1473</v>
      </c>
      <c r="K57" s="1" t="s">
        <v>1474</v>
      </c>
      <c r="L57" s="1" t="s">
        <v>1473</v>
      </c>
      <c r="N57" s="1" t="s">
        <v>1486</v>
      </c>
      <c r="O57" s="1">
        <v>1</v>
      </c>
      <c r="Q57" s="1">
        <v>2004</v>
      </c>
      <c r="R57" s="1" t="s">
        <v>1476</v>
      </c>
      <c r="S57" s="1" t="s">
        <v>27</v>
      </c>
      <c r="T57" s="38">
        <v>1</v>
      </c>
      <c r="U57" s="1" t="s">
        <v>1487</v>
      </c>
      <c r="W57" s="1" t="s">
        <v>1489</v>
      </c>
    </row>
    <row r="58" spans="1:169" x14ac:dyDescent="0.2">
      <c r="A58" s="1" t="s">
        <v>1491</v>
      </c>
      <c r="B58" s="1" t="s">
        <v>55</v>
      </c>
      <c r="C58" s="1" t="s">
        <v>1470</v>
      </c>
      <c r="D58" s="1" t="s">
        <v>2</v>
      </c>
      <c r="E58" s="1">
        <v>23</v>
      </c>
      <c r="F58" s="1" t="s">
        <v>1471</v>
      </c>
      <c r="H58" s="1" t="s">
        <v>1492</v>
      </c>
      <c r="I58" s="1" t="s">
        <v>11</v>
      </c>
      <c r="J58" s="1" t="s">
        <v>1473</v>
      </c>
      <c r="K58" s="1" t="s">
        <v>1474</v>
      </c>
      <c r="L58" s="1" t="s">
        <v>1473</v>
      </c>
      <c r="N58" s="1" t="s">
        <v>1475</v>
      </c>
      <c r="O58" s="1">
        <v>1</v>
      </c>
      <c r="Q58" s="1">
        <v>2004</v>
      </c>
      <c r="R58" s="1" t="s">
        <v>1476</v>
      </c>
      <c r="S58" s="1" t="s">
        <v>27</v>
      </c>
      <c r="T58" s="38">
        <v>1</v>
      </c>
      <c r="U58" s="1" t="s">
        <v>1493</v>
      </c>
      <c r="W58" s="1" t="s">
        <v>1495</v>
      </c>
    </row>
    <row r="59" spans="1:169" x14ac:dyDescent="0.2">
      <c r="A59" s="1" t="s">
        <v>1497</v>
      </c>
      <c r="B59" s="1" t="s">
        <v>55</v>
      </c>
      <c r="C59" s="1" t="s">
        <v>1470</v>
      </c>
      <c r="D59" s="1" t="s">
        <v>2</v>
      </c>
      <c r="E59" s="1">
        <v>23</v>
      </c>
      <c r="F59" s="1" t="s">
        <v>1471</v>
      </c>
      <c r="H59" s="1" t="s">
        <v>1498</v>
      </c>
      <c r="I59" s="1" t="s">
        <v>11</v>
      </c>
      <c r="J59" s="1" t="s">
        <v>1473</v>
      </c>
      <c r="K59" s="1" t="s">
        <v>1474</v>
      </c>
      <c r="L59" s="1" t="s">
        <v>1473</v>
      </c>
      <c r="N59" s="1" t="s">
        <v>1499</v>
      </c>
      <c r="O59" s="1">
        <v>1</v>
      </c>
      <c r="Q59" s="1">
        <v>2004</v>
      </c>
      <c r="R59" s="1" t="s">
        <v>1476</v>
      </c>
      <c r="S59" s="1" t="s">
        <v>27</v>
      </c>
      <c r="T59" s="38">
        <v>1</v>
      </c>
      <c r="U59" s="1">
        <v>65.83</v>
      </c>
      <c r="W59" s="1">
        <v>5.95</v>
      </c>
    </row>
    <row r="60" spans="1:169" x14ac:dyDescent="0.2">
      <c r="A60" s="1" t="s">
        <v>1500</v>
      </c>
      <c r="B60" s="1" t="s">
        <v>55</v>
      </c>
      <c r="C60" s="1" t="s">
        <v>1470</v>
      </c>
      <c r="D60" s="1" t="s">
        <v>2</v>
      </c>
      <c r="E60" s="1">
        <v>23</v>
      </c>
      <c r="F60" s="1" t="s">
        <v>1471</v>
      </c>
      <c r="H60" s="1" t="s">
        <v>1501</v>
      </c>
      <c r="I60" s="1" t="s">
        <v>11</v>
      </c>
      <c r="J60" s="1" t="s">
        <v>1473</v>
      </c>
      <c r="K60" s="1" t="s">
        <v>1474</v>
      </c>
      <c r="L60" s="1" t="s">
        <v>1473</v>
      </c>
      <c r="N60" s="1" t="s">
        <v>1502</v>
      </c>
      <c r="O60" s="1">
        <v>1</v>
      </c>
      <c r="Q60" s="1">
        <v>2004</v>
      </c>
      <c r="R60" s="1" t="s">
        <v>1476</v>
      </c>
      <c r="S60" s="1" t="s">
        <v>27</v>
      </c>
      <c r="T60" s="38">
        <v>1</v>
      </c>
      <c r="U60" s="1">
        <v>63.52</v>
      </c>
      <c r="W60" s="1">
        <v>4.5199999999999996</v>
      </c>
    </row>
    <row r="61" spans="1:169" x14ac:dyDescent="0.2">
      <c r="A61" s="1" t="s">
        <v>1503</v>
      </c>
      <c r="B61" s="1" t="s">
        <v>55</v>
      </c>
      <c r="C61" s="1" t="s">
        <v>236</v>
      </c>
      <c r="D61" s="1" t="s">
        <v>2</v>
      </c>
      <c r="E61" s="1">
        <v>21</v>
      </c>
      <c r="F61" s="1" t="s">
        <v>1504</v>
      </c>
      <c r="H61" s="1" t="s">
        <v>1505</v>
      </c>
      <c r="I61" s="1" t="s">
        <v>7</v>
      </c>
      <c r="J61" s="1" t="s">
        <v>1506</v>
      </c>
      <c r="K61" s="1" t="s">
        <v>1507</v>
      </c>
      <c r="L61" s="1" t="s">
        <v>1508</v>
      </c>
      <c r="N61" s="1" t="s">
        <v>1509</v>
      </c>
      <c r="Q61" s="1">
        <v>2005</v>
      </c>
      <c r="R61" s="1" t="s">
        <v>1510</v>
      </c>
      <c r="S61" s="1" t="s">
        <v>27</v>
      </c>
      <c r="T61" s="38">
        <v>1</v>
      </c>
      <c r="U61" s="1" t="s">
        <v>1511</v>
      </c>
      <c r="W61" s="1" t="s">
        <v>1513</v>
      </c>
    </row>
    <row r="62" spans="1:169" x14ac:dyDescent="0.2">
      <c r="A62" s="1" t="s">
        <v>1515</v>
      </c>
      <c r="B62" s="1" t="s">
        <v>55</v>
      </c>
      <c r="C62" s="1" t="s">
        <v>236</v>
      </c>
      <c r="D62" s="1" t="s">
        <v>2</v>
      </c>
      <c r="E62" s="1">
        <v>21</v>
      </c>
      <c r="F62" s="1" t="s">
        <v>1516</v>
      </c>
      <c r="H62" s="1" t="s">
        <v>1517</v>
      </c>
      <c r="I62" s="1" t="s">
        <v>7</v>
      </c>
      <c r="J62" s="1" t="s">
        <v>1518</v>
      </c>
      <c r="K62" s="1" t="s">
        <v>1519</v>
      </c>
      <c r="L62" s="1" t="s">
        <v>1520</v>
      </c>
      <c r="N62" s="1" t="s">
        <v>1521</v>
      </c>
      <c r="Q62" s="1">
        <v>2005</v>
      </c>
      <c r="R62" s="1" t="s">
        <v>1510</v>
      </c>
      <c r="S62" s="1" t="s">
        <v>27</v>
      </c>
      <c r="T62" s="38">
        <v>1</v>
      </c>
      <c r="U62" s="1" t="s">
        <v>1522</v>
      </c>
      <c r="W62" s="1" t="s">
        <v>1524</v>
      </c>
    </row>
    <row r="63" spans="1:169" x14ac:dyDescent="0.2">
      <c r="A63" s="1" t="s">
        <v>1526</v>
      </c>
      <c r="B63" s="1" t="s">
        <v>55</v>
      </c>
      <c r="C63" s="1" t="s">
        <v>1527</v>
      </c>
      <c r="D63" s="1" t="s">
        <v>2</v>
      </c>
      <c r="E63" s="1">
        <v>22</v>
      </c>
      <c r="F63" s="1" t="s">
        <v>1528</v>
      </c>
      <c r="H63" s="1" t="s">
        <v>1529</v>
      </c>
      <c r="I63" s="1" t="s">
        <v>7</v>
      </c>
      <c r="J63" s="1" t="s">
        <v>1530</v>
      </c>
      <c r="K63" s="1" t="s">
        <v>1531</v>
      </c>
      <c r="L63" s="1" t="s">
        <v>1530</v>
      </c>
      <c r="N63" s="1" t="s">
        <v>1532</v>
      </c>
      <c r="P63" s="1" t="s">
        <v>1533</v>
      </c>
      <c r="Q63" s="1">
        <v>1981</v>
      </c>
      <c r="R63" s="1" t="s">
        <v>1534</v>
      </c>
      <c r="S63" s="1" t="s">
        <v>27</v>
      </c>
      <c r="T63" s="38">
        <v>1</v>
      </c>
      <c r="U63" s="1">
        <v>67.3</v>
      </c>
      <c r="W63" s="1">
        <v>14.7</v>
      </c>
      <c r="Y63" s="1">
        <v>3.8951927</v>
      </c>
      <c r="Z63" s="1">
        <v>7.1796408999999999</v>
      </c>
      <c r="AA63" s="1">
        <v>2.0901033999999998</v>
      </c>
      <c r="AD63" s="1">
        <v>0.92327210884353705</v>
      </c>
      <c r="AW63" s="1">
        <v>0.76003759999999998</v>
      </c>
      <c r="BA63" s="1">
        <v>2.7415642</v>
      </c>
      <c r="BG63" s="1">
        <v>0.39359090000000002</v>
      </c>
      <c r="CA63" s="1">
        <v>2.1308197</v>
      </c>
      <c r="CQ63" s="1">
        <v>4.7909512999999997</v>
      </c>
      <c r="CZ63" s="1">
        <v>0.25786989999999999</v>
      </c>
      <c r="DN63" s="1">
        <v>9.5004699999999997E-2</v>
      </c>
      <c r="EX63" s="1">
        <v>0.16286519999999999</v>
      </c>
      <c r="FA63" s="1">
        <v>0.1085768</v>
      </c>
      <c r="FE63" s="1">
        <v>0.3121583</v>
      </c>
      <c r="FI63" s="1">
        <v>0.1085768</v>
      </c>
      <c r="FJ63" s="1">
        <v>0.27144200000000002</v>
      </c>
      <c r="FM63" s="1">
        <v>0.95004699999999997</v>
      </c>
    </row>
    <row r="64" spans="1:169" x14ac:dyDescent="0.2">
      <c r="A64" s="1" t="s">
        <v>1535</v>
      </c>
      <c r="B64" s="1" t="s">
        <v>55</v>
      </c>
      <c r="C64" s="1" t="s">
        <v>1536</v>
      </c>
      <c r="D64" s="1" t="s">
        <v>2</v>
      </c>
      <c r="E64" s="1">
        <v>13</v>
      </c>
      <c r="F64" s="1" t="s">
        <v>1537</v>
      </c>
      <c r="G64" s="1" t="s">
        <v>1538</v>
      </c>
      <c r="H64" s="1" t="s">
        <v>1539</v>
      </c>
      <c r="I64" s="1" t="s">
        <v>7</v>
      </c>
      <c r="J64" s="1" t="s">
        <v>1540</v>
      </c>
      <c r="K64" s="1" t="s">
        <v>1541</v>
      </c>
      <c r="L64" s="1" t="s">
        <v>1540</v>
      </c>
      <c r="M64" s="1" t="s">
        <v>1542</v>
      </c>
      <c r="N64" s="1" t="s">
        <v>1543</v>
      </c>
      <c r="Q64" s="1">
        <v>2010</v>
      </c>
      <c r="R64" s="1" t="s">
        <v>1544</v>
      </c>
      <c r="S64" s="1" t="s">
        <v>27</v>
      </c>
      <c r="T64" s="38">
        <v>1</v>
      </c>
      <c r="U64" s="1">
        <v>79.41</v>
      </c>
      <c r="W64" s="1">
        <v>0.56000000000000005</v>
      </c>
    </row>
    <row r="65" spans="1:169" x14ac:dyDescent="0.2">
      <c r="A65" s="1" t="s">
        <v>1545</v>
      </c>
      <c r="B65" s="1" t="s">
        <v>55</v>
      </c>
      <c r="C65" s="1" t="s">
        <v>1536</v>
      </c>
      <c r="D65" s="1" t="s">
        <v>2</v>
      </c>
      <c r="E65" s="1">
        <v>13</v>
      </c>
      <c r="F65" s="1" t="s">
        <v>1537</v>
      </c>
      <c r="G65" s="1" t="s">
        <v>1538</v>
      </c>
      <c r="H65" s="1" t="s">
        <v>1539</v>
      </c>
      <c r="I65" s="1" t="s">
        <v>7</v>
      </c>
      <c r="J65" s="1" t="s">
        <v>1540</v>
      </c>
      <c r="K65" s="1" t="s">
        <v>1541</v>
      </c>
      <c r="L65" s="1" t="s">
        <v>1540</v>
      </c>
      <c r="M65" s="1" t="s">
        <v>1546</v>
      </c>
      <c r="N65" s="1" t="s">
        <v>1547</v>
      </c>
      <c r="Q65" s="1">
        <v>2010</v>
      </c>
      <c r="R65" s="1" t="s">
        <v>1544</v>
      </c>
      <c r="S65" s="1" t="s">
        <v>27</v>
      </c>
      <c r="T65" s="38">
        <v>1</v>
      </c>
      <c r="U65" s="1">
        <v>77.790000000000006</v>
      </c>
      <c r="W65" s="1">
        <v>0.56000000000000005</v>
      </c>
    </row>
    <row r="66" spans="1:169" x14ac:dyDescent="0.2">
      <c r="A66" s="1" t="s">
        <v>1548</v>
      </c>
      <c r="B66" s="1" t="s">
        <v>55</v>
      </c>
      <c r="C66" s="1" t="s">
        <v>1549</v>
      </c>
      <c r="E66" s="1">
        <v>12</v>
      </c>
      <c r="F66" s="1" t="s">
        <v>1550</v>
      </c>
      <c r="H66" s="1" t="s">
        <v>1551</v>
      </c>
      <c r="I66" s="1" t="s">
        <v>7</v>
      </c>
      <c r="J66" s="1" t="s">
        <v>1552</v>
      </c>
      <c r="K66" s="1" t="s">
        <v>1553</v>
      </c>
      <c r="L66" s="1" t="s">
        <v>1552</v>
      </c>
      <c r="N66" s="1" t="s">
        <v>1554</v>
      </c>
      <c r="Q66" s="1">
        <v>1996</v>
      </c>
      <c r="R66" s="1" t="s">
        <v>1555</v>
      </c>
      <c r="S66" s="1" t="s">
        <v>27</v>
      </c>
      <c r="T66" s="38">
        <v>1</v>
      </c>
      <c r="U66" s="1">
        <v>78.3</v>
      </c>
      <c r="V66" s="1">
        <v>2.2999999999999998</v>
      </c>
    </row>
    <row r="67" spans="1:169" x14ac:dyDescent="0.2">
      <c r="A67" s="1" t="s">
        <v>1556</v>
      </c>
      <c r="B67" s="1" t="s">
        <v>55</v>
      </c>
      <c r="C67" s="1" t="s">
        <v>1557</v>
      </c>
      <c r="E67" s="1">
        <v>13</v>
      </c>
      <c r="F67" s="1" t="s">
        <v>1558</v>
      </c>
      <c r="G67" s="1" t="s">
        <v>1559</v>
      </c>
      <c r="H67" s="1" t="s">
        <v>1560</v>
      </c>
      <c r="I67" s="1" t="s">
        <v>7</v>
      </c>
      <c r="J67" s="1" t="s">
        <v>1561</v>
      </c>
      <c r="K67" s="1" t="s">
        <v>1562</v>
      </c>
      <c r="L67" s="1" t="s">
        <v>1563</v>
      </c>
      <c r="N67" s="1" t="s">
        <v>1564</v>
      </c>
      <c r="Q67" s="1">
        <v>1996</v>
      </c>
      <c r="R67" s="1" t="s">
        <v>1555</v>
      </c>
      <c r="S67" s="1" t="s">
        <v>27</v>
      </c>
      <c r="T67" s="38">
        <v>1</v>
      </c>
      <c r="U67" s="1" t="s">
        <v>1565</v>
      </c>
      <c r="V67" s="1" t="s">
        <v>1567</v>
      </c>
    </row>
    <row r="68" spans="1:169" x14ac:dyDescent="0.2">
      <c r="A68" s="1" t="s">
        <v>1570</v>
      </c>
      <c r="B68" s="1" t="s">
        <v>55</v>
      </c>
      <c r="C68" s="1" t="s">
        <v>1549</v>
      </c>
      <c r="E68" s="1">
        <v>13</v>
      </c>
      <c r="F68" s="1" t="s">
        <v>1571</v>
      </c>
      <c r="G68" s="1" t="s">
        <v>1572</v>
      </c>
      <c r="H68" s="1" t="s">
        <v>1573</v>
      </c>
      <c r="I68" s="1" t="s">
        <v>7</v>
      </c>
      <c r="J68" s="1" t="s">
        <v>1574</v>
      </c>
      <c r="K68" s="1" t="s">
        <v>1575</v>
      </c>
      <c r="L68" s="1" t="s">
        <v>1574</v>
      </c>
      <c r="N68" s="1" t="s">
        <v>1576</v>
      </c>
      <c r="Q68" s="1">
        <v>1996</v>
      </c>
      <c r="R68" s="1" t="s">
        <v>1555</v>
      </c>
      <c r="S68" s="1" t="s">
        <v>27</v>
      </c>
      <c r="T68" s="38">
        <v>1</v>
      </c>
      <c r="U68" s="1">
        <v>81.3</v>
      </c>
      <c r="V68" s="1">
        <v>0.1</v>
      </c>
    </row>
    <row r="69" spans="1:169" x14ac:dyDescent="0.2">
      <c r="A69" s="1" t="s">
        <v>1581</v>
      </c>
      <c r="B69" s="1" t="s">
        <v>55</v>
      </c>
      <c r="C69" s="1" t="s">
        <v>1582</v>
      </c>
      <c r="E69" s="1">
        <v>33</v>
      </c>
      <c r="F69" s="1" t="s">
        <v>1583</v>
      </c>
      <c r="H69" s="1" t="s">
        <v>1584</v>
      </c>
      <c r="I69" s="1" t="s">
        <v>7</v>
      </c>
      <c r="J69" s="1" t="s">
        <v>1585</v>
      </c>
      <c r="K69" s="1" t="s">
        <v>1586</v>
      </c>
      <c r="L69" s="1" t="s">
        <v>1585</v>
      </c>
      <c r="P69" s="1" t="s">
        <v>1269</v>
      </c>
      <c r="Q69" s="1">
        <v>2007</v>
      </c>
      <c r="R69" s="1" t="s">
        <v>1587</v>
      </c>
      <c r="S69" s="1" t="s">
        <v>27</v>
      </c>
      <c r="T69" s="38">
        <v>1</v>
      </c>
      <c r="V69" s="1">
        <v>2.14</v>
      </c>
      <c r="Y69" s="1">
        <v>0.70437559999999999</v>
      </c>
      <c r="Z69" s="1">
        <v>0.44857604000000001</v>
      </c>
      <c r="AA69" s="1">
        <v>0.46711224000000001</v>
      </c>
      <c r="AB69" s="1">
        <v>0.23355612000000001</v>
      </c>
      <c r="AD69" s="1">
        <v>0.86617757009345797</v>
      </c>
      <c r="AF69" s="1">
        <v>0.41891812</v>
      </c>
      <c r="AG69" s="1">
        <v>4.0408916000000003E-2</v>
      </c>
      <c r="AU69" s="1">
        <v>1.112172E-3</v>
      </c>
      <c r="AV69" s="1">
        <v>7.4144800000000002E-4</v>
      </c>
      <c r="AW69" s="1">
        <v>6.6544958000000001E-2</v>
      </c>
      <c r="AY69" s="1">
        <v>9.8241860000000004E-3</v>
      </c>
      <c r="BA69" s="1">
        <v>0.47267310000000001</v>
      </c>
      <c r="BD69" s="1">
        <v>1.297534E-2</v>
      </c>
      <c r="BG69" s="1">
        <v>0.11992921400000001</v>
      </c>
      <c r="BI69" s="1">
        <v>1.2419253999999999E-2</v>
      </c>
      <c r="BK69" s="1">
        <v>4.4486880000000001E-3</v>
      </c>
      <c r="BL69" s="1">
        <v>3.3365159999999999E-3</v>
      </c>
      <c r="BM69" s="1">
        <v>3.3365159999999999E-3</v>
      </c>
      <c r="BS69" s="1">
        <v>1.8536200000000001E-3</v>
      </c>
      <c r="BV69" s="1">
        <v>1.482896E-3</v>
      </c>
      <c r="CA69" s="1">
        <v>0.174981728</v>
      </c>
      <c r="CF69" s="1">
        <v>3.1511540000000002E-3</v>
      </c>
      <c r="CK69" s="1">
        <v>0.26136041999999998</v>
      </c>
      <c r="CZ69" s="1">
        <v>3.3365159999999999E-3</v>
      </c>
      <c r="DB69" s="1">
        <v>1.112172E-3</v>
      </c>
      <c r="DF69" s="1">
        <v>1.2975339999999999E-3</v>
      </c>
      <c r="DN69" s="1">
        <v>2.4838507999999999E-2</v>
      </c>
      <c r="DU69" s="1">
        <v>6.6730319999999997E-3</v>
      </c>
      <c r="DX69" s="1">
        <v>1.482896E-3</v>
      </c>
      <c r="ED69" s="1">
        <v>5.5608599999999999E-3</v>
      </c>
      <c r="EH69" s="1">
        <v>1.2419253999999999E-2</v>
      </c>
      <c r="EK69" s="1">
        <v>4.0779639999999999E-3</v>
      </c>
      <c r="EL69" s="1">
        <v>6.0984098E-2</v>
      </c>
      <c r="ET69" s="1">
        <v>1.482896E-3</v>
      </c>
      <c r="EX69" s="1">
        <v>5.9315840000000002E-3</v>
      </c>
      <c r="FE69" s="1">
        <v>7.8408125999999995E-2</v>
      </c>
      <c r="FM69" s="1">
        <v>0.26692127999999998</v>
      </c>
    </row>
    <row r="70" spans="1:169" x14ac:dyDescent="0.2">
      <c r="A70" s="1" t="s">
        <v>1588</v>
      </c>
      <c r="B70" s="1" t="s">
        <v>55</v>
      </c>
      <c r="C70" s="1" t="s">
        <v>1582</v>
      </c>
      <c r="E70" s="1">
        <v>34</v>
      </c>
      <c r="F70" s="1" t="s">
        <v>1589</v>
      </c>
      <c r="H70" s="1" t="s">
        <v>1590</v>
      </c>
      <c r="I70" s="1" t="s">
        <v>7</v>
      </c>
      <c r="J70" s="1" t="s">
        <v>1591</v>
      </c>
      <c r="K70" s="1" t="s">
        <v>1592</v>
      </c>
      <c r="L70" s="1" t="s">
        <v>1593</v>
      </c>
      <c r="P70" s="1" t="s">
        <v>1269</v>
      </c>
      <c r="Q70" s="1">
        <v>2007</v>
      </c>
      <c r="R70" s="1" t="s">
        <v>1587</v>
      </c>
      <c r="S70" s="1" t="s">
        <v>27</v>
      </c>
      <c r="T70" s="38">
        <v>1</v>
      </c>
      <c r="V70" s="1">
        <v>1.59</v>
      </c>
      <c r="Y70" s="1">
        <v>0.40616240999999997</v>
      </c>
      <c r="Z70" s="1">
        <v>0.38873629999999998</v>
      </c>
      <c r="AA70" s="1">
        <v>0.36594831</v>
      </c>
      <c r="AB70" s="1">
        <v>0.17962297999999999</v>
      </c>
      <c r="AD70" s="1">
        <v>0.84306289308176097</v>
      </c>
      <c r="AF70" s="1">
        <v>0.34718173000000002</v>
      </c>
      <c r="AG70" s="1">
        <v>1.4611123E-2</v>
      </c>
      <c r="AU70" s="1">
        <v>2.0107049999999998E-3</v>
      </c>
      <c r="AV70" s="1">
        <v>2.6809400000000003E-4</v>
      </c>
      <c r="AW70" s="1">
        <v>3.6326736999999998E-2</v>
      </c>
      <c r="AY70" s="1">
        <v>6.3002090000000002E-3</v>
      </c>
      <c r="BA70" s="1">
        <v>0.27077494000000002</v>
      </c>
      <c r="BD70" s="1">
        <v>1.0187572000000001E-2</v>
      </c>
      <c r="BG70" s="1">
        <v>7.4396085000000001E-2</v>
      </c>
      <c r="BI70" s="1">
        <v>2.9490340000000001E-3</v>
      </c>
      <c r="BK70" s="1">
        <v>1.4745170000000001E-3</v>
      </c>
      <c r="BL70" s="1">
        <v>1.7828251E-2</v>
      </c>
      <c r="BM70" s="1">
        <v>1.0723760000000001E-3</v>
      </c>
      <c r="BS70" s="1">
        <v>2.8149870000000001E-3</v>
      </c>
      <c r="BV70" s="1">
        <v>1.4745170000000001E-3</v>
      </c>
      <c r="CA70" s="1">
        <v>0.102277861</v>
      </c>
      <c r="CF70" s="1">
        <v>7.5066320000000001E-3</v>
      </c>
      <c r="CK70" s="1">
        <v>0.27077494000000002</v>
      </c>
      <c r="CZ70" s="1">
        <v>2.6809400000000001E-3</v>
      </c>
      <c r="DB70" s="1">
        <v>1.0723760000000001E-3</v>
      </c>
      <c r="DF70" s="1">
        <v>1.3404700000000001E-3</v>
      </c>
      <c r="DN70" s="1">
        <v>9.9194780000000007E-3</v>
      </c>
      <c r="DU70" s="1">
        <v>4.0214099999999996E-3</v>
      </c>
      <c r="DX70" s="1">
        <v>1.0723760000000001E-3</v>
      </c>
      <c r="ED70" s="1">
        <v>1.3404700000000001E-3</v>
      </c>
      <c r="EH70" s="1">
        <v>4.2895040000000004E-3</v>
      </c>
      <c r="EK70" s="1">
        <v>1.3404700000000001E-3</v>
      </c>
      <c r="EL70" s="1">
        <v>4.0482193999999999E-2</v>
      </c>
      <c r="ET70" s="1">
        <v>5.3618800000000005E-4</v>
      </c>
      <c r="EX70" s="1">
        <v>2.0107049999999998E-3</v>
      </c>
      <c r="FE70" s="1">
        <v>7.3189662000000003E-2</v>
      </c>
      <c r="FM70" s="1">
        <v>0.2278799</v>
      </c>
    </row>
    <row r="71" spans="1:169" x14ac:dyDescent="0.2">
      <c r="A71" s="1" t="s">
        <v>1594</v>
      </c>
      <c r="B71" s="1" t="s">
        <v>55</v>
      </c>
      <c r="C71" s="1" t="s">
        <v>1582</v>
      </c>
      <c r="E71" s="1">
        <v>32</v>
      </c>
      <c r="F71" s="1" t="s">
        <v>1595</v>
      </c>
      <c r="H71" s="1" t="s">
        <v>1596</v>
      </c>
      <c r="I71" s="1" t="s">
        <v>7</v>
      </c>
      <c r="J71" s="1" t="s">
        <v>1597</v>
      </c>
      <c r="K71" s="1" t="s">
        <v>1598</v>
      </c>
      <c r="L71" s="1" t="s">
        <v>1597</v>
      </c>
      <c r="P71" s="1" t="s">
        <v>1269</v>
      </c>
      <c r="Q71" s="1">
        <v>2007</v>
      </c>
      <c r="R71" s="1" t="s">
        <v>1587</v>
      </c>
      <c r="S71" s="1" t="s">
        <v>27</v>
      </c>
      <c r="T71" s="38">
        <v>1</v>
      </c>
      <c r="V71" s="1">
        <v>1.2</v>
      </c>
      <c r="Y71" s="1">
        <v>0.28907359999999999</v>
      </c>
      <c r="Z71" s="1">
        <v>0.18750720000000001</v>
      </c>
      <c r="AA71" s="1">
        <v>0.38673360000000001</v>
      </c>
      <c r="AB71" s="1">
        <v>0.11426219999999999</v>
      </c>
      <c r="AD71" s="1">
        <v>0.81383333333333296</v>
      </c>
      <c r="AF71" s="1">
        <v>0.36231859999999999</v>
      </c>
      <c r="AG71" s="1">
        <v>2.1094559999999998E-2</v>
      </c>
      <c r="AU71" s="1">
        <v>5.8595999999999995E-4</v>
      </c>
      <c r="AV71" s="1">
        <v>3.9063999999999999E-4</v>
      </c>
      <c r="AW71" s="1">
        <v>2.8223740000000001E-2</v>
      </c>
      <c r="AY71" s="1">
        <v>7.0315200000000003E-3</v>
      </c>
      <c r="BA71" s="1">
        <v>0.1894604</v>
      </c>
      <c r="BD71" s="1">
        <v>7.6174800000000003E-3</v>
      </c>
      <c r="BG71" s="1">
        <v>4.9806599999999999E-2</v>
      </c>
      <c r="BI71" s="1">
        <v>2.24618E-3</v>
      </c>
      <c r="BK71" s="1">
        <v>9.7659999999999999E-4</v>
      </c>
      <c r="BL71" s="1">
        <v>2.5098619999999999E-2</v>
      </c>
      <c r="BM71" s="1">
        <v>1.36724E-3</v>
      </c>
      <c r="BS71" s="1">
        <v>3.9063999999999999E-4</v>
      </c>
      <c r="BV71" s="1">
        <v>6.8362000000000002E-4</v>
      </c>
      <c r="CA71" s="1">
        <v>3.9942940000000003E-2</v>
      </c>
      <c r="CF71" s="1">
        <v>4.8830000000000002E-3</v>
      </c>
      <c r="CK71" s="1">
        <v>0.1386772</v>
      </c>
      <c r="CZ71" s="1">
        <v>1.66022E-3</v>
      </c>
      <c r="DB71" s="1">
        <v>4.883E-4</v>
      </c>
      <c r="DF71" s="1">
        <v>8.7894000000000004E-4</v>
      </c>
      <c r="DN71" s="1">
        <v>1.7090500000000002E-2</v>
      </c>
      <c r="DU71" s="1">
        <v>2.8321399999999999E-3</v>
      </c>
      <c r="DX71" s="1">
        <v>6.8362000000000002E-4</v>
      </c>
      <c r="ED71" s="1">
        <v>2.3438399999999998E-3</v>
      </c>
      <c r="EH71" s="1">
        <v>7.22684E-3</v>
      </c>
      <c r="EK71" s="1">
        <v>6.8362000000000002E-4</v>
      </c>
      <c r="EL71" s="1">
        <v>1.728582E-2</v>
      </c>
      <c r="ET71" s="1">
        <v>5.8595999999999995E-4</v>
      </c>
      <c r="EX71" s="1">
        <v>9.7659999999999999E-4</v>
      </c>
      <c r="FE71" s="1">
        <v>6.1818779999999997E-2</v>
      </c>
      <c r="FM71" s="1">
        <v>0.27540120000000001</v>
      </c>
    </row>
    <row r="72" spans="1:169" x14ac:dyDescent="0.2">
      <c r="A72" s="1" t="s">
        <v>1599</v>
      </c>
      <c r="B72" s="1" t="s">
        <v>55</v>
      </c>
      <c r="C72" s="1" t="s">
        <v>1582</v>
      </c>
      <c r="E72" s="1">
        <v>37</v>
      </c>
      <c r="F72" s="1" t="s">
        <v>1600</v>
      </c>
      <c r="H72" s="1" t="s">
        <v>1601</v>
      </c>
      <c r="I72" s="1" t="s">
        <v>7</v>
      </c>
      <c r="J72" s="1" t="s">
        <v>1602</v>
      </c>
      <c r="K72" s="1" t="s">
        <v>1603</v>
      </c>
      <c r="L72" s="1" t="s">
        <v>1602</v>
      </c>
      <c r="P72" s="1" t="s">
        <v>1269</v>
      </c>
      <c r="Q72" s="1">
        <v>2007</v>
      </c>
      <c r="R72" s="1" t="s">
        <v>1587</v>
      </c>
      <c r="S72" s="1" t="s">
        <v>27</v>
      </c>
      <c r="T72" s="38">
        <v>1</v>
      </c>
      <c r="V72" s="1">
        <v>1.1599999999999999</v>
      </c>
      <c r="Y72" s="1">
        <v>0.24327351999999999</v>
      </c>
      <c r="Z72" s="1">
        <v>0.13431704</v>
      </c>
      <c r="AA72" s="1">
        <v>0.45273296000000002</v>
      </c>
      <c r="AB72" s="1">
        <v>0.10895647999999999</v>
      </c>
      <c r="AD72" s="1">
        <v>0.80972413793103404</v>
      </c>
      <c r="AF72" s="1">
        <v>0.40952608000000001</v>
      </c>
      <c r="AG72" s="1">
        <v>3.851048E-2</v>
      </c>
      <c r="AU72" s="1">
        <v>5.6356799999999997E-4</v>
      </c>
      <c r="AV72" s="1">
        <v>4.6964000000000001E-4</v>
      </c>
      <c r="AW72" s="1">
        <v>2.0570232000000001E-2</v>
      </c>
      <c r="AY72" s="1">
        <v>5.3538960000000003E-3</v>
      </c>
      <c r="BA72" s="1">
        <v>0.1361956</v>
      </c>
      <c r="BD72" s="1">
        <v>7.326384E-3</v>
      </c>
      <c r="BG72" s="1">
        <v>6.7346375999999999E-2</v>
      </c>
      <c r="BI72" s="1">
        <v>2.5360560000000001E-3</v>
      </c>
      <c r="BK72" s="1">
        <v>1.3149920000000001E-3</v>
      </c>
      <c r="BL72" s="1">
        <v>2.4139496E-2</v>
      </c>
      <c r="BM72" s="1">
        <v>1.221064E-3</v>
      </c>
      <c r="BS72" s="1">
        <v>4.6964000000000001E-4</v>
      </c>
      <c r="BV72" s="1">
        <v>3.75712E-4</v>
      </c>
      <c r="CA72" s="1">
        <v>2.6769479999999998E-2</v>
      </c>
      <c r="CF72" s="1">
        <v>2.9117679999999999E-3</v>
      </c>
      <c r="CK72" s="1">
        <v>9.8624400000000001E-2</v>
      </c>
      <c r="CZ72" s="1">
        <v>4.3206879999999996E-3</v>
      </c>
      <c r="DB72" s="1">
        <v>9.3928000000000002E-4</v>
      </c>
      <c r="DF72" s="1">
        <v>0</v>
      </c>
      <c r="DN72" s="1">
        <v>3.2499088000000002E-2</v>
      </c>
      <c r="DU72" s="1">
        <v>3.005696E-3</v>
      </c>
      <c r="DX72" s="1">
        <v>1.502848E-3</v>
      </c>
      <c r="ED72" s="1">
        <v>3.663192E-3</v>
      </c>
      <c r="EH72" s="1">
        <v>6.7628159999999996E-3</v>
      </c>
      <c r="EK72" s="1">
        <v>1.1271359999999999E-3</v>
      </c>
      <c r="EL72" s="1">
        <v>2.7051263999999998E-2</v>
      </c>
      <c r="ET72" s="1">
        <v>8.4535199999999995E-4</v>
      </c>
      <c r="EX72" s="1">
        <v>1.221064E-3</v>
      </c>
      <c r="FE72" s="1">
        <v>4.4521871999999997E-2</v>
      </c>
      <c r="FM72" s="1">
        <v>0.33062656000000001</v>
      </c>
    </row>
    <row r="73" spans="1:169" x14ac:dyDescent="0.2">
      <c r="A73" s="1" t="s">
        <v>1604</v>
      </c>
      <c r="B73" s="1" t="s">
        <v>55</v>
      </c>
      <c r="C73" s="1" t="s">
        <v>1582</v>
      </c>
      <c r="E73" s="1">
        <v>37</v>
      </c>
      <c r="F73" s="1" t="s">
        <v>1605</v>
      </c>
      <c r="H73" s="1" t="s">
        <v>1606</v>
      </c>
      <c r="I73" s="1" t="s">
        <v>7</v>
      </c>
      <c r="J73" s="1" t="s">
        <v>1607</v>
      </c>
      <c r="K73" s="1" t="s">
        <v>1608</v>
      </c>
      <c r="L73" s="1" t="s">
        <v>1609</v>
      </c>
      <c r="P73" s="1" t="s">
        <v>1610</v>
      </c>
      <c r="Q73" s="1">
        <v>2007</v>
      </c>
      <c r="R73" s="1" t="s">
        <v>1587</v>
      </c>
      <c r="S73" s="1" t="s">
        <v>27</v>
      </c>
      <c r="T73" s="38">
        <v>1</v>
      </c>
      <c r="V73" s="1">
        <v>1.01</v>
      </c>
      <c r="Y73" s="1">
        <v>0.23740101</v>
      </c>
      <c r="Z73" s="1">
        <v>0.10551156</v>
      </c>
      <c r="AA73" s="1">
        <v>0.37008978999999997</v>
      </c>
      <c r="AB73" s="1">
        <v>8.6327639999999997E-2</v>
      </c>
      <c r="AD73" s="1">
        <v>0.79141584158415801</v>
      </c>
      <c r="AF73" s="1">
        <v>0.35330386000000003</v>
      </c>
      <c r="AG73" s="1">
        <v>1.487E-2</v>
      </c>
      <c r="AU73" s="1">
        <v>0</v>
      </c>
      <c r="AV73" s="1">
        <v>7.9932999999999995E-5</v>
      </c>
      <c r="AW73" s="1">
        <v>1.1750151E-2</v>
      </c>
      <c r="AY73" s="1">
        <v>4.3163819999999997E-3</v>
      </c>
      <c r="BA73" s="1">
        <v>0.1518727</v>
      </c>
      <c r="BD73" s="1">
        <v>6.2347740000000002E-3</v>
      </c>
      <c r="BG73" s="1">
        <v>5.9470151999999998E-2</v>
      </c>
      <c r="BI73" s="1">
        <v>1.2789279999999999E-3</v>
      </c>
      <c r="BK73" s="1">
        <v>3.1973199999999998E-4</v>
      </c>
      <c r="BL73" s="1">
        <v>8.7926300000000003E-4</v>
      </c>
      <c r="BM73" s="1">
        <v>1.1190620000000001E-3</v>
      </c>
      <c r="BS73" s="1">
        <v>0</v>
      </c>
      <c r="BV73" s="1">
        <v>2.3979900000000001E-4</v>
      </c>
      <c r="CA73" s="1">
        <v>1.9743450999999999E-2</v>
      </c>
      <c r="CF73" s="1">
        <v>2.6377890000000002E-3</v>
      </c>
      <c r="CK73" s="1">
        <v>7.6575814000000006E-2</v>
      </c>
      <c r="CZ73" s="1">
        <v>5.8351089999999998E-3</v>
      </c>
      <c r="DB73" s="1">
        <v>7.1939699999999998E-4</v>
      </c>
      <c r="DF73" s="1">
        <v>0</v>
      </c>
      <c r="DN73" s="1">
        <v>1.1430419000000001E-2</v>
      </c>
      <c r="DU73" s="1">
        <v>2.0782579999999999E-3</v>
      </c>
      <c r="DX73" s="1">
        <v>0</v>
      </c>
      <c r="ED73" s="1">
        <v>2.0782579999999999E-3</v>
      </c>
      <c r="EH73" s="1">
        <v>3.0374540000000002E-3</v>
      </c>
      <c r="EK73" s="1">
        <v>7.9933000000000001E-4</v>
      </c>
      <c r="EL73" s="1">
        <v>2.6857487999999999E-2</v>
      </c>
      <c r="ET73" s="1">
        <v>0</v>
      </c>
      <c r="EX73" s="1">
        <v>5.5953100000000005E-4</v>
      </c>
      <c r="FE73" s="1">
        <v>3.4770855000000003E-2</v>
      </c>
      <c r="FM73" s="1">
        <v>0.28855813000000002</v>
      </c>
    </row>
    <row r="74" spans="1:169" x14ac:dyDescent="0.2">
      <c r="A74" s="1" t="s">
        <v>1611</v>
      </c>
      <c r="B74" s="1" t="s">
        <v>55</v>
      </c>
      <c r="C74" s="1" t="s">
        <v>1582</v>
      </c>
      <c r="E74" s="1">
        <v>33</v>
      </c>
      <c r="F74" s="1" t="s">
        <v>1297</v>
      </c>
      <c r="H74" s="1" t="s">
        <v>1612</v>
      </c>
      <c r="I74" s="1" t="s">
        <v>7</v>
      </c>
      <c r="J74" s="1" t="s">
        <v>1613</v>
      </c>
      <c r="K74" s="1" t="s">
        <v>1300</v>
      </c>
      <c r="L74" s="1" t="s">
        <v>1299</v>
      </c>
      <c r="P74" s="1" t="s">
        <v>1269</v>
      </c>
      <c r="Q74" s="1">
        <v>2007</v>
      </c>
      <c r="R74" s="1" t="s">
        <v>1587</v>
      </c>
      <c r="S74" s="1" t="s">
        <v>27</v>
      </c>
      <c r="T74" s="38">
        <v>1</v>
      </c>
      <c r="V74" s="1">
        <v>12.4</v>
      </c>
      <c r="Y74" s="1">
        <v>2.913681</v>
      </c>
      <c r="Z74" s="1">
        <v>3.1993360000000002</v>
      </c>
      <c r="AA74" s="1">
        <v>3.9420389999999998</v>
      </c>
      <c r="AB74" s="1">
        <v>1.3711439999999999</v>
      </c>
      <c r="AD74" s="1">
        <v>0.92146774193548397</v>
      </c>
      <c r="AF74" s="1">
        <v>2.9936644000000001</v>
      </c>
      <c r="AG74" s="1">
        <v>0.93123529999999999</v>
      </c>
      <c r="AU74" s="1">
        <v>4.57048E-3</v>
      </c>
      <c r="AV74" s="1">
        <v>3.42786E-3</v>
      </c>
      <c r="AW74" s="1">
        <v>0.51303637999999996</v>
      </c>
      <c r="AY74" s="1">
        <v>5.9416240000000002E-2</v>
      </c>
      <c r="BA74" s="1">
        <v>1.8396182000000001</v>
      </c>
      <c r="BD74" s="1">
        <v>4.1134320000000002E-2</v>
      </c>
      <c r="BG74" s="1">
        <v>0.35535482000000002</v>
      </c>
      <c r="BI74" s="1">
        <v>3.0850740000000001E-2</v>
      </c>
      <c r="BK74" s="1">
        <v>4.6847420000000001E-2</v>
      </c>
      <c r="BL74" s="1">
        <v>2.628026E-2</v>
      </c>
      <c r="BM74" s="1">
        <v>0</v>
      </c>
      <c r="BS74" s="1">
        <v>1.1426199999999999E-2</v>
      </c>
      <c r="BV74" s="1">
        <v>1.028358E-2</v>
      </c>
      <c r="CA74" s="1">
        <v>0.82839949999999996</v>
      </c>
      <c r="CF74" s="1">
        <v>3.1993359999999998E-2</v>
      </c>
      <c r="CK74" s="1">
        <v>2.2852399999999999</v>
      </c>
      <c r="CZ74" s="1">
        <v>1.5996679999999999E-2</v>
      </c>
      <c r="DB74" s="1">
        <v>1.4854060000000001E-2</v>
      </c>
      <c r="DF74" s="1">
        <v>0</v>
      </c>
      <c r="DN74" s="1">
        <v>0.85239452000000004</v>
      </c>
      <c r="DU74" s="1">
        <v>2.2852399999999998E-2</v>
      </c>
      <c r="DX74" s="1">
        <v>0</v>
      </c>
      <c r="ED74" s="1">
        <v>1.9424540000000001E-2</v>
      </c>
      <c r="EH74" s="1">
        <v>0.13939963999999999</v>
      </c>
      <c r="EK74" s="1">
        <v>1.371144E-2</v>
      </c>
      <c r="EL74" s="1">
        <v>4.6847420000000001E-2</v>
      </c>
      <c r="ET74" s="1">
        <v>4.456218E-2</v>
      </c>
      <c r="EX74" s="1">
        <v>4.5704799999999997E-2</v>
      </c>
      <c r="FE74" s="1">
        <v>0.77355373999999999</v>
      </c>
      <c r="FM74" s="1">
        <v>1.9881587999999999</v>
      </c>
    </row>
    <row r="75" spans="1:169" x14ac:dyDescent="0.2">
      <c r="A75" s="1" t="s">
        <v>1614</v>
      </c>
      <c r="B75" s="1" t="s">
        <v>55</v>
      </c>
      <c r="C75" s="1" t="s">
        <v>1582</v>
      </c>
      <c r="E75" s="1">
        <v>33</v>
      </c>
      <c r="F75" s="1" t="s">
        <v>1288</v>
      </c>
      <c r="H75" s="1" t="s">
        <v>1615</v>
      </c>
      <c r="I75" s="1" t="s">
        <v>7</v>
      </c>
      <c r="J75" s="1" t="s">
        <v>1290</v>
      </c>
      <c r="K75" s="1" t="s">
        <v>1291</v>
      </c>
      <c r="L75" s="1" t="s">
        <v>1290</v>
      </c>
      <c r="P75" s="1" t="s">
        <v>1269</v>
      </c>
      <c r="Q75" s="1">
        <v>2007</v>
      </c>
      <c r="R75" s="1" t="s">
        <v>1587</v>
      </c>
      <c r="S75" s="1" t="s">
        <v>27</v>
      </c>
      <c r="T75" s="38">
        <v>1</v>
      </c>
      <c r="V75" s="1">
        <v>3.02</v>
      </c>
      <c r="Y75" s="1">
        <v>0.69273693999999997</v>
      </c>
      <c r="Z75" s="1">
        <v>0.65796635999999997</v>
      </c>
      <c r="AA75" s="1">
        <v>1.05114138</v>
      </c>
      <c r="AB75" s="1">
        <v>0.27548998000000002</v>
      </c>
      <c r="AD75" s="1">
        <v>0.885649006622517</v>
      </c>
      <c r="AF75" s="1">
        <v>0.64726771999999999</v>
      </c>
      <c r="AG75" s="1">
        <v>0.38515104</v>
      </c>
      <c r="AU75" s="1">
        <v>5.3493200000000001E-4</v>
      </c>
      <c r="AV75" s="1">
        <v>2.67466E-4</v>
      </c>
      <c r="AW75" s="1">
        <v>8.6391518E-2</v>
      </c>
      <c r="AY75" s="1">
        <v>9.0938440000000002E-3</v>
      </c>
      <c r="BA75" s="1">
        <v>0.4145723</v>
      </c>
      <c r="BD75" s="1">
        <v>1.0698640000000001E-2</v>
      </c>
      <c r="BG75" s="1">
        <v>9.9497351999999997E-2</v>
      </c>
      <c r="BI75" s="1">
        <v>5.0818540000000002E-3</v>
      </c>
      <c r="BK75" s="1">
        <v>5.6702792000000002E-2</v>
      </c>
      <c r="BL75" s="1">
        <v>8.2914459999999992E-3</v>
      </c>
      <c r="BM75" s="1">
        <v>1.6047959999999999E-3</v>
      </c>
      <c r="BS75" s="1">
        <v>8.0239799999999996E-4</v>
      </c>
      <c r="BV75" s="1">
        <v>1.6047959999999999E-3</v>
      </c>
      <c r="CA75" s="1">
        <v>0.13480286399999999</v>
      </c>
      <c r="CF75" s="1">
        <v>6.6866499999999997E-3</v>
      </c>
      <c r="CK75" s="1">
        <v>0.42527093999999999</v>
      </c>
      <c r="CZ75" s="1">
        <v>8.5856585999999999E-2</v>
      </c>
      <c r="DB75" s="1">
        <v>1.872262E-3</v>
      </c>
      <c r="DF75" s="1">
        <v>0</v>
      </c>
      <c r="DN75" s="1">
        <v>0.37445240000000002</v>
      </c>
      <c r="DU75" s="1">
        <v>1.7385290000000001E-2</v>
      </c>
      <c r="DX75" s="1">
        <v>1.069864E-3</v>
      </c>
      <c r="ED75" s="1">
        <v>5.0818540000000002E-3</v>
      </c>
      <c r="EH75" s="1">
        <v>4.3062026000000003E-2</v>
      </c>
      <c r="EK75" s="1">
        <v>3.7445239999999999E-3</v>
      </c>
      <c r="EL75" s="1">
        <v>2.3804473999999999E-2</v>
      </c>
      <c r="ET75" s="1">
        <v>5.3493200000000001E-4</v>
      </c>
      <c r="EX75" s="1">
        <v>2.139728E-3</v>
      </c>
      <c r="FE75" s="1">
        <v>0.187761132</v>
      </c>
      <c r="FM75" s="1">
        <v>0.39317501999999999</v>
      </c>
    </row>
    <row r="76" spans="1:169" x14ac:dyDescent="0.2">
      <c r="A76" s="1" t="s">
        <v>1616</v>
      </c>
      <c r="B76" s="1" t="s">
        <v>55</v>
      </c>
      <c r="C76" s="1" t="s">
        <v>1582</v>
      </c>
      <c r="E76" s="1">
        <v>33</v>
      </c>
      <c r="F76" s="1" t="s">
        <v>1617</v>
      </c>
      <c r="H76" s="1" t="s">
        <v>1618</v>
      </c>
      <c r="I76" s="1" t="s">
        <v>7</v>
      </c>
      <c r="J76" s="1" t="s">
        <v>1619</v>
      </c>
      <c r="K76" s="1" t="s">
        <v>1620</v>
      </c>
      <c r="L76" s="1" t="s">
        <v>1619</v>
      </c>
      <c r="P76" s="1" t="s">
        <v>1269</v>
      </c>
      <c r="Q76" s="1">
        <v>2007</v>
      </c>
      <c r="R76" s="1" t="s">
        <v>1587</v>
      </c>
      <c r="S76" s="1" t="s">
        <v>27</v>
      </c>
      <c r="T76" s="38">
        <v>1</v>
      </c>
      <c r="V76" s="1">
        <v>1.21</v>
      </c>
      <c r="Y76" s="1">
        <v>0.38845642000000002</v>
      </c>
      <c r="Z76" s="1">
        <v>0.15873472999999999</v>
      </c>
      <c r="AA76" s="1">
        <v>0.28099004999999999</v>
      </c>
      <c r="AB76" s="1">
        <v>0.15774879999999999</v>
      </c>
      <c r="AD76" s="1">
        <v>0.814818181818182</v>
      </c>
      <c r="AF76" s="1">
        <v>0.24253878000000001</v>
      </c>
      <c r="AG76" s="1">
        <v>3.6676595999999999E-2</v>
      </c>
      <c r="AU76" s="1">
        <v>5.1268360000000001E-3</v>
      </c>
      <c r="AV76" s="1">
        <v>1.9718599999999999E-4</v>
      </c>
      <c r="AW76" s="1">
        <v>4.239499E-2</v>
      </c>
      <c r="AY76" s="1">
        <v>3.9437200000000004E-3</v>
      </c>
      <c r="BA76" s="1">
        <v>0.26324331000000001</v>
      </c>
      <c r="BD76" s="1">
        <v>4.6338710000000003E-3</v>
      </c>
      <c r="BG76" s="1">
        <v>5.3141626999999997E-2</v>
      </c>
      <c r="BI76" s="1">
        <v>1.478895E-3</v>
      </c>
      <c r="BK76" s="1">
        <v>4.9296500000000005E-4</v>
      </c>
      <c r="BL76" s="1">
        <v>1.2718497E-2</v>
      </c>
      <c r="BM76" s="1">
        <v>1.084523E-3</v>
      </c>
      <c r="BS76" s="1">
        <v>3.9437199999999998E-4</v>
      </c>
      <c r="BV76" s="1">
        <v>5.9155799999999995E-4</v>
      </c>
      <c r="CA76" s="1">
        <v>5.5310672999999998E-2</v>
      </c>
      <c r="CF76" s="1">
        <v>1.8732670000000001E-3</v>
      </c>
      <c r="CK76" s="1">
        <v>9.7212698E-2</v>
      </c>
      <c r="CZ76" s="1">
        <v>2.7606039999999998E-3</v>
      </c>
      <c r="DB76" s="1">
        <v>3.9437199999999998E-4</v>
      </c>
      <c r="DF76" s="1">
        <v>4.9296500000000005E-4</v>
      </c>
      <c r="DN76" s="1">
        <v>1.9817193E-2</v>
      </c>
      <c r="DU76" s="1">
        <v>1.1831159999999999E-3</v>
      </c>
      <c r="DX76" s="1">
        <v>1.9718599999999999E-4</v>
      </c>
      <c r="ED76" s="1">
        <v>5.4226150000000004E-3</v>
      </c>
      <c r="EH76" s="1">
        <v>8.7747769999999992E-3</v>
      </c>
      <c r="EK76" s="1">
        <v>9.6621139999999994E-3</v>
      </c>
      <c r="EL76" s="1">
        <v>7.5719423999999994E-2</v>
      </c>
      <c r="ET76" s="1">
        <v>3.9437199999999998E-4</v>
      </c>
      <c r="EX76" s="1">
        <v>1.774674E-3</v>
      </c>
      <c r="FE76" s="1">
        <v>4.2690769000000003E-2</v>
      </c>
      <c r="FM76" s="1">
        <v>0.11535381</v>
      </c>
    </row>
    <row r="77" spans="1:169" x14ac:dyDescent="0.2">
      <c r="A77" s="1" t="s">
        <v>1621</v>
      </c>
      <c r="B77" s="1" t="s">
        <v>55</v>
      </c>
      <c r="C77" s="1" t="s">
        <v>1622</v>
      </c>
      <c r="D77" s="1" t="s">
        <v>2</v>
      </c>
      <c r="E77" s="1">
        <v>21</v>
      </c>
      <c r="F77" s="1" t="s">
        <v>1623</v>
      </c>
      <c r="H77" s="1" t="s">
        <v>1624</v>
      </c>
      <c r="I77" s="1" t="s">
        <v>7</v>
      </c>
      <c r="J77" s="1" t="s">
        <v>1625</v>
      </c>
      <c r="K77" s="1" t="s">
        <v>1626</v>
      </c>
      <c r="L77" s="1" t="s">
        <v>1625</v>
      </c>
      <c r="N77" s="1" t="s">
        <v>1627</v>
      </c>
      <c r="P77" s="1" t="s">
        <v>1628</v>
      </c>
      <c r="Q77" s="1">
        <v>1997</v>
      </c>
      <c r="R77" s="1" t="s">
        <v>1629</v>
      </c>
      <c r="S77" s="1" t="s">
        <v>27</v>
      </c>
      <c r="T77" s="38">
        <v>1</v>
      </c>
      <c r="U77" s="1">
        <v>77.41</v>
      </c>
      <c r="X77" s="1">
        <v>2.5</v>
      </c>
    </row>
    <row r="78" spans="1:169" x14ac:dyDescent="0.2">
      <c r="A78" s="1" t="s">
        <v>1630</v>
      </c>
      <c r="B78" s="1" t="s">
        <v>55</v>
      </c>
      <c r="C78" s="1" t="s">
        <v>1622</v>
      </c>
      <c r="D78" s="1" t="s">
        <v>2</v>
      </c>
      <c r="E78" s="1">
        <v>21</v>
      </c>
      <c r="F78" s="1" t="s">
        <v>1623</v>
      </c>
      <c r="H78" s="1" t="s">
        <v>1631</v>
      </c>
      <c r="I78" s="1" t="s">
        <v>7</v>
      </c>
      <c r="J78" s="1" t="s">
        <v>1625</v>
      </c>
      <c r="K78" s="1" t="s">
        <v>1626</v>
      </c>
      <c r="L78" s="1" t="s">
        <v>1625</v>
      </c>
      <c r="M78" s="1" t="s">
        <v>1632</v>
      </c>
      <c r="N78" s="1" t="s">
        <v>1627</v>
      </c>
      <c r="P78" s="1" t="s">
        <v>1633</v>
      </c>
      <c r="Q78" s="1">
        <v>1997</v>
      </c>
      <c r="R78" s="1" t="s">
        <v>1629</v>
      </c>
      <c r="S78" s="1" t="s">
        <v>27</v>
      </c>
      <c r="T78" s="38">
        <v>1</v>
      </c>
      <c r="U78" s="1">
        <v>77.540000000000006</v>
      </c>
      <c r="X78" s="1">
        <v>2.54</v>
      </c>
    </row>
    <row r="79" spans="1:169" x14ac:dyDescent="0.2">
      <c r="A79" s="1" t="s">
        <v>1634</v>
      </c>
      <c r="B79" s="1" t="s">
        <v>55</v>
      </c>
      <c r="C79" s="1" t="s">
        <v>1622</v>
      </c>
      <c r="D79" s="1" t="s">
        <v>2</v>
      </c>
      <c r="E79" s="1">
        <v>21</v>
      </c>
      <c r="F79" s="1" t="s">
        <v>1623</v>
      </c>
      <c r="H79" s="1" t="s">
        <v>1631</v>
      </c>
      <c r="I79" s="1" t="s">
        <v>7</v>
      </c>
      <c r="J79" s="1" t="s">
        <v>1625</v>
      </c>
      <c r="K79" s="1" t="s">
        <v>1626</v>
      </c>
      <c r="L79" s="1" t="s">
        <v>1625</v>
      </c>
      <c r="M79" s="1" t="s">
        <v>1632</v>
      </c>
      <c r="N79" s="1" t="s">
        <v>1627</v>
      </c>
      <c r="P79" s="1" t="s">
        <v>1635</v>
      </c>
      <c r="Q79" s="1">
        <v>1997</v>
      </c>
      <c r="R79" s="1" t="s">
        <v>1629</v>
      </c>
      <c r="S79" s="1" t="s">
        <v>27</v>
      </c>
      <c r="T79" s="38">
        <v>1</v>
      </c>
      <c r="U79" s="1">
        <v>77.540000000000006</v>
      </c>
      <c r="X79" s="1" t="s">
        <v>1636</v>
      </c>
      <c r="Y79" s="1" t="s">
        <v>1637</v>
      </c>
      <c r="AB79" s="1" t="s">
        <v>1638</v>
      </c>
      <c r="AD79" s="1">
        <v>0.87670078740157498</v>
      </c>
      <c r="AF79" s="1" t="s">
        <v>5393</v>
      </c>
      <c r="AG79" s="1" t="s">
        <v>5394</v>
      </c>
      <c r="AW79" s="1" t="s">
        <v>5395</v>
      </c>
      <c r="AY79" s="1" t="s">
        <v>5396</v>
      </c>
      <c r="BA79" s="1" t="s">
        <v>5397</v>
      </c>
      <c r="BD79" s="1" t="s">
        <v>5398</v>
      </c>
      <c r="BG79" s="1" t="s">
        <v>5399</v>
      </c>
      <c r="BH79" s="1" t="s">
        <v>5396</v>
      </c>
      <c r="BI79" s="1" t="s">
        <v>5400</v>
      </c>
      <c r="BK79" s="1" t="s">
        <v>5401</v>
      </c>
      <c r="BS79" s="1" t="s">
        <v>5401</v>
      </c>
      <c r="CA79" s="1" t="s">
        <v>5402</v>
      </c>
      <c r="CF79" s="1" t="s">
        <v>5403</v>
      </c>
      <c r="CQ79" s="1" t="s">
        <v>5404</v>
      </c>
      <c r="CZ79" s="1" t="s">
        <v>5405</v>
      </c>
      <c r="DD79" s="1" t="s">
        <v>5406</v>
      </c>
      <c r="DF79" s="1" t="s">
        <v>5407</v>
      </c>
      <c r="DN79" s="1" t="s">
        <v>5408</v>
      </c>
      <c r="DT79" s="1" t="s">
        <v>5396</v>
      </c>
      <c r="EH79" s="1" t="s">
        <v>5409</v>
      </c>
      <c r="EX79" s="1" t="s">
        <v>5410</v>
      </c>
      <c r="FE79" s="1" t="s">
        <v>5411</v>
      </c>
      <c r="FJ79" s="1" t="s">
        <v>5412</v>
      </c>
      <c r="FM79" s="1" t="s">
        <v>5413</v>
      </c>
    </row>
    <row r="80" spans="1:169" x14ac:dyDescent="0.2">
      <c r="A80" s="1" t="s">
        <v>1639</v>
      </c>
      <c r="B80" s="1" t="s">
        <v>55</v>
      </c>
      <c r="C80" s="1" t="s">
        <v>1622</v>
      </c>
      <c r="D80" s="1" t="s">
        <v>2</v>
      </c>
      <c r="E80" s="1">
        <v>21</v>
      </c>
      <c r="F80" s="1" t="s">
        <v>1623</v>
      </c>
      <c r="H80" s="1" t="s">
        <v>1631</v>
      </c>
      <c r="I80" s="1" t="s">
        <v>7</v>
      </c>
      <c r="J80" s="1" t="s">
        <v>1625</v>
      </c>
      <c r="K80" s="1" t="s">
        <v>1626</v>
      </c>
      <c r="L80" s="1" t="s">
        <v>1625</v>
      </c>
      <c r="M80" s="1" t="s">
        <v>1640</v>
      </c>
      <c r="N80" s="1" t="s">
        <v>1627</v>
      </c>
      <c r="P80" s="1" t="s">
        <v>1635</v>
      </c>
      <c r="Q80" s="1">
        <v>1997</v>
      </c>
      <c r="R80" s="1" t="s">
        <v>1629</v>
      </c>
      <c r="S80" s="1" t="s">
        <v>27</v>
      </c>
      <c r="T80" s="38">
        <v>1</v>
      </c>
      <c r="U80" s="1">
        <v>77.540000000000006</v>
      </c>
      <c r="X80" s="1" t="s">
        <v>1636</v>
      </c>
      <c r="Y80" s="1" t="s">
        <v>1641</v>
      </c>
      <c r="AB80" s="1" t="s">
        <v>1642</v>
      </c>
      <c r="AD80" s="1">
        <v>0.87670078740157498</v>
      </c>
      <c r="AF80" s="1" t="s">
        <v>5414</v>
      </c>
      <c r="AG80" s="1" t="s">
        <v>5415</v>
      </c>
      <c r="AW80" s="1" t="s">
        <v>5416</v>
      </c>
      <c r="AY80" s="1" t="s">
        <v>5417</v>
      </c>
      <c r="BA80" s="1" t="s">
        <v>5418</v>
      </c>
      <c r="BD80" s="1" t="s">
        <v>5419</v>
      </c>
      <c r="BG80" s="1" t="s">
        <v>5420</v>
      </c>
      <c r="BH80" s="1" t="s">
        <v>5406</v>
      </c>
      <c r="BI80" s="1" t="s">
        <v>5396</v>
      </c>
      <c r="BK80" s="1" t="s">
        <v>5403</v>
      </c>
      <c r="BS80" s="1" t="s">
        <v>5400</v>
      </c>
      <c r="CA80" s="1" t="s">
        <v>5421</v>
      </c>
      <c r="CF80" s="1" t="s">
        <v>5417</v>
      </c>
      <c r="CQ80" s="1" t="s">
        <v>5422</v>
      </c>
      <c r="CZ80" s="1" t="s">
        <v>5423</v>
      </c>
      <c r="DD80" s="1" t="s">
        <v>5424</v>
      </c>
      <c r="DF80" s="1" t="s">
        <v>5425</v>
      </c>
      <c r="DN80" s="1" t="s">
        <v>5426</v>
      </c>
      <c r="DT80" s="1" t="s">
        <v>5406</v>
      </c>
      <c r="EH80" s="1" t="s">
        <v>5427</v>
      </c>
      <c r="EX80" s="1" t="s">
        <v>5428</v>
      </c>
      <c r="FE80" s="1" t="s">
        <v>5429</v>
      </c>
      <c r="FJ80" s="1" t="s">
        <v>5425</v>
      </c>
      <c r="FM80" s="1" t="s">
        <v>5430</v>
      </c>
    </row>
    <row r="81" spans="1:169" x14ac:dyDescent="0.2">
      <c r="A81" s="1" t="s">
        <v>1643</v>
      </c>
      <c r="B81" s="1" t="s">
        <v>55</v>
      </c>
      <c r="C81" s="1" t="s">
        <v>1622</v>
      </c>
      <c r="D81" s="1" t="s">
        <v>2</v>
      </c>
      <c r="E81" s="1">
        <v>21</v>
      </c>
      <c r="F81" s="1" t="s">
        <v>1623</v>
      </c>
      <c r="H81" s="1" t="s">
        <v>1631</v>
      </c>
      <c r="I81" s="1" t="s">
        <v>7</v>
      </c>
      <c r="J81" s="1" t="s">
        <v>1625</v>
      </c>
      <c r="K81" s="1" t="s">
        <v>1626</v>
      </c>
      <c r="L81" s="1" t="s">
        <v>1625</v>
      </c>
      <c r="M81" s="1" t="s">
        <v>1644</v>
      </c>
      <c r="N81" s="1" t="s">
        <v>1627</v>
      </c>
      <c r="P81" s="1" t="s">
        <v>1635</v>
      </c>
      <c r="Q81" s="1">
        <v>1997</v>
      </c>
      <c r="R81" s="1" t="s">
        <v>1629</v>
      </c>
      <c r="S81" s="1" t="s">
        <v>27</v>
      </c>
      <c r="T81" s="38">
        <v>1</v>
      </c>
      <c r="U81" s="1">
        <v>77.540000000000006</v>
      </c>
      <c r="X81" s="1" t="s">
        <v>1636</v>
      </c>
      <c r="Y81" s="1" t="s">
        <v>1645</v>
      </c>
      <c r="AB81" s="1" t="s">
        <v>1646</v>
      </c>
      <c r="AD81" s="1">
        <v>0.87670078740157498</v>
      </c>
      <c r="AF81" s="1" t="s">
        <v>5431</v>
      </c>
      <c r="AG81" s="1" t="s">
        <v>5432</v>
      </c>
      <c r="AW81" s="1" t="s">
        <v>5433</v>
      </c>
      <c r="AY81" s="1" t="s">
        <v>5434</v>
      </c>
      <c r="BA81" s="1" t="s">
        <v>5435</v>
      </c>
      <c r="BD81" s="1" t="s">
        <v>5406</v>
      </c>
      <c r="BG81" s="1" t="s">
        <v>5436</v>
      </c>
      <c r="BH81" s="1" t="s">
        <v>5396</v>
      </c>
      <c r="BI81" s="1" t="s">
        <v>5396</v>
      </c>
      <c r="BK81" s="1" t="s">
        <v>5437</v>
      </c>
      <c r="BS81" s="1" t="s">
        <v>5400</v>
      </c>
      <c r="CA81" s="1" t="s">
        <v>5438</v>
      </c>
      <c r="CF81" s="1" t="s">
        <v>5437</v>
      </c>
      <c r="CQ81" s="1" t="s">
        <v>5439</v>
      </c>
      <c r="CZ81" s="1" t="s">
        <v>5440</v>
      </c>
      <c r="DD81" s="1" t="s">
        <v>5398</v>
      </c>
      <c r="DF81" s="1" t="s">
        <v>5441</v>
      </c>
      <c r="DN81" s="1" t="s">
        <v>5442</v>
      </c>
      <c r="DT81" s="1" t="s">
        <v>5412</v>
      </c>
      <c r="EH81" s="1" t="s">
        <v>5443</v>
      </c>
      <c r="EX81" s="1" t="s">
        <v>5444</v>
      </c>
      <c r="FE81" s="1" t="s">
        <v>5442</v>
      </c>
      <c r="FJ81" s="1" t="s">
        <v>5407</v>
      </c>
      <c r="FM81" s="1" t="s">
        <v>5445</v>
      </c>
    </row>
    <row r="82" spans="1:169" x14ac:dyDescent="0.2">
      <c r="A82" s="1" t="s">
        <v>1647</v>
      </c>
      <c r="B82" s="1" t="s">
        <v>55</v>
      </c>
      <c r="C82" s="1" t="s">
        <v>1622</v>
      </c>
      <c r="D82" s="1" t="s">
        <v>2</v>
      </c>
      <c r="E82" s="1">
        <v>21</v>
      </c>
      <c r="F82" s="1" t="s">
        <v>1623</v>
      </c>
      <c r="H82" s="1" t="s">
        <v>1631</v>
      </c>
      <c r="I82" s="1" t="s">
        <v>7</v>
      </c>
      <c r="J82" s="1" t="s">
        <v>1625</v>
      </c>
      <c r="K82" s="1" t="s">
        <v>1626</v>
      </c>
      <c r="L82" s="1" t="s">
        <v>1625</v>
      </c>
      <c r="M82" s="1" t="s">
        <v>1648</v>
      </c>
      <c r="N82" s="1" t="s">
        <v>1627</v>
      </c>
      <c r="P82" s="1" t="s">
        <v>1635</v>
      </c>
      <c r="Q82" s="1">
        <v>1997</v>
      </c>
      <c r="R82" s="1" t="s">
        <v>1629</v>
      </c>
      <c r="S82" s="1" t="s">
        <v>27</v>
      </c>
      <c r="T82" s="38">
        <v>1</v>
      </c>
      <c r="U82" s="1">
        <v>77.540000000000006</v>
      </c>
      <c r="X82" s="1" t="s">
        <v>1636</v>
      </c>
      <c r="Y82" s="1" t="s">
        <v>1649</v>
      </c>
      <c r="AB82" s="1" t="s">
        <v>1650</v>
      </c>
      <c r="AD82" s="1">
        <v>0.87670078740157498</v>
      </c>
      <c r="AF82" s="1" t="s">
        <v>5446</v>
      </c>
      <c r="AG82" s="1" t="s">
        <v>5447</v>
      </c>
      <c r="AW82" s="1" t="s">
        <v>5448</v>
      </c>
      <c r="AY82" s="1" t="s">
        <v>5449</v>
      </c>
      <c r="BA82" s="1" t="s">
        <v>5450</v>
      </c>
      <c r="BD82" s="1" t="s">
        <v>5417</v>
      </c>
      <c r="BG82" s="1" t="s">
        <v>5420</v>
      </c>
      <c r="BH82" s="1" t="s">
        <v>5406</v>
      </c>
      <c r="BI82" s="1" t="s">
        <v>5400</v>
      </c>
      <c r="BK82" s="1" t="s">
        <v>5400</v>
      </c>
      <c r="BS82" s="1" t="s">
        <v>5403</v>
      </c>
      <c r="CA82" s="1" t="s">
        <v>5427</v>
      </c>
      <c r="CF82" s="1" t="s">
        <v>5417</v>
      </c>
      <c r="CQ82" s="1" t="s">
        <v>5451</v>
      </c>
      <c r="CZ82" s="1" t="s">
        <v>5405</v>
      </c>
      <c r="DD82" s="1" t="s">
        <v>5396</v>
      </c>
      <c r="DF82" s="1" t="s">
        <v>5452</v>
      </c>
      <c r="DN82" s="1" t="s">
        <v>5453</v>
      </c>
      <c r="DT82" s="1" t="s">
        <v>5441</v>
      </c>
      <c r="EH82" s="1" t="s">
        <v>5454</v>
      </c>
      <c r="EX82" s="1" t="s">
        <v>5395</v>
      </c>
      <c r="FE82" s="1" t="s">
        <v>5455</v>
      </c>
      <c r="FJ82" s="1" t="s">
        <v>5456</v>
      </c>
      <c r="FM82" s="1" t="s">
        <v>5415</v>
      </c>
    </row>
    <row r="83" spans="1:169" x14ac:dyDescent="0.2">
      <c r="A83" s="1" t="s">
        <v>1651</v>
      </c>
      <c r="B83" s="1" t="s">
        <v>55</v>
      </c>
      <c r="C83" s="1" t="s">
        <v>1622</v>
      </c>
      <c r="D83" s="1" t="s">
        <v>2</v>
      </c>
      <c r="E83" s="1">
        <v>21</v>
      </c>
      <c r="F83" s="1" t="s">
        <v>1623</v>
      </c>
      <c r="H83" s="1" t="s">
        <v>1652</v>
      </c>
      <c r="I83" s="1" t="s">
        <v>7</v>
      </c>
      <c r="J83" s="1" t="s">
        <v>1625</v>
      </c>
      <c r="K83" s="1" t="s">
        <v>1626</v>
      </c>
      <c r="L83" s="1" t="s">
        <v>1625</v>
      </c>
      <c r="M83" s="1" t="s">
        <v>1632</v>
      </c>
      <c r="N83" s="1" t="s">
        <v>1653</v>
      </c>
      <c r="P83" s="1" t="s">
        <v>1628</v>
      </c>
      <c r="Q83" s="1">
        <v>1997</v>
      </c>
      <c r="R83" s="1" t="s">
        <v>1629</v>
      </c>
      <c r="S83" s="1" t="s">
        <v>27</v>
      </c>
      <c r="T83" s="38">
        <v>1</v>
      </c>
      <c r="U83" s="1">
        <v>76.349999999999994</v>
      </c>
      <c r="X83" s="1">
        <v>3.36</v>
      </c>
    </row>
    <row r="84" spans="1:169" x14ac:dyDescent="0.2">
      <c r="A84" s="1" t="s">
        <v>1654</v>
      </c>
      <c r="B84" s="1" t="s">
        <v>55</v>
      </c>
      <c r="C84" s="1" t="s">
        <v>1622</v>
      </c>
      <c r="D84" s="1" t="s">
        <v>2</v>
      </c>
      <c r="E84" s="1">
        <v>21</v>
      </c>
      <c r="F84" s="1" t="s">
        <v>1623</v>
      </c>
      <c r="H84" s="1" t="s">
        <v>1652</v>
      </c>
      <c r="I84" s="1" t="s">
        <v>7</v>
      </c>
      <c r="J84" s="1" t="s">
        <v>1625</v>
      </c>
      <c r="K84" s="1" t="s">
        <v>1626</v>
      </c>
      <c r="L84" s="1" t="s">
        <v>1625</v>
      </c>
      <c r="M84" s="1" t="s">
        <v>1632</v>
      </c>
      <c r="N84" s="1" t="s">
        <v>1653</v>
      </c>
      <c r="P84" s="1" t="s">
        <v>1635</v>
      </c>
      <c r="Q84" s="1">
        <v>1997</v>
      </c>
      <c r="R84" s="1" t="s">
        <v>1629</v>
      </c>
      <c r="S84" s="1" t="s">
        <v>27</v>
      </c>
      <c r="T84" s="38">
        <v>1</v>
      </c>
      <c r="U84" s="1">
        <v>76.349999999999994</v>
      </c>
      <c r="X84" s="1" t="s">
        <v>1655</v>
      </c>
      <c r="Y84" s="1" t="s">
        <v>1656</v>
      </c>
      <c r="AB84" s="1" t="s">
        <v>1657</v>
      </c>
      <c r="AD84" s="1">
        <v>0.89044047619047595</v>
      </c>
      <c r="AF84" s="1" t="s">
        <v>5457</v>
      </c>
      <c r="AG84" s="1" t="s">
        <v>5458</v>
      </c>
      <c r="AW84" s="1" t="s">
        <v>5459</v>
      </c>
      <c r="AY84" s="1" t="s">
        <v>5460</v>
      </c>
      <c r="BA84" s="1" t="s">
        <v>5461</v>
      </c>
      <c r="BD84" s="1" t="s">
        <v>5462</v>
      </c>
      <c r="BG84" s="1" t="s">
        <v>5463</v>
      </c>
      <c r="BH84" s="1" t="s">
        <v>5464</v>
      </c>
      <c r="BI84" s="1" t="s">
        <v>5465</v>
      </c>
      <c r="BK84" s="1" t="s">
        <v>5465</v>
      </c>
      <c r="BS84" s="1" t="s">
        <v>5466</v>
      </c>
      <c r="CA84" s="1" t="s">
        <v>1660</v>
      </c>
      <c r="CF84" s="1" t="s">
        <v>5465</v>
      </c>
      <c r="CQ84" s="1" t="s">
        <v>5467</v>
      </c>
      <c r="CZ84" s="1" t="s">
        <v>5468</v>
      </c>
      <c r="DD84" s="1" t="s">
        <v>5469</v>
      </c>
      <c r="DF84" s="1" t="s">
        <v>5470</v>
      </c>
      <c r="DN84" s="1" t="s">
        <v>5471</v>
      </c>
      <c r="DT84" s="1" t="s">
        <v>5469</v>
      </c>
      <c r="EH84" s="1" t="s">
        <v>1666</v>
      </c>
      <c r="EX84" s="1" t="s">
        <v>5471</v>
      </c>
      <c r="FE84" s="1" t="s">
        <v>5472</v>
      </c>
      <c r="FJ84" s="1" t="s">
        <v>5473</v>
      </c>
      <c r="FM84" s="1" t="s">
        <v>5474</v>
      </c>
    </row>
    <row r="85" spans="1:169" x14ac:dyDescent="0.2">
      <c r="A85" s="1" t="s">
        <v>1658</v>
      </c>
      <c r="B85" s="1" t="s">
        <v>55</v>
      </c>
      <c r="C85" s="1" t="s">
        <v>1622</v>
      </c>
      <c r="D85" s="1" t="s">
        <v>2</v>
      </c>
      <c r="E85" s="1">
        <v>21</v>
      </c>
      <c r="F85" s="1" t="s">
        <v>1623</v>
      </c>
      <c r="H85" s="1" t="s">
        <v>1652</v>
      </c>
      <c r="I85" s="1" t="s">
        <v>7</v>
      </c>
      <c r="J85" s="1" t="s">
        <v>1625</v>
      </c>
      <c r="K85" s="1" t="s">
        <v>1626</v>
      </c>
      <c r="L85" s="1" t="s">
        <v>1625</v>
      </c>
      <c r="M85" s="1" t="s">
        <v>1640</v>
      </c>
      <c r="N85" s="1" t="s">
        <v>1653</v>
      </c>
      <c r="P85" s="1" t="s">
        <v>1635</v>
      </c>
      <c r="Q85" s="1">
        <v>1997</v>
      </c>
      <c r="R85" s="1" t="s">
        <v>1629</v>
      </c>
      <c r="S85" s="1" t="s">
        <v>27</v>
      </c>
      <c r="T85" s="38">
        <v>1</v>
      </c>
      <c r="U85" s="1">
        <v>76.349999999999994</v>
      </c>
      <c r="X85" s="1" t="s">
        <v>1655</v>
      </c>
      <c r="Y85" s="1" t="s">
        <v>1659</v>
      </c>
      <c r="AB85" s="1" t="s">
        <v>1660</v>
      </c>
      <c r="AD85" s="1">
        <v>0.89044047619047595</v>
      </c>
      <c r="AF85" s="1" t="s">
        <v>5475</v>
      </c>
      <c r="AG85" s="1" t="s">
        <v>5476</v>
      </c>
      <c r="AW85" s="1" t="s">
        <v>5477</v>
      </c>
      <c r="AY85" s="1" t="s">
        <v>5478</v>
      </c>
      <c r="BA85" s="1" t="s">
        <v>5479</v>
      </c>
      <c r="BD85" s="1" t="s">
        <v>5480</v>
      </c>
      <c r="BG85" s="1" t="s">
        <v>5481</v>
      </c>
      <c r="BH85" s="1" t="s">
        <v>5460</v>
      </c>
      <c r="BI85" s="1" t="s">
        <v>5465</v>
      </c>
      <c r="BK85" s="1" t="s">
        <v>5466</v>
      </c>
      <c r="BS85" s="1" t="s">
        <v>5482</v>
      </c>
      <c r="CA85" s="1" t="s">
        <v>5483</v>
      </c>
      <c r="CF85" s="1" t="s">
        <v>5484</v>
      </c>
      <c r="CQ85" s="1" t="s">
        <v>5485</v>
      </c>
      <c r="CZ85" s="1" t="s">
        <v>5486</v>
      </c>
      <c r="DD85" s="1" t="s">
        <v>5487</v>
      </c>
      <c r="DF85" s="1" t="s">
        <v>5488</v>
      </c>
      <c r="DN85" s="1" t="s">
        <v>5489</v>
      </c>
      <c r="DT85" s="1" t="s">
        <v>5484</v>
      </c>
      <c r="EH85" s="1" t="s">
        <v>5490</v>
      </c>
      <c r="EX85" s="1" t="s">
        <v>5491</v>
      </c>
      <c r="FE85" s="1" t="s">
        <v>5492</v>
      </c>
      <c r="FJ85" s="1" t="s">
        <v>5488</v>
      </c>
      <c r="FM85" s="1" t="s">
        <v>5493</v>
      </c>
    </row>
    <row r="86" spans="1:169" x14ac:dyDescent="0.2">
      <c r="A86" s="1" t="s">
        <v>1661</v>
      </c>
      <c r="B86" s="1" t="s">
        <v>55</v>
      </c>
      <c r="C86" s="1" t="s">
        <v>1622</v>
      </c>
      <c r="D86" s="1" t="s">
        <v>2</v>
      </c>
      <c r="E86" s="1">
        <v>21</v>
      </c>
      <c r="F86" s="1" t="s">
        <v>1623</v>
      </c>
      <c r="H86" s="1" t="s">
        <v>1652</v>
      </c>
      <c r="I86" s="1" t="s">
        <v>7</v>
      </c>
      <c r="J86" s="1" t="s">
        <v>1625</v>
      </c>
      <c r="K86" s="1" t="s">
        <v>1626</v>
      </c>
      <c r="L86" s="1" t="s">
        <v>1625</v>
      </c>
      <c r="M86" s="1" t="s">
        <v>1644</v>
      </c>
      <c r="N86" s="1" t="s">
        <v>1653</v>
      </c>
      <c r="P86" s="1" t="s">
        <v>1635</v>
      </c>
      <c r="Q86" s="1">
        <v>1997</v>
      </c>
      <c r="R86" s="1" t="s">
        <v>1629</v>
      </c>
      <c r="S86" s="1" t="s">
        <v>27</v>
      </c>
      <c r="T86" s="38">
        <v>1</v>
      </c>
      <c r="U86" s="1">
        <v>76.349999999999994</v>
      </c>
      <c r="X86" s="1" t="s">
        <v>1655</v>
      </c>
      <c r="Y86" s="1" t="s">
        <v>1662</v>
      </c>
      <c r="AB86" s="1" t="s">
        <v>1663</v>
      </c>
      <c r="AD86" s="1">
        <v>0.89044047619047595</v>
      </c>
      <c r="AF86" s="1" t="s">
        <v>5494</v>
      </c>
      <c r="AG86" s="1" t="s">
        <v>5495</v>
      </c>
      <c r="AW86" s="1" t="s">
        <v>5481</v>
      </c>
      <c r="AY86" s="1" t="s">
        <v>5480</v>
      </c>
      <c r="BA86" s="1" t="s">
        <v>5496</v>
      </c>
      <c r="BD86" s="1" t="s">
        <v>5460</v>
      </c>
      <c r="BG86" s="1" t="s">
        <v>5497</v>
      </c>
      <c r="BH86" s="1" t="s">
        <v>5462</v>
      </c>
      <c r="BI86" s="1" t="s">
        <v>5498</v>
      </c>
      <c r="BK86" s="1" t="s">
        <v>5480</v>
      </c>
      <c r="BS86" s="1" t="s">
        <v>5465</v>
      </c>
      <c r="CA86" s="1" t="s">
        <v>5499</v>
      </c>
      <c r="CF86" s="1" t="s">
        <v>5465</v>
      </c>
      <c r="CQ86" s="1" t="s">
        <v>5500</v>
      </c>
      <c r="CZ86" s="1" t="s">
        <v>5501</v>
      </c>
      <c r="DD86" s="1" t="s">
        <v>5469</v>
      </c>
      <c r="DF86" s="1" t="s">
        <v>5464</v>
      </c>
      <c r="DN86" s="1" t="s">
        <v>5502</v>
      </c>
      <c r="DT86" s="1" t="s">
        <v>5503</v>
      </c>
      <c r="EH86" s="1" t="s">
        <v>5471</v>
      </c>
      <c r="EX86" s="1" t="s">
        <v>5504</v>
      </c>
      <c r="FE86" s="1" t="s">
        <v>5505</v>
      </c>
      <c r="FJ86" s="1" t="s">
        <v>5506</v>
      </c>
      <c r="FM86" s="1" t="s">
        <v>5507</v>
      </c>
    </row>
    <row r="87" spans="1:169" x14ac:dyDescent="0.2">
      <c r="A87" s="1" t="s">
        <v>1664</v>
      </c>
      <c r="B87" s="1" t="s">
        <v>55</v>
      </c>
      <c r="C87" s="1" t="s">
        <v>1622</v>
      </c>
      <c r="D87" s="1" t="s">
        <v>2</v>
      </c>
      <c r="E87" s="1">
        <v>21</v>
      </c>
      <c r="F87" s="1" t="s">
        <v>1623</v>
      </c>
      <c r="H87" s="1" t="s">
        <v>1652</v>
      </c>
      <c r="I87" s="1" t="s">
        <v>7</v>
      </c>
      <c r="J87" s="1" t="s">
        <v>1625</v>
      </c>
      <c r="K87" s="1" t="s">
        <v>1626</v>
      </c>
      <c r="L87" s="1" t="s">
        <v>1625</v>
      </c>
      <c r="M87" s="1" t="s">
        <v>1648</v>
      </c>
      <c r="N87" s="1" t="s">
        <v>1653</v>
      </c>
      <c r="P87" s="1" t="s">
        <v>1635</v>
      </c>
      <c r="Q87" s="1">
        <v>1997</v>
      </c>
      <c r="R87" s="1" t="s">
        <v>1629</v>
      </c>
      <c r="S87" s="1" t="s">
        <v>27</v>
      </c>
      <c r="T87" s="38">
        <v>1</v>
      </c>
      <c r="U87" s="1">
        <v>76.349999999999994</v>
      </c>
      <c r="X87" s="1" t="s">
        <v>1655</v>
      </c>
      <c r="Y87" s="1" t="s">
        <v>1665</v>
      </c>
      <c r="AB87" s="1" t="s">
        <v>1666</v>
      </c>
      <c r="AD87" s="1">
        <v>0.89044047619047595</v>
      </c>
      <c r="AF87" s="1" t="s">
        <v>5508</v>
      </c>
      <c r="AG87" s="1" t="s">
        <v>5509</v>
      </c>
      <c r="AW87" s="1" t="s">
        <v>5510</v>
      </c>
      <c r="AY87" s="1" t="s">
        <v>5478</v>
      </c>
      <c r="BA87" s="1" t="s">
        <v>5511</v>
      </c>
      <c r="BD87" s="1" t="s">
        <v>5470</v>
      </c>
      <c r="BG87" s="1" t="s">
        <v>5512</v>
      </c>
      <c r="BH87" s="1" t="s">
        <v>5480</v>
      </c>
      <c r="BI87" s="1" t="s">
        <v>5465</v>
      </c>
      <c r="BK87" s="1" t="s">
        <v>5460</v>
      </c>
      <c r="BS87" s="1" t="s">
        <v>5498</v>
      </c>
      <c r="CA87" s="1" t="s">
        <v>5499</v>
      </c>
      <c r="CF87" s="1" t="s">
        <v>5470</v>
      </c>
      <c r="CQ87" s="1" t="s">
        <v>5513</v>
      </c>
      <c r="CZ87" s="1" t="s">
        <v>5501</v>
      </c>
      <c r="DD87" s="1" t="s">
        <v>5514</v>
      </c>
      <c r="DF87" s="1" t="s">
        <v>5515</v>
      </c>
      <c r="DN87" s="1" t="s">
        <v>5516</v>
      </c>
      <c r="DT87" s="1" t="s">
        <v>5517</v>
      </c>
      <c r="EH87" s="1" t="s">
        <v>5518</v>
      </c>
      <c r="EX87" s="1" t="s">
        <v>5519</v>
      </c>
      <c r="FE87" s="1" t="s">
        <v>5520</v>
      </c>
      <c r="FJ87" s="1" t="s">
        <v>5521</v>
      </c>
      <c r="FM87" s="1" t="s">
        <v>5522</v>
      </c>
    </row>
    <row r="88" spans="1:169" x14ac:dyDescent="0.2">
      <c r="A88" s="1" t="s">
        <v>1667</v>
      </c>
      <c r="B88" s="1" t="s">
        <v>55</v>
      </c>
      <c r="C88" s="1" t="s">
        <v>236</v>
      </c>
      <c r="D88" s="1" t="s">
        <v>2</v>
      </c>
      <c r="E88" s="1">
        <v>21</v>
      </c>
      <c r="F88" s="1" t="s">
        <v>1516</v>
      </c>
      <c r="H88" s="1" t="s">
        <v>1668</v>
      </c>
      <c r="I88" s="1" t="s">
        <v>7</v>
      </c>
      <c r="J88" s="1" t="s">
        <v>1518</v>
      </c>
      <c r="K88" s="1" t="s">
        <v>1519</v>
      </c>
      <c r="L88" s="1" t="s">
        <v>1518</v>
      </c>
      <c r="N88" s="1" t="s">
        <v>1669</v>
      </c>
      <c r="P88" s="1" t="s">
        <v>1670</v>
      </c>
      <c r="Q88" s="1">
        <v>1997</v>
      </c>
      <c r="R88" s="1" t="s">
        <v>1671</v>
      </c>
      <c r="S88" s="1" t="s">
        <v>27</v>
      </c>
      <c r="T88" s="38">
        <v>1</v>
      </c>
      <c r="U88" s="1">
        <v>72.099999999999994</v>
      </c>
      <c r="V88" s="1">
        <v>7.76</v>
      </c>
      <c r="Y88" s="1">
        <v>1.7486304974682001</v>
      </c>
      <c r="Z88" s="1">
        <v>3.19218162921424</v>
      </c>
      <c r="AA88" s="1">
        <v>1.8027061250737699</v>
      </c>
      <c r="AB88" s="1">
        <v>0.353561748243787</v>
      </c>
      <c r="AD88" s="1">
        <v>0.91457216494845395</v>
      </c>
      <c r="AF88" s="1">
        <v>1.4261523709056501</v>
      </c>
      <c r="AG88" s="1">
        <v>0.37655375416812598</v>
      </c>
      <c r="AW88" s="1">
        <v>0.27806793934629898</v>
      </c>
      <c r="AY88" s="1">
        <v>2.7477477508583901E-2</v>
      </c>
      <c r="BA88" s="1">
        <v>1.2988506000181199</v>
      </c>
      <c r="BG88" s="1">
        <v>0.12430212752599699</v>
      </c>
      <c r="BH88" s="1">
        <v>1.99323530692023E-2</v>
      </c>
      <c r="BS88" s="1">
        <v>1.1931165536869201E-2</v>
      </c>
      <c r="BZ88" s="1">
        <v>0.50435352489488805</v>
      </c>
      <c r="CK88" s="1">
        <v>1.65586366282422</v>
      </c>
      <c r="CM88" s="1">
        <v>0.20023737260567301</v>
      </c>
      <c r="CU88" s="1">
        <v>0.11908923981204</v>
      </c>
      <c r="CV88" s="1">
        <v>0.39577561733941502</v>
      </c>
      <c r="DA88" s="1">
        <v>0.25191667690304298</v>
      </c>
      <c r="DB88" s="1">
        <v>3.50679465007077E-2</v>
      </c>
      <c r="DF88" s="1">
        <v>1.79464227973802E-2</v>
      </c>
      <c r="DN88" s="1">
        <v>0.27399149349972302</v>
      </c>
      <c r="DT88" s="1">
        <v>2.0674384716447398E-2</v>
      </c>
      <c r="ED88" s="1">
        <v>1.27724366109643E-2</v>
      </c>
      <c r="EH88" s="1">
        <v>5.6056805125898897E-2</v>
      </c>
      <c r="EK88" s="1">
        <v>9.2651989228714707E-3</v>
      </c>
      <c r="ET88" s="1">
        <v>8.8666719950469403E-2</v>
      </c>
      <c r="EX88" s="1">
        <v>5.9850240418119198E-2</v>
      </c>
      <c r="FE88" s="1">
        <v>0.46584127511119</v>
      </c>
      <c r="FG88" s="1">
        <v>2.0697206217759102E-2</v>
      </c>
      <c r="FJ88" s="1">
        <v>0.101527718945081</v>
      </c>
      <c r="FM88" s="1">
        <v>0.69336264555524996</v>
      </c>
    </row>
    <row r="89" spans="1:169" x14ac:dyDescent="0.2">
      <c r="A89" s="1" t="s">
        <v>1672</v>
      </c>
      <c r="B89" s="1" t="s">
        <v>55</v>
      </c>
      <c r="C89" s="1" t="s">
        <v>236</v>
      </c>
      <c r="D89" s="1" t="s">
        <v>2</v>
      </c>
      <c r="E89" s="1">
        <v>21</v>
      </c>
      <c r="F89" s="1" t="s">
        <v>1673</v>
      </c>
      <c r="H89" s="1" t="s">
        <v>1674</v>
      </c>
      <c r="I89" s="1" t="s">
        <v>7</v>
      </c>
      <c r="J89" s="1" t="s">
        <v>1675</v>
      </c>
      <c r="K89" s="1" t="s">
        <v>1676</v>
      </c>
      <c r="L89" s="1" t="s">
        <v>1675</v>
      </c>
      <c r="N89" s="1" t="s">
        <v>1677</v>
      </c>
      <c r="P89" s="1" t="s">
        <v>1670</v>
      </c>
      <c r="Q89" s="1">
        <v>1997</v>
      </c>
      <c r="R89" s="1" t="s">
        <v>1671</v>
      </c>
      <c r="S89" s="1" t="s">
        <v>27</v>
      </c>
      <c r="T89" s="38">
        <v>1</v>
      </c>
      <c r="U89" s="1">
        <v>69.8</v>
      </c>
      <c r="V89" s="1">
        <v>10.64</v>
      </c>
      <c r="Y89" s="1">
        <v>2.5661656935949599</v>
      </c>
      <c r="Z89" s="1">
        <v>4.6710406363531698</v>
      </c>
      <c r="AA89" s="1">
        <v>1.9922323206186801</v>
      </c>
      <c r="AB89" s="1">
        <v>0.55468134943318603</v>
      </c>
      <c r="AD89" s="1">
        <v>0.91956015037593997</v>
      </c>
      <c r="AF89" s="1">
        <v>1.64043267483415</v>
      </c>
      <c r="AG89" s="1">
        <v>0.35179964578453099</v>
      </c>
      <c r="AW89" s="1">
        <v>0.316700963698409</v>
      </c>
      <c r="AY89" s="1">
        <v>3.0124500014400299E-2</v>
      </c>
      <c r="BA89" s="1">
        <v>2.0380443231449101</v>
      </c>
      <c r="BG89" s="1">
        <v>0.15674958352981899</v>
      </c>
      <c r="BH89" s="1">
        <v>2.4546323207425901E-2</v>
      </c>
      <c r="BS89" s="1">
        <v>1.5488160206042399E-2</v>
      </c>
      <c r="BZ89" s="1">
        <v>0.80183052146283595</v>
      </c>
      <c r="CK89" s="1">
        <v>2.75885437112187</v>
      </c>
      <c r="CM89" s="1">
        <v>0.23504616580377999</v>
      </c>
      <c r="CU89" s="1">
        <v>0.13278093424971699</v>
      </c>
      <c r="CV89" s="1">
        <v>0.41506336483985701</v>
      </c>
      <c r="DA89" s="1">
        <v>0.26454219272938601</v>
      </c>
      <c r="DB89" s="1">
        <v>2.96129320219462E-2</v>
      </c>
      <c r="DF89" s="1">
        <v>1.7821993917734501E-2</v>
      </c>
      <c r="DN89" s="1">
        <v>0.2535685801002</v>
      </c>
      <c r="DT89" s="1">
        <v>2.0649036408321698E-2</v>
      </c>
      <c r="ED89" s="1">
        <v>1.37017230892417E-2</v>
      </c>
      <c r="EH89" s="1">
        <v>6.6551226433459496E-2</v>
      </c>
      <c r="EK89" s="1">
        <v>1.0813094052994699E-2</v>
      </c>
      <c r="ET89" s="1">
        <v>0.11642426126981301</v>
      </c>
      <c r="EX89" s="1">
        <v>5.3067212133772697E-2</v>
      </c>
      <c r="FE89" s="1">
        <v>0.47255372787970701</v>
      </c>
      <c r="FG89" s="1">
        <v>2.4609321343813498E-2</v>
      </c>
      <c r="FJ89" s="1">
        <v>9.5656374915108505E-2</v>
      </c>
      <c r="FM89" s="1">
        <v>0.86463776299224504</v>
      </c>
    </row>
    <row r="90" spans="1:169" x14ac:dyDescent="0.2">
      <c r="A90" s="1" t="s">
        <v>1678</v>
      </c>
      <c r="B90" s="1" t="s">
        <v>55</v>
      </c>
      <c r="C90" s="1" t="s">
        <v>236</v>
      </c>
      <c r="D90" s="1" t="s">
        <v>2</v>
      </c>
      <c r="E90" s="1">
        <v>21</v>
      </c>
      <c r="F90" s="1" t="s">
        <v>1623</v>
      </c>
      <c r="H90" s="1" t="s">
        <v>1679</v>
      </c>
      <c r="I90" s="1" t="s">
        <v>7</v>
      </c>
      <c r="J90" s="1" t="s">
        <v>1625</v>
      </c>
      <c r="K90" s="1" t="s">
        <v>1626</v>
      </c>
      <c r="L90" s="1" t="s">
        <v>1625</v>
      </c>
      <c r="N90" s="1" t="s">
        <v>1680</v>
      </c>
      <c r="P90" s="1" t="s">
        <v>1670</v>
      </c>
      <c r="Q90" s="1">
        <v>1997</v>
      </c>
      <c r="R90" s="1" t="s">
        <v>1671</v>
      </c>
      <c r="S90" s="1" t="s">
        <v>27</v>
      </c>
      <c r="T90" s="38">
        <v>1</v>
      </c>
      <c r="U90" s="1">
        <v>75.5</v>
      </c>
      <c r="V90" s="1">
        <v>4.49</v>
      </c>
      <c r="Y90" s="1">
        <v>1.08361822868222</v>
      </c>
      <c r="Z90" s="1">
        <v>1.8413158939033401</v>
      </c>
      <c r="AA90" s="1">
        <v>0.89031228409170704</v>
      </c>
      <c r="AB90" s="1">
        <v>0.23092359332274101</v>
      </c>
      <c r="AD90" s="1">
        <v>0.90115144766147004</v>
      </c>
      <c r="AF90" s="1">
        <v>0.71728887276062303</v>
      </c>
      <c r="AG90" s="1">
        <v>0.17302341133108401</v>
      </c>
      <c r="AW90" s="1">
        <v>0.14494499034948199</v>
      </c>
      <c r="AY90" s="1">
        <v>1.3257605765116901E-2</v>
      </c>
      <c r="BA90" s="1">
        <v>0.80348496179296203</v>
      </c>
      <c r="BG90" s="1">
        <v>0.113406370466652</v>
      </c>
      <c r="BH90" s="1">
        <v>8.5243003080034598E-3</v>
      </c>
      <c r="BS90" s="1">
        <v>6.4031376657138596E-3</v>
      </c>
      <c r="BZ90" s="1">
        <v>0.23482498863186799</v>
      </c>
      <c r="CK90" s="1">
        <v>1.0826705890864901</v>
      </c>
      <c r="CM90" s="1">
        <v>9.19095825439918E-2</v>
      </c>
      <c r="CU90" s="1">
        <v>6.9533016236817999E-2</v>
      </c>
      <c r="CV90" s="1">
        <v>0.20168640966936699</v>
      </c>
      <c r="DA90" s="1">
        <v>0.12854752391144</v>
      </c>
      <c r="DB90" s="1">
        <v>1.55073203448722E-2</v>
      </c>
      <c r="DF90" s="1">
        <v>1.0233325812772301E-2</v>
      </c>
      <c r="DN90" s="1">
        <v>0.11697324131475199</v>
      </c>
      <c r="DT90" s="1">
        <v>9.3497788407139494E-3</v>
      </c>
      <c r="ED90" s="1">
        <v>5.6645862407645403E-3</v>
      </c>
      <c r="EH90" s="1">
        <v>2.5086024780528699E-2</v>
      </c>
      <c r="EK90" s="1">
        <v>5.2831586755958402E-3</v>
      </c>
      <c r="ET90" s="1">
        <v>4.0851773021943698E-2</v>
      </c>
      <c r="EX90" s="1">
        <v>3.5752646259257601E-2</v>
      </c>
      <c r="FE90" s="1">
        <v>0.22541982444903899</v>
      </c>
      <c r="FG90" s="1">
        <v>1.01740213381027E-2</v>
      </c>
      <c r="FJ90" s="1">
        <v>4.6477209215419299E-2</v>
      </c>
      <c r="FM90" s="1">
        <v>0.36928001995558901</v>
      </c>
    </row>
    <row r="91" spans="1:169" x14ac:dyDescent="0.2">
      <c r="A91" s="1" t="s">
        <v>1681</v>
      </c>
      <c r="B91" s="1" t="s">
        <v>55</v>
      </c>
      <c r="C91" s="1" t="s">
        <v>236</v>
      </c>
      <c r="E91" s="1">
        <v>11</v>
      </c>
      <c r="F91" s="1" t="s">
        <v>1389</v>
      </c>
      <c r="H91" s="1" t="s">
        <v>1682</v>
      </c>
      <c r="I91" s="1" t="s">
        <v>7</v>
      </c>
      <c r="J91" s="1" t="s">
        <v>1392</v>
      </c>
      <c r="K91" s="1" t="s">
        <v>1393</v>
      </c>
      <c r="L91" s="1" t="s">
        <v>1392</v>
      </c>
      <c r="M91" s="1" t="s">
        <v>1683</v>
      </c>
      <c r="N91" s="1" t="s">
        <v>1684</v>
      </c>
      <c r="O91" s="1">
        <v>1</v>
      </c>
      <c r="Q91" s="1">
        <v>2008</v>
      </c>
      <c r="R91" s="1" t="s">
        <v>1685</v>
      </c>
      <c r="S91" s="1" t="s">
        <v>27</v>
      </c>
      <c r="T91" s="38">
        <v>1</v>
      </c>
      <c r="U91" s="1">
        <v>74.55</v>
      </c>
      <c r="W91" s="1">
        <v>8.3000000000000007</v>
      </c>
    </row>
    <row r="92" spans="1:169" x14ac:dyDescent="0.2">
      <c r="A92" s="1" t="s">
        <v>1686</v>
      </c>
      <c r="B92" s="1" t="s">
        <v>55</v>
      </c>
      <c r="C92" s="1" t="s">
        <v>236</v>
      </c>
      <c r="E92" s="1">
        <v>11</v>
      </c>
      <c r="F92" s="1" t="s">
        <v>1687</v>
      </c>
      <c r="H92" s="1" t="s">
        <v>1688</v>
      </c>
      <c r="I92" s="1" t="s">
        <v>7</v>
      </c>
      <c r="J92" s="1" t="s">
        <v>1689</v>
      </c>
      <c r="K92" s="1" t="s">
        <v>1690</v>
      </c>
      <c r="L92" s="1" t="s">
        <v>1691</v>
      </c>
      <c r="M92" s="1" t="s">
        <v>1683</v>
      </c>
      <c r="N92" s="1" t="s">
        <v>1692</v>
      </c>
      <c r="O92" s="1">
        <v>1</v>
      </c>
      <c r="Q92" s="1">
        <v>2008</v>
      </c>
      <c r="R92" s="1" t="s">
        <v>1685</v>
      </c>
      <c r="S92" s="1" t="s">
        <v>27</v>
      </c>
      <c r="T92" s="38">
        <v>1</v>
      </c>
      <c r="U92" s="1">
        <v>74.2</v>
      </c>
      <c r="W92" s="1">
        <v>10.26</v>
      </c>
    </row>
    <row r="93" spans="1:169" x14ac:dyDescent="0.2">
      <c r="A93" s="1" t="s">
        <v>1693</v>
      </c>
      <c r="B93" s="1" t="s">
        <v>55</v>
      </c>
      <c r="C93" s="1" t="s">
        <v>236</v>
      </c>
      <c r="E93" s="1">
        <v>13</v>
      </c>
      <c r="F93" s="1" t="s">
        <v>1694</v>
      </c>
      <c r="H93" s="1" t="s">
        <v>1695</v>
      </c>
      <c r="I93" s="1" t="s">
        <v>7</v>
      </c>
      <c r="J93" s="1" t="s">
        <v>1696</v>
      </c>
      <c r="K93" s="1" t="s">
        <v>1697</v>
      </c>
      <c r="L93" s="1" t="s">
        <v>1696</v>
      </c>
      <c r="M93" s="1" t="s">
        <v>1698</v>
      </c>
      <c r="N93" s="1" t="s">
        <v>1699</v>
      </c>
      <c r="O93" s="1">
        <v>1</v>
      </c>
      <c r="Q93" s="1">
        <v>2008</v>
      </c>
      <c r="R93" s="1" t="s">
        <v>1685</v>
      </c>
      <c r="S93" s="1" t="s">
        <v>27</v>
      </c>
      <c r="T93" s="38">
        <v>1</v>
      </c>
      <c r="U93" s="1">
        <v>78.150000000000006</v>
      </c>
      <c r="W93" s="1">
        <v>6.34</v>
      </c>
    </row>
    <row r="94" spans="1:169" x14ac:dyDescent="0.2">
      <c r="A94" s="1" t="s">
        <v>1700</v>
      </c>
      <c r="B94" s="1" t="s">
        <v>55</v>
      </c>
      <c r="C94" s="1" t="s">
        <v>1701</v>
      </c>
      <c r="D94" s="1" t="s">
        <v>4</v>
      </c>
      <c r="E94" s="1">
        <v>38</v>
      </c>
      <c r="F94" s="1" t="s">
        <v>1702</v>
      </c>
      <c r="H94" s="1" t="s">
        <v>1703</v>
      </c>
      <c r="I94" s="1" t="s">
        <v>7</v>
      </c>
      <c r="K94" s="1" t="s">
        <v>1704</v>
      </c>
      <c r="L94" s="1" t="s">
        <v>1705</v>
      </c>
      <c r="M94" s="1" t="s">
        <v>1706</v>
      </c>
      <c r="N94" s="1" t="s">
        <v>1707</v>
      </c>
      <c r="O94" s="1">
        <v>1</v>
      </c>
      <c r="Q94" s="1">
        <v>1985</v>
      </c>
      <c r="R94" s="1" t="s">
        <v>1708</v>
      </c>
      <c r="S94" s="1" t="s">
        <v>27</v>
      </c>
      <c r="T94" s="38">
        <v>1</v>
      </c>
      <c r="U94" s="1">
        <v>75.3</v>
      </c>
      <c r="V94" s="1">
        <v>1</v>
      </c>
    </row>
    <row r="95" spans="1:169" x14ac:dyDescent="0.2">
      <c r="A95" s="1" t="s">
        <v>1709</v>
      </c>
      <c r="B95" s="1" t="s">
        <v>55</v>
      </c>
      <c r="C95" s="1" t="s">
        <v>1701</v>
      </c>
      <c r="D95" s="1" t="s">
        <v>2</v>
      </c>
      <c r="E95" s="1">
        <v>23</v>
      </c>
      <c r="F95" s="1" t="s">
        <v>1710</v>
      </c>
      <c r="H95" s="1" t="s">
        <v>1711</v>
      </c>
      <c r="I95" s="1" t="s">
        <v>7</v>
      </c>
      <c r="J95" s="1" t="s">
        <v>1712</v>
      </c>
      <c r="K95" s="1" t="s">
        <v>1713</v>
      </c>
      <c r="L95" s="1" t="s">
        <v>1712</v>
      </c>
      <c r="M95" s="1" t="s">
        <v>1714</v>
      </c>
      <c r="N95" s="1" t="s">
        <v>1715</v>
      </c>
      <c r="O95" s="1">
        <v>1</v>
      </c>
      <c r="Q95" s="1">
        <v>1985</v>
      </c>
      <c r="R95" s="1" t="s">
        <v>1708</v>
      </c>
      <c r="S95" s="1" t="s">
        <v>27</v>
      </c>
      <c r="T95" s="38">
        <v>1</v>
      </c>
      <c r="U95" s="1">
        <v>72.400000000000006</v>
      </c>
      <c r="V95" s="1">
        <v>7.2</v>
      </c>
    </row>
    <row r="96" spans="1:169" x14ac:dyDescent="0.2">
      <c r="A96" s="1" t="s">
        <v>1716</v>
      </c>
      <c r="B96" s="1" t="s">
        <v>55</v>
      </c>
      <c r="C96" s="1" t="s">
        <v>1701</v>
      </c>
      <c r="D96" s="1" t="s">
        <v>2</v>
      </c>
      <c r="E96" s="1">
        <v>23</v>
      </c>
      <c r="F96" s="1" t="s">
        <v>1710</v>
      </c>
      <c r="H96" s="1" t="s">
        <v>1717</v>
      </c>
      <c r="I96" s="1" t="s">
        <v>7</v>
      </c>
      <c r="J96" s="1" t="s">
        <v>1712</v>
      </c>
      <c r="K96" s="1" t="s">
        <v>1713</v>
      </c>
      <c r="L96" s="1" t="s">
        <v>1712</v>
      </c>
      <c r="M96" s="1" t="s">
        <v>1714</v>
      </c>
      <c r="N96" s="1" t="s">
        <v>1718</v>
      </c>
      <c r="O96" s="1">
        <v>1</v>
      </c>
      <c r="Q96" s="1">
        <v>1985</v>
      </c>
      <c r="R96" s="1" t="s">
        <v>1708</v>
      </c>
      <c r="S96" s="1" t="s">
        <v>27</v>
      </c>
      <c r="T96" s="38">
        <v>1</v>
      </c>
      <c r="U96" s="1">
        <v>75.599999999999994</v>
      </c>
      <c r="V96" s="1">
        <v>4.3</v>
      </c>
    </row>
    <row r="97" spans="1:169" x14ac:dyDescent="0.2">
      <c r="A97" s="1" t="s">
        <v>1719</v>
      </c>
      <c r="B97" s="1" t="s">
        <v>55</v>
      </c>
      <c r="C97" s="1" t="s">
        <v>236</v>
      </c>
      <c r="E97" s="1">
        <v>11</v>
      </c>
      <c r="F97" s="1" t="s">
        <v>1720</v>
      </c>
      <c r="G97" s="1" t="s">
        <v>1721</v>
      </c>
      <c r="H97" s="1" t="s">
        <v>1722</v>
      </c>
      <c r="I97" s="1" t="s">
        <v>7</v>
      </c>
      <c r="J97" s="1" t="s">
        <v>1723</v>
      </c>
      <c r="L97" s="1" t="s">
        <v>1724</v>
      </c>
      <c r="P97" s="1" t="s">
        <v>1725</v>
      </c>
      <c r="Q97" s="1">
        <v>2008</v>
      </c>
      <c r="R97" s="1" t="s">
        <v>1726</v>
      </c>
      <c r="S97" s="1" t="s">
        <v>27</v>
      </c>
      <c r="T97" s="38">
        <v>1</v>
      </c>
      <c r="U97" s="1">
        <v>78.3</v>
      </c>
      <c r="X97" s="1">
        <v>1.5</v>
      </c>
    </row>
    <row r="98" spans="1:169" x14ac:dyDescent="0.2">
      <c r="A98" s="1" t="s">
        <v>1727</v>
      </c>
      <c r="B98" s="1" t="s">
        <v>55</v>
      </c>
      <c r="C98" s="1" t="s">
        <v>236</v>
      </c>
      <c r="E98" s="1">
        <v>11</v>
      </c>
      <c r="F98" s="1" t="s">
        <v>1720</v>
      </c>
      <c r="G98" s="1" t="s">
        <v>1728</v>
      </c>
      <c r="H98" s="1" t="s">
        <v>1722</v>
      </c>
      <c r="I98" s="1" t="s">
        <v>7</v>
      </c>
      <c r="J98" s="1" t="s">
        <v>1729</v>
      </c>
      <c r="L98" s="1" t="s">
        <v>1724</v>
      </c>
      <c r="P98" s="1" t="s">
        <v>1725</v>
      </c>
      <c r="Q98" s="1">
        <v>2008</v>
      </c>
      <c r="R98" s="1" t="s">
        <v>1726</v>
      </c>
      <c r="S98" s="1" t="s">
        <v>27</v>
      </c>
      <c r="T98" s="38">
        <v>1</v>
      </c>
      <c r="U98" s="1">
        <v>74.3</v>
      </c>
      <c r="X98" s="1">
        <v>6.1</v>
      </c>
    </row>
    <row r="99" spans="1:169" x14ac:dyDescent="0.2">
      <c r="A99" s="1" t="s">
        <v>1730</v>
      </c>
      <c r="B99" s="1" t="s">
        <v>55</v>
      </c>
      <c r="C99" s="1" t="s">
        <v>236</v>
      </c>
      <c r="E99" s="1">
        <v>11</v>
      </c>
      <c r="F99" s="1" t="s">
        <v>1389</v>
      </c>
      <c r="G99" s="1" t="s">
        <v>1731</v>
      </c>
      <c r="H99" s="1" t="s">
        <v>1732</v>
      </c>
      <c r="I99" s="1" t="s">
        <v>7</v>
      </c>
      <c r="J99" s="1" t="s">
        <v>1392</v>
      </c>
      <c r="K99" s="1" t="s">
        <v>1393</v>
      </c>
      <c r="L99" s="1" t="s">
        <v>1392</v>
      </c>
      <c r="P99" s="1" t="s">
        <v>1725</v>
      </c>
      <c r="Q99" s="1">
        <v>2008</v>
      </c>
      <c r="R99" s="1" t="s">
        <v>1726</v>
      </c>
      <c r="S99" s="1" t="s">
        <v>27</v>
      </c>
      <c r="T99" s="38">
        <v>1</v>
      </c>
      <c r="U99" s="1">
        <v>73.099999999999994</v>
      </c>
      <c r="X99" s="1">
        <v>8.9</v>
      </c>
    </row>
    <row r="100" spans="1:169" x14ac:dyDescent="0.2">
      <c r="A100" s="1" t="s">
        <v>1733</v>
      </c>
      <c r="B100" s="1" t="s">
        <v>55</v>
      </c>
      <c r="C100" s="1" t="s">
        <v>236</v>
      </c>
      <c r="E100" s="1">
        <v>23</v>
      </c>
      <c r="F100" s="1" t="s">
        <v>1734</v>
      </c>
      <c r="G100" s="1" t="s">
        <v>1735</v>
      </c>
      <c r="H100" s="1" t="s">
        <v>1736</v>
      </c>
      <c r="I100" s="1" t="s">
        <v>7</v>
      </c>
      <c r="J100" s="1" t="s">
        <v>1737</v>
      </c>
      <c r="K100" s="1" t="s">
        <v>1738</v>
      </c>
      <c r="L100" s="1" t="s">
        <v>1737</v>
      </c>
      <c r="P100" s="1" t="s">
        <v>1725</v>
      </c>
      <c r="Q100" s="1">
        <v>2008</v>
      </c>
      <c r="R100" s="1" t="s">
        <v>1726</v>
      </c>
      <c r="S100" s="1" t="s">
        <v>27</v>
      </c>
      <c r="T100" s="38">
        <v>1</v>
      </c>
      <c r="U100" s="1">
        <v>74.900000000000006</v>
      </c>
      <c r="X100" s="1">
        <v>4.5999999999999996</v>
      </c>
    </row>
    <row r="101" spans="1:169" x14ac:dyDescent="0.2">
      <c r="A101" s="1" t="s">
        <v>1739</v>
      </c>
      <c r="B101" s="1" t="s">
        <v>55</v>
      </c>
      <c r="C101" s="1" t="s">
        <v>236</v>
      </c>
      <c r="E101" s="1">
        <v>35</v>
      </c>
      <c r="F101" s="1" t="s">
        <v>1740</v>
      </c>
      <c r="H101" s="1" t="s">
        <v>1741</v>
      </c>
      <c r="I101" s="1" t="s">
        <v>7</v>
      </c>
      <c r="J101" s="1" t="s">
        <v>1742</v>
      </c>
      <c r="K101" s="1" t="s">
        <v>1743</v>
      </c>
      <c r="L101" s="1" t="s">
        <v>1742</v>
      </c>
      <c r="O101" s="1">
        <v>1</v>
      </c>
      <c r="P101" s="1" t="s">
        <v>1744</v>
      </c>
      <c r="Q101" s="1">
        <v>2008</v>
      </c>
      <c r="R101" s="1" t="s">
        <v>1745</v>
      </c>
      <c r="S101" s="1" t="s">
        <v>27</v>
      </c>
      <c r="T101" s="38">
        <v>1</v>
      </c>
      <c r="V101" s="1">
        <v>7.51</v>
      </c>
      <c r="Y101" s="1">
        <v>1.52</v>
      </c>
      <c r="Z101" s="1">
        <v>0.93700000000000006</v>
      </c>
      <c r="AA101" s="1">
        <v>3.923</v>
      </c>
      <c r="AF101" s="1">
        <v>3.2410000000000001</v>
      </c>
      <c r="AG101" s="1">
        <v>0.68200000000000005</v>
      </c>
      <c r="AU101" s="1" t="s">
        <v>15</v>
      </c>
      <c r="AW101" s="1">
        <v>0.13400000000000001</v>
      </c>
      <c r="AY101" s="1" t="s">
        <v>15</v>
      </c>
      <c r="BA101" s="1">
        <v>0.96399999999999997</v>
      </c>
      <c r="BG101" s="1">
        <v>0.42199999999999999</v>
      </c>
      <c r="BI101" s="1" t="s">
        <v>15</v>
      </c>
      <c r="BQ101" s="1" t="s">
        <v>15</v>
      </c>
      <c r="BZ101" s="1">
        <v>9.7000000000000003E-2</v>
      </c>
      <c r="CI101" s="1">
        <v>0.84</v>
      </c>
      <c r="CL101" s="1" t="s">
        <v>15</v>
      </c>
      <c r="CP101" s="1" t="s">
        <v>15</v>
      </c>
      <c r="DK101" s="1">
        <v>0.17199999999999999</v>
      </c>
      <c r="DT101" s="1" t="s">
        <v>15</v>
      </c>
      <c r="ED101" s="1" t="s">
        <v>15</v>
      </c>
      <c r="EF101" s="1">
        <v>0.21099999999999999</v>
      </c>
      <c r="ET101" s="1" t="s">
        <v>15</v>
      </c>
      <c r="EX101" s="1">
        <v>0.51</v>
      </c>
      <c r="FE101" s="1">
        <v>0.70099999999999996</v>
      </c>
      <c r="FJ101" s="1">
        <v>0.96399999999999997</v>
      </c>
      <c r="FM101" s="1">
        <v>1.365</v>
      </c>
    </row>
    <row r="102" spans="1:169" x14ac:dyDescent="0.2">
      <c r="A102" s="1" t="s">
        <v>1746</v>
      </c>
      <c r="B102" s="1" t="s">
        <v>55</v>
      </c>
      <c r="C102" s="1" t="s">
        <v>236</v>
      </c>
      <c r="E102" s="1">
        <v>32</v>
      </c>
      <c r="F102" s="1" t="s">
        <v>1747</v>
      </c>
      <c r="H102" s="1" t="s">
        <v>1748</v>
      </c>
      <c r="I102" s="1" t="s">
        <v>7</v>
      </c>
      <c r="J102" s="1" t="s">
        <v>1749</v>
      </c>
      <c r="K102" s="1" t="s">
        <v>1750</v>
      </c>
      <c r="L102" s="1" t="s">
        <v>1749</v>
      </c>
      <c r="O102" s="1">
        <v>4</v>
      </c>
      <c r="P102" s="1" t="s">
        <v>1751</v>
      </c>
      <c r="Q102" s="1">
        <v>2008</v>
      </c>
      <c r="R102" s="1" t="s">
        <v>1745</v>
      </c>
      <c r="S102" s="1" t="s">
        <v>27</v>
      </c>
      <c r="T102" s="38">
        <v>1</v>
      </c>
      <c r="V102" s="1">
        <v>0.3</v>
      </c>
      <c r="Y102" s="1">
        <v>5.7000000000000002E-2</v>
      </c>
      <c r="Z102" s="1">
        <v>2.4E-2</v>
      </c>
      <c r="AA102" s="1">
        <v>0.121</v>
      </c>
      <c r="AF102" s="1">
        <v>0.112</v>
      </c>
      <c r="AG102" s="1">
        <v>8.0000000000000002E-3</v>
      </c>
      <c r="AU102" s="1" t="s">
        <v>15</v>
      </c>
      <c r="AW102" s="1">
        <v>1E-3</v>
      </c>
      <c r="AY102" s="1" t="s">
        <v>15</v>
      </c>
      <c r="BA102" s="1">
        <v>4.4999999999999998E-2</v>
      </c>
      <c r="BG102" s="1">
        <v>0.01</v>
      </c>
      <c r="BI102" s="1" t="s">
        <v>15</v>
      </c>
      <c r="BQ102" s="1" t="s">
        <v>15</v>
      </c>
      <c r="BZ102" s="1">
        <v>2E-3</v>
      </c>
      <c r="CI102" s="1">
        <v>1.9E-2</v>
      </c>
      <c r="CL102" s="1">
        <v>2E-3</v>
      </c>
      <c r="CP102" s="1">
        <v>2E-3</v>
      </c>
      <c r="DK102" s="1">
        <v>1E-3</v>
      </c>
      <c r="DT102" s="1" t="s">
        <v>15</v>
      </c>
      <c r="ED102" s="1" t="s">
        <v>15</v>
      </c>
      <c r="EF102" s="1" t="s">
        <v>15</v>
      </c>
      <c r="ET102" s="1">
        <v>5.0000000000000001E-3</v>
      </c>
      <c r="EX102" s="1">
        <v>7.0000000000000001E-3</v>
      </c>
      <c r="FE102" s="1">
        <v>2.8000000000000001E-2</v>
      </c>
      <c r="FJ102" s="1">
        <v>4.0000000000000001E-3</v>
      </c>
      <c r="FM102" s="1">
        <v>7.4999999999999997E-2</v>
      </c>
    </row>
    <row r="103" spans="1:169" x14ac:dyDescent="0.2">
      <c r="A103" s="1" t="s">
        <v>1752</v>
      </c>
      <c r="B103" s="1" t="s">
        <v>55</v>
      </c>
      <c r="C103" s="1" t="s">
        <v>236</v>
      </c>
      <c r="E103" s="1">
        <v>22</v>
      </c>
      <c r="F103" s="1" t="s">
        <v>1753</v>
      </c>
      <c r="H103" s="1" t="s">
        <v>1754</v>
      </c>
      <c r="I103" s="1" t="s">
        <v>7</v>
      </c>
      <c r="J103" s="1" t="s">
        <v>1755</v>
      </c>
      <c r="K103" s="1" t="s">
        <v>1756</v>
      </c>
      <c r="L103" s="1" t="s">
        <v>1755</v>
      </c>
      <c r="O103" s="1">
        <v>1</v>
      </c>
      <c r="P103" s="1" t="s">
        <v>1751</v>
      </c>
      <c r="Q103" s="1">
        <v>2008</v>
      </c>
      <c r="R103" s="1" t="s">
        <v>1745</v>
      </c>
      <c r="S103" s="1" t="s">
        <v>27</v>
      </c>
      <c r="T103" s="38">
        <v>1</v>
      </c>
      <c r="V103" s="1">
        <v>20.399999999999999</v>
      </c>
      <c r="Y103" s="1">
        <v>5.5830000000000002</v>
      </c>
      <c r="Z103" s="1">
        <v>9.5909999999999993</v>
      </c>
      <c r="AA103" s="1">
        <v>3.2050000000000001</v>
      </c>
      <c r="AF103" s="1">
        <v>1.881</v>
      </c>
      <c r="AG103" s="1">
        <v>1.284</v>
      </c>
      <c r="AU103" s="1">
        <v>5.6000000000000001E-2</v>
      </c>
      <c r="AW103" s="1">
        <v>0.67500000000000004</v>
      </c>
      <c r="AY103" s="1">
        <v>3.1E-2</v>
      </c>
      <c r="BA103" s="1">
        <v>3.5249999999999999</v>
      </c>
      <c r="BG103" s="1">
        <v>0.84699999999999998</v>
      </c>
      <c r="BI103" s="1" t="s">
        <v>15</v>
      </c>
      <c r="BQ103" s="1">
        <v>0.112</v>
      </c>
      <c r="BZ103" s="1">
        <v>1.7589999999999999</v>
      </c>
      <c r="CI103" s="1">
        <v>7.3789999999999996</v>
      </c>
      <c r="CL103" s="1" t="s">
        <v>15</v>
      </c>
      <c r="CP103" s="1" t="s">
        <v>15</v>
      </c>
      <c r="DK103" s="1">
        <v>0.61799999999999999</v>
      </c>
      <c r="DT103" s="1" t="s">
        <v>15</v>
      </c>
      <c r="ED103" s="1" t="s">
        <v>15</v>
      </c>
      <c r="EF103" s="1">
        <v>0.151</v>
      </c>
      <c r="ET103" s="1">
        <v>0.29599999999999999</v>
      </c>
      <c r="EX103" s="1">
        <v>0.66600000000000004</v>
      </c>
      <c r="FE103" s="1">
        <v>0.432</v>
      </c>
      <c r="FJ103" s="1">
        <v>0.28599999999999998</v>
      </c>
      <c r="FM103" s="1">
        <v>0.71599999999999997</v>
      </c>
    </row>
    <row r="104" spans="1:169" x14ac:dyDescent="0.2">
      <c r="A104" s="1" t="s">
        <v>1757</v>
      </c>
      <c r="B104" s="1" t="s">
        <v>55</v>
      </c>
      <c r="C104" s="1" t="s">
        <v>236</v>
      </c>
      <c r="E104" s="1">
        <v>34</v>
      </c>
      <c r="F104" s="1" t="s">
        <v>1758</v>
      </c>
      <c r="H104" s="1" t="s">
        <v>1759</v>
      </c>
      <c r="I104" s="1" t="s">
        <v>7</v>
      </c>
      <c r="J104" s="1" t="s">
        <v>1760</v>
      </c>
      <c r="K104" s="1" t="s">
        <v>1761</v>
      </c>
      <c r="L104" s="1" t="s">
        <v>1760</v>
      </c>
      <c r="O104" s="1">
        <v>3</v>
      </c>
      <c r="P104" s="1" t="s">
        <v>1751</v>
      </c>
      <c r="Q104" s="1">
        <v>2008</v>
      </c>
      <c r="R104" s="1" t="s">
        <v>1745</v>
      </c>
      <c r="S104" s="1" t="s">
        <v>27</v>
      </c>
      <c r="T104" s="38">
        <v>1</v>
      </c>
      <c r="V104" s="1">
        <v>5.78</v>
      </c>
      <c r="Y104" s="1">
        <v>0.84699999999999998</v>
      </c>
      <c r="Z104" s="1">
        <v>2.2120000000000002</v>
      </c>
      <c r="AA104" s="1">
        <v>2.141</v>
      </c>
      <c r="AF104" s="1">
        <v>1.9390000000000001</v>
      </c>
      <c r="AG104" s="1">
        <v>0.2</v>
      </c>
      <c r="AU104" s="1">
        <v>7.8E-2</v>
      </c>
      <c r="AW104" s="1">
        <v>2.5999999999999999E-2</v>
      </c>
      <c r="AY104" s="1" t="s">
        <v>15</v>
      </c>
      <c r="BA104" s="1">
        <v>0.54100000000000004</v>
      </c>
      <c r="BG104" s="1">
        <v>7.6999999999999999E-2</v>
      </c>
      <c r="BI104" s="1">
        <v>8.0000000000000002E-3</v>
      </c>
      <c r="BQ104" s="1" t="s">
        <v>15</v>
      </c>
      <c r="BZ104" s="1">
        <v>0.41199999999999998</v>
      </c>
      <c r="CI104" s="1">
        <v>1.6160000000000001</v>
      </c>
      <c r="CL104" s="1">
        <v>0.106</v>
      </c>
      <c r="CP104" s="1">
        <v>0.03</v>
      </c>
      <c r="DK104" s="1">
        <v>0.13200000000000001</v>
      </c>
      <c r="DT104" s="1" t="s">
        <v>15</v>
      </c>
      <c r="ED104" s="1">
        <v>3.0000000000000001E-3</v>
      </c>
      <c r="EF104" s="1">
        <v>6.0000000000000001E-3</v>
      </c>
      <c r="ET104" s="1">
        <v>0.66700000000000004</v>
      </c>
      <c r="EX104" s="1">
        <v>6.5000000000000002E-2</v>
      </c>
      <c r="FE104" s="1">
        <v>0.47099999999999997</v>
      </c>
      <c r="FJ104" s="1">
        <v>5.2999999999999999E-2</v>
      </c>
      <c r="FM104" s="1">
        <v>0.74199999999999999</v>
      </c>
    </row>
    <row r="105" spans="1:169" x14ac:dyDescent="0.2">
      <c r="A105" s="1" t="s">
        <v>1762</v>
      </c>
      <c r="B105" s="1" t="s">
        <v>55</v>
      </c>
      <c r="C105" s="1" t="s">
        <v>236</v>
      </c>
      <c r="E105" s="1">
        <v>23</v>
      </c>
      <c r="F105" s="1" t="s">
        <v>1763</v>
      </c>
      <c r="H105" s="1" t="s">
        <v>1764</v>
      </c>
      <c r="I105" s="1" t="s">
        <v>7</v>
      </c>
      <c r="J105" s="1" t="s">
        <v>1765</v>
      </c>
      <c r="K105" s="1" t="s">
        <v>1766</v>
      </c>
      <c r="L105" s="1" t="s">
        <v>1765</v>
      </c>
      <c r="O105" s="1">
        <v>4</v>
      </c>
      <c r="P105" s="1" t="s">
        <v>1751</v>
      </c>
      <c r="Q105" s="1">
        <v>2008</v>
      </c>
      <c r="R105" s="1" t="s">
        <v>1745</v>
      </c>
      <c r="S105" s="1" t="s">
        <v>27</v>
      </c>
      <c r="T105" s="38">
        <v>1</v>
      </c>
      <c r="V105" s="1">
        <v>0.44</v>
      </c>
      <c r="Y105" s="1">
        <v>7.3999999999999996E-2</v>
      </c>
      <c r="Z105" s="1">
        <v>6.6000000000000003E-2</v>
      </c>
      <c r="AA105" s="1">
        <v>0.16800000000000001</v>
      </c>
      <c r="AF105" s="1">
        <v>0.159</v>
      </c>
      <c r="AG105" s="1">
        <v>7.0000000000000001E-3</v>
      </c>
      <c r="AU105" s="1" t="s">
        <v>15</v>
      </c>
      <c r="AW105" s="1">
        <v>4.0000000000000001E-3</v>
      </c>
      <c r="AY105" s="1" t="s">
        <v>15</v>
      </c>
      <c r="BA105" s="1">
        <v>0.05</v>
      </c>
      <c r="BG105" s="1">
        <v>1.6E-2</v>
      </c>
      <c r="BI105" s="1" t="s">
        <v>15</v>
      </c>
      <c r="BQ105" s="1" t="s">
        <v>15</v>
      </c>
      <c r="BZ105" s="1">
        <v>6.0000000000000001E-3</v>
      </c>
      <c r="CI105" s="1">
        <v>4.4999999999999998E-2</v>
      </c>
      <c r="CL105" s="1">
        <v>2E-3</v>
      </c>
      <c r="CP105" s="1">
        <v>1E-3</v>
      </c>
      <c r="DK105" s="1">
        <v>3.0000000000000001E-3</v>
      </c>
      <c r="DT105" s="1" t="s">
        <v>15</v>
      </c>
      <c r="ED105" s="1" t="s">
        <v>15</v>
      </c>
      <c r="EF105" s="1">
        <v>2E-3</v>
      </c>
      <c r="ET105" s="1">
        <v>0.03</v>
      </c>
      <c r="EX105" s="1">
        <v>4.0000000000000001E-3</v>
      </c>
      <c r="FE105" s="1">
        <v>4.1000000000000002E-2</v>
      </c>
      <c r="FJ105" s="1">
        <v>8.0000000000000002E-3</v>
      </c>
      <c r="FM105" s="1">
        <v>7.8E-2</v>
      </c>
    </row>
    <row r="106" spans="1:169" x14ac:dyDescent="0.2">
      <c r="A106" s="1" t="s">
        <v>1767</v>
      </c>
      <c r="B106" s="1" t="s">
        <v>55</v>
      </c>
      <c r="C106" s="1" t="s">
        <v>236</v>
      </c>
      <c r="E106" s="1">
        <v>32</v>
      </c>
      <c r="F106" s="1" t="s">
        <v>1768</v>
      </c>
      <c r="H106" s="1" t="s">
        <v>1769</v>
      </c>
      <c r="I106" s="1" t="s">
        <v>7</v>
      </c>
      <c r="J106" s="1" t="s">
        <v>1770</v>
      </c>
      <c r="K106" s="1" t="s">
        <v>1771</v>
      </c>
      <c r="L106" s="1" t="s">
        <v>1770</v>
      </c>
      <c r="O106" s="1">
        <v>2</v>
      </c>
      <c r="P106" s="1" t="s">
        <v>1751</v>
      </c>
      <c r="Q106" s="1">
        <v>2008</v>
      </c>
      <c r="R106" s="1" t="s">
        <v>1745</v>
      </c>
      <c r="S106" s="1" t="s">
        <v>27</v>
      </c>
      <c r="T106" s="38">
        <v>1</v>
      </c>
      <c r="V106" s="1">
        <v>0.25</v>
      </c>
      <c r="Y106" s="1">
        <v>0.06</v>
      </c>
      <c r="Z106" s="1">
        <v>1.7999999999999999E-2</v>
      </c>
      <c r="AA106" s="1">
        <v>9.4E-2</v>
      </c>
      <c r="AF106" s="1">
        <v>8.5000000000000006E-2</v>
      </c>
      <c r="AG106" s="1">
        <v>0.01</v>
      </c>
      <c r="AU106" s="1" t="s">
        <v>15</v>
      </c>
      <c r="AW106" s="1" t="s">
        <v>15</v>
      </c>
      <c r="AY106" s="1" t="s">
        <v>15</v>
      </c>
      <c r="BA106" s="1">
        <v>4.3999999999999997E-2</v>
      </c>
      <c r="BG106" s="1">
        <v>1.0999999999999999E-2</v>
      </c>
      <c r="BI106" s="1" t="s">
        <v>15</v>
      </c>
      <c r="BQ106" s="1" t="s">
        <v>15</v>
      </c>
      <c r="BZ106" s="1">
        <v>1E-3</v>
      </c>
      <c r="CI106" s="1">
        <v>1.2E-2</v>
      </c>
      <c r="CL106" s="1" t="s">
        <v>15</v>
      </c>
      <c r="CP106" s="1">
        <v>4.0000000000000001E-3</v>
      </c>
      <c r="DK106" s="1">
        <v>2E-3</v>
      </c>
      <c r="DT106" s="1" t="s">
        <v>15</v>
      </c>
      <c r="ED106" s="1" t="s">
        <v>15</v>
      </c>
      <c r="EF106" s="1">
        <v>2E-3</v>
      </c>
      <c r="ET106" s="1" t="s">
        <v>15</v>
      </c>
      <c r="EX106" s="1">
        <v>8.0000000000000002E-3</v>
      </c>
      <c r="FE106" s="1">
        <v>1.7999999999999999E-2</v>
      </c>
      <c r="FJ106" s="1">
        <v>5.0000000000000001E-3</v>
      </c>
      <c r="FM106" s="1">
        <v>0.06</v>
      </c>
    </row>
    <row r="107" spans="1:169" x14ac:dyDescent="0.2">
      <c r="A107" s="1" t="s">
        <v>1772</v>
      </c>
      <c r="B107" s="1" t="s">
        <v>55</v>
      </c>
      <c r="C107" s="1" t="s">
        <v>236</v>
      </c>
      <c r="E107" s="1">
        <v>32</v>
      </c>
      <c r="F107" s="1" t="s">
        <v>1773</v>
      </c>
      <c r="H107" s="1" t="s">
        <v>1774</v>
      </c>
      <c r="I107" s="1" t="s">
        <v>7</v>
      </c>
      <c r="J107" s="1" t="s">
        <v>1775</v>
      </c>
      <c r="K107" s="1" t="s">
        <v>1776</v>
      </c>
      <c r="L107" s="1" t="s">
        <v>1775</v>
      </c>
      <c r="O107" s="1">
        <v>4</v>
      </c>
      <c r="P107" s="1" t="s">
        <v>1751</v>
      </c>
      <c r="Q107" s="1">
        <v>2008</v>
      </c>
      <c r="R107" s="1" t="s">
        <v>1745</v>
      </c>
      <c r="S107" s="1" t="s">
        <v>27</v>
      </c>
      <c r="T107" s="38">
        <v>1</v>
      </c>
      <c r="V107" s="1">
        <v>0.59</v>
      </c>
      <c r="Y107" s="1">
        <v>0.13</v>
      </c>
      <c r="Z107" s="1">
        <v>8.6999999999999994E-2</v>
      </c>
      <c r="AA107" s="1">
        <v>0.193</v>
      </c>
      <c r="AF107" s="1">
        <v>0.18</v>
      </c>
      <c r="AG107" s="1">
        <v>1.4E-2</v>
      </c>
      <c r="AU107" s="1" t="s">
        <v>15</v>
      </c>
      <c r="AW107" s="1">
        <v>7.0000000000000001E-3</v>
      </c>
      <c r="AY107" s="1" t="s">
        <v>15</v>
      </c>
      <c r="BA107" s="1">
        <v>8.8999999999999996E-2</v>
      </c>
      <c r="BG107" s="1">
        <v>2.1000000000000001E-2</v>
      </c>
      <c r="BI107" s="1">
        <v>1.0999999999999999E-2</v>
      </c>
      <c r="BQ107" s="1" t="s">
        <v>15</v>
      </c>
      <c r="BZ107" s="1">
        <v>1.2999999999999999E-2</v>
      </c>
      <c r="CI107" s="1">
        <v>7.2999999999999995E-2</v>
      </c>
      <c r="CL107" s="1" t="s">
        <v>15</v>
      </c>
      <c r="CP107" s="1" t="s">
        <v>15</v>
      </c>
      <c r="DK107" s="1">
        <v>3.0000000000000001E-3</v>
      </c>
      <c r="DT107" s="1" t="s">
        <v>15</v>
      </c>
      <c r="ED107" s="1">
        <v>1E-3</v>
      </c>
      <c r="EF107" s="1">
        <v>1E-3</v>
      </c>
      <c r="ET107" s="1">
        <v>8.9999999999999993E-3</v>
      </c>
      <c r="EX107" s="1">
        <v>0.01</v>
      </c>
      <c r="FE107" s="1">
        <v>2.8000000000000001E-2</v>
      </c>
      <c r="FJ107" s="1">
        <v>1.9E-2</v>
      </c>
      <c r="FM107" s="1">
        <v>0.123</v>
      </c>
    </row>
    <row r="108" spans="1:169" x14ac:dyDescent="0.2">
      <c r="A108" s="1" t="s">
        <v>1777</v>
      </c>
      <c r="B108" s="1" t="s">
        <v>55</v>
      </c>
      <c r="C108" s="1" t="s">
        <v>236</v>
      </c>
      <c r="E108" s="1">
        <v>34</v>
      </c>
      <c r="F108" s="1" t="s">
        <v>1778</v>
      </c>
      <c r="H108" s="1" t="s">
        <v>1779</v>
      </c>
      <c r="I108" s="1" t="s">
        <v>7</v>
      </c>
      <c r="J108" s="1" t="s">
        <v>1780</v>
      </c>
      <c r="K108" s="1" t="s">
        <v>1781</v>
      </c>
      <c r="L108" s="1" t="s">
        <v>1780</v>
      </c>
      <c r="O108" s="1">
        <v>2</v>
      </c>
      <c r="P108" s="1" t="s">
        <v>1751</v>
      </c>
      <c r="Q108" s="1">
        <v>2008</v>
      </c>
      <c r="R108" s="1" t="s">
        <v>1745</v>
      </c>
      <c r="S108" s="1" t="s">
        <v>27</v>
      </c>
      <c r="T108" s="38">
        <v>1</v>
      </c>
      <c r="V108" s="1">
        <v>0.59</v>
      </c>
      <c r="Y108" s="1">
        <v>0.129</v>
      </c>
      <c r="Z108" s="1">
        <v>6.3E-2</v>
      </c>
      <c r="AA108" s="1">
        <v>0.217</v>
      </c>
      <c r="AF108" s="1">
        <v>0.20300000000000001</v>
      </c>
      <c r="AG108" s="1">
        <v>1.2E-2</v>
      </c>
      <c r="AU108" s="1" t="s">
        <v>15</v>
      </c>
      <c r="AW108" s="1">
        <v>5.0000000000000001E-3</v>
      </c>
      <c r="AY108" s="1" t="s">
        <v>15</v>
      </c>
      <c r="BA108" s="1">
        <v>9.2999999999999999E-2</v>
      </c>
      <c r="BG108" s="1">
        <v>2.7E-2</v>
      </c>
      <c r="BI108" s="1">
        <v>2E-3</v>
      </c>
      <c r="BQ108" s="1" t="s">
        <v>15</v>
      </c>
      <c r="BZ108" s="1">
        <v>5.0000000000000001E-3</v>
      </c>
      <c r="CI108" s="1">
        <v>5.7000000000000002E-2</v>
      </c>
      <c r="CL108" s="1" t="s">
        <v>15</v>
      </c>
      <c r="CP108" s="1" t="s">
        <v>15</v>
      </c>
      <c r="DK108" s="1">
        <v>2E-3</v>
      </c>
      <c r="DT108" s="1" t="s">
        <v>15</v>
      </c>
      <c r="ED108" s="1" t="s">
        <v>15</v>
      </c>
      <c r="EF108" s="1">
        <v>2E-3</v>
      </c>
      <c r="ET108" s="1">
        <v>5.0000000000000001E-3</v>
      </c>
      <c r="EX108" s="1">
        <v>0.01</v>
      </c>
      <c r="FE108" s="1">
        <v>3.2000000000000001E-2</v>
      </c>
      <c r="FJ108" s="1">
        <v>8.0000000000000002E-3</v>
      </c>
      <c r="FM108" s="1">
        <v>0.156</v>
      </c>
    </row>
    <row r="109" spans="1:169" x14ac:dyDescent="0.2">
      <c r="A109" s="1" t="s">
        <v>1782</v>
      </c>
      <c r="B109" s="1" t="s">
        <v>55</v>
      </c>
      <c r="C109" s="1" t="s">
        <v>236</v>
      </c>
      <c r="E109" s="1">
        <v>37</v>
      </c>
      <c r="F109" s="1" t="s">
        <v>1600</v>
      </c>
      <c r="H109" s="1" t="s">
        <v>1783</v>
      </c>
      <c r="I109" s="1" t="s">
        <v>7</v>
      </c>
      <c r="J109" s="1" t="s">
        <v>1602</v>
      </c>
      <c r="K109" s="1" t="s">
        <v>1603</v>
      </c>
      <c r="L109" s="1" t="s">
        <v>1602</v>
      </c>
      <c r="O109" s="1">
        <v>4</v>
      </c>
      <c r="P109" s="1" t="s">
        <v>1751</v>
      </c>
      <c r="Q109" s="1">
        <v>2008</v>
      </c>
      <c r="R109" s="1" t="s">
        <v>1745</v>
      </c>
      <c r="S109" s="1" t="s">
        <v>27</v>
      </c>
      <c r="T109" s="38">
        <v>1</v>
      </c>
      <c r="V109" s="1">
        <v>7.07</v>
      </c>
      <c r="Y109" s="1">
        <v>1.867</v>
      </c>
      <c r="Z109" s="1">
        <v>1.4359999999999999</v>
      </c>
      <c r="AA109" s="1">
        <v>2.8450000000000002</v>
      </c>
      <c r="AF109" s="1">
        <v>2.585</v>
      </c>
      <c r="AG109" s="1">
        <v>0.25900000000000001</v>
      </c>
      <c r="AU109" s="1" t="s">
        <v>15</v>
      </c>
      <c r="AW109" s="1">
        <v>0.17899999999999999</v>
      </c>
      <c r="AY109" s="1">
        <v>0.01</v>
      </c>
      <c r="BA109" s="1">
        <v>1.198</v>
      </c>
      <c r="BG109" s="1">
        <v>0.32700000000000001</v>
      </c>
      <c r="BI109" s="1">
        <v>0.12</v>
      </c>
      <c r="BQ109" s="1" t="s">
        <v>15</v>
      </c>
      <c r="BZ109" s="1">
        <v>0.14499999999999999</v>
      </c>
      <c r="CI109" s="1">
        <v>1.258</v>
      </c>
      <c r="CL109" s="1" t="s">
        <v>15</v>
      </c>
      <c r="CP109" s="1">
        <v>1.4999999999999999E-2</v>
      </c>
      <c r="DK109" s="1">
        <v>0.14499999999999999</v>
      </c>
      <c r="DT109" s="1" t="s">
        <v>15</v>
      </c>
      <c r="ED109" s="1" t="s">
        <v>15</v>
      </c>
      <c r="EF109" s="1">
        <v>5.8000000000000003E-2</v>
      </c>
      <c r="ET109" s="1">
        <v>0.34300000000000003</v>
      </c>
      <c r="EX109" s="1">
        <v>0.114</v>
      </c>
      <c r="FE109" s="1">
        <v>0.66200000000000003</v>
      </c>
      <c r="FJ109" s="1">
        <v>0.11799999999999999</v>
      </c>
      <c r="FM109" s="1">
        <v>1.4039999999999999</v>
      </c>
    </row>
    <row r="110" spans="1:169" x14ac:dyDescent="0.2">
      <c r="A110" s="1" t="s">
        <v>1784</v>
      </c>
      <c r="B110" s="1" t="s">
        <v>55</v>
      </c>
      <c r="C110" s="1" t="s">
        <v>236</v>
      </c>
      <c r="E110" s="1">
        <v>32</v>
      </c>
      <c r="F110" s="1" t="s">
        <v>1785</v>
      </c>
      <c r="H110" s="1" t="s">
        <v>1786</v>
      </c>
      <c r="I110" s="1" t="s">
        <v>7</v>
      </c>
      <c r="J110" s="1" t="s">
        <v>1787</v>
      </c>
      <c r="K110" s="1" t="s">
        <v>1788</v>
      </c>
      <c r="L110" s="1" t="s">
        <v>1787</v>
      </c>
      <c r="O110" s="1">
        <v>3</v>
      </c>
      <c r="P110" s="1" t="s">
        <v>1751</v>
      </c>
      <c r="Q110" s="1">
        <v>2008</v>
      </c>
      <c r="R110" s="1" t="s">
        <v>1745</v>
      </c>
      <c r="S110" s="1" t="s">
        <v>27</v>
      </c>
      <c r="T110" s="38">
        <v>1</v>
      </c>
      <c r="V110" s="1">
        <v>0.27</v>
      </c>
      <c r="Y110" s="1">
        <v>6.4000000000000001E-2</v>
      </c>
      <c r="Z110" s="1">
        <v>2.4E-2</v>
      </c>
      <c r="AA110" s="1">
        <v>0.10299999999999999</v>
      </c>
      <c r="AF110" s="1">
        <v>9.6000000000000002E-2</v>
      </c>
      <c r="AG110" s="1">
        <v>5.0000000000000001E-3</v>
      </c>
      <c r="AU110" s="1" t="s">
        <v>15</v>
      </c>
      <c r="AW110" s="1" t="s">
        <v>15</v>
      </c>
      <c r="AY110" s="1" t="s">
        <v>15</v>
      </c>
      <c r="BA110" s="1">
        <v>4.4999999999999998E-2</v>
      </c>
      <c r="BG110" s="1">
        <v>1.0999999999999999E-2</v>
      </c>
      <c r="BI110" s="1" t="s">
        <v>15</v>
      </c>
      <c r="BQ110" s="1" t="s">
        <v>15</v>
      </c>
      <c r="BZ110" s="1">
        <v>2E-3</v>
      </c>
      <c r="CI110" s="1">
        <v>1.7999999999999999E-2</v>
      </c>
      <c r="CL110" s="1">
        <v>3.0000000000000001E-3</v>
      </c>
      <c r="CP110" s="1">
        <v>1E-3</v>
      </c>
      <c r="DK110" s="1">
        <v>1E-3</v>
      </c>
      <c r="DT110" s="1" t="s">
        <v>15</v>
      </c>
      <c r="ED110" s="1" t="s">
        <v>15</v>
      </c>
      <c r="EF110" s="1" t="s">
        <v>15</v>
      </c>
      <c r="ET110" s="1">
        <v>1E-3</v>
      </c>
      <c r="EX110" s="1">
        <v>4.0000000000000001E-3</v>
      </c>
      <c r="FE110" s="1">
        <v>1.4999999999999999E-2</v>
      </c>
      <c r="FJ110" s="1">
        <v>4.0000000000000001E-3</v>
      </c>
      <c r="FM110" s="1">
        <v>7.5999999999999998E-2</v>
      </c>
    </row>
    <row r="111" spans="1:169" x14ac:dyDescent="0.2">
      <c r="A111" s="1" t="s">
        <v>1789</v>
      </c>
      <c r="B111" s="1" t="s">
        <v>55</v>
      </c>
      <c r="C111" s="1" t="s">
        <v>236</v>
      </c>
      <c r="E111" s="1">
        <v>32</v>
      </c>
      <c r="F111" s="1" t="s">
        <v>1790</v>
      </c>
      <c r="H111" s="1" t="s">
        <v>1791</v>
      </c>
      <c r="I111" s="1" t="s">
        <v>7</v>
      </c>
      <c r="J111" s="1" t="s">
        <v>1792</v>
      </c>
      <c r="K111" s="1" t="s">
        <v>1793</v>
      </c>
      <c r="L111" s="1" t="s">
        <v>1792</v>
      </c>
      <c r="O111" s="1">
        <v>4</v>
      </c>
      <c r="P111" s="1" t="s">
        <v>1751</v>
      </c>
      <c r="Q111" s="1">
        <v>2008</v>
      </c>
      <c r="R111" s="1" t="s">
        <v>1745</v>
      </c>
      <c r="S111" s="1" t="s">
        <v>27</v>
      </c>
      <c r="T111" s="38">
        <v>1</v>
      </c>
      <c r="V111" s="1">
        <v>1.04</v>
      </c>
      <c r="Y111" s="1">
        <v>0.20599999999999999</v>
      </c>
      <c r="Z111" s="1">
        <v>0.17399999999999999</v>
      </c>
      <c r="AA111" s="1">
        <v>0.39100000000000001</v>
      </c>
      <c r="AF111" s="1">
        <v>0.26200000000000001</v>
      </c>
      <c r="AG111" s="1">
        <v>0.127</v>
      </c>
      <c r="AU111" s="1">
        <v>1.7000000000000001E-2</v>
      </c>
      <c r="AW111" s="1">
        <v>0.01</v>
      </c>
      <c r="AY111" s="1" t="s">
        <v>15</v>
      </c>
      <c r="BA111" s="1">
        <v>0.14399999999999999</v>
      </c>
      <c r="BG111" s="1">
        <v>3.2000000000000001E-2</v>
      </c>
      <c r="BI111" s="1">
        <v>2E-3</v>
      </c>
      <c r="BQ111" s="1" t="s">
        <v>15</v>
      </c>
      <c r="BZ111" s="1">
        <v>5.0000000000000001E-3</v>
      </c>
      <c r="CI111" s="1">
        <v>0.16200000000000001</v>
      </c>
      <c r="CL111" s="1">
        <v>5.0000000000000001E-3</v>
      </c>
      <c r="CP111" s="1">
        <v>1E-3</v>
      </c>
      <c r="DK111" s="1">
        <v>0.12</v>
      </c>
      <c r="DT111" s="1" t="s">
        <v>15</v>
      </c>
      <c r="ED111" s="1" t="s">
        <v>15</v>
      </c>
      <c r="EF111" s="1">
        <v>2E-3</v>
      </c>
      <c r="ET111" s="1">
        <v>8.9999999999999993E-3</v>
      </c>
      <c r="EX111" s="1">
        <v>7.0000000000000001E-3</v>
      </c>
      <c r="FE111" s="1">
        <v>7.0999999999999994E-2</v>
      </c>
      <c r="FJ111" s="1">
        <v>7.0000000000000001E-3</v>
      </c>
      <c r="FM111" s="1">
        <v>0.17299999999999999</v>
      </c>
    </row>
    <row r="112" spans="1:169" x14ac:dyDescent="0.2">
      <c r="A112" s="1" t="s">
        <v>1794</v>
      </c>
      <c r="B112" s="1" t="s">
        <v>55</v>
      </c>
      <c r="C112" s="1" t="s">
        <v>236</v>
      </c>
      <c r="E112" s="1">
        <v>23</v>
      </c>
      <c r="F112" s="1" t="s">
        <v>1273</v>
      </c>
      <c r="H112" s="1" t="s">
        <v>1795</v>
      </c>
      <c r="I112" s="1" t="s">
        <v>7</v>
      </c>
      <c r="J112" s="1" t="s">
        <v>1275</v>
      </c>
      <c r="K112" s="1" t="s">
        <v>1276</v>
      </c>
      <c r="L112" s="1" t="s">
        <v>1275</v>
      </c>
      <c r="O112" s="1">
        <v>4</v>
      </c>
      <c r="P112" s="1" t="s">
        <v>1751</v>
      </c>
      <c r="Q112" s="1">
        <v>2008</v>
      </c>
      <c r="R112" s="1" t="s">
        <v>1745</v>
      </c>
      <c r="S112" s="1" t="s">
        <v>27</v>
      </c>
      <c r="T112" s="38">
        <v>1</v>
      </c>
      <c r="V112" s="1">
        <v>13.5</v>
      </c>
      <c r="Y112" s="1">
        <v>4.0060000000000002</v>
      </c>
      <c r="Z112" s="1">
        <v>3.2370000000000001</v>
      </c>
      <c r="AA112" s="1">
        <v>5.1459999999999999</v>
      </c>
      <c r="AF112" s="1">
        <v>4.4710000000000001</v>
      </c>
      <c r="AG112" s="1">
        <v>0.67100000000000004</v>
      </c>
      <c r="AU112" s="1" t="s">
        <v>15</v>
      </c>
      <c r="AW112" s="1">
        <v>0.64</v>
      </c>
      <c r="AY112" s="1">
        <v>8.0000000000000002E-3</v>
      </c>
      <c r="BA112" s="1">
        <v>2.472</v>
      </c>
      <c r="BG112" s="1">
        <v>0.36</v>
      </c>
      <c r="BI112" s="1">
        <v>0.105</v>
      </c>
      <c r="BQ112" s="1">
        <v>7.0000000000000001E-3</v>
      </c>
      <c r="BZ112" s="1">
        <v>0.57599999999999996</v>
      </c>
      <c r="CI112" s="1">
        <v>2.2040000000000002</v>
      </c>
      <c r="CL112" s="1">
        <v>7.3999999999999996E-2</v>
      </c>
      <c r="CP112" s="1">
        <v>0.248</v>
      </c>
      <c r="DK112" s="1">
        <v>0.57699999999999996</v>
      </c>
      <c r="DT112" s="1" t="s">
        <v>15</v>
      </c>
      <c r="ED112" s="1">
        <v>1.2999999999999999E-2</v>
      </c>
      <c r="EF112" s="1">
        <v>0.17399999999999999</v>
      </c>
      <c r="ET112" s="1">
        <v>0.67200000000000004</v>
      </c>
      <c r="EX112" s="1">
        <v>8.1000000000000003E-2</v>
      </c>
      <c r="FE112" s="1">
        <v>1.1120000000000001</v>
      </c>
      <c r="FJ112" s="1">
        <v>0.34899999999999998</v>
      </c>
      <c r="FM112" s="1">
        <v>2.1640000000000001</v>
      </c>
    </row>
    <row r="113" spans="1:169" x14ac:dyDescent="0.2">
      <c r="A113" s="1" t="s">
        <v>1796</v>
      </c>
      <c r="B113" s="1" t="s">
        <v>55</v>
      </c>
      <c r="C113" s="1" t="s">
        <v>236</v>
      </c>
      <c r="E113" s="1">
        <v>35</v>
      </c>
      <c r="F113" s="1" t="s">
        <v>1797</v>
      </c>
      <c r="H113" s="1" t="s">
        <v>1798</v>
      </c>
      <c r="I113" s="1" t="s">
        <v>7</v>
      </c>
      <c r="J113" s="1" t="s">
        <v>1799</v>
      </c>
      <c r="K113" s="1" t="s">
        <v>1800</v>
      </c>
      <c r="L113" s="1" t="s">
        <v>1799</v>
      </c>
      <c r="O113" s="1">
        <v>4</v>
      </c>
      <c r="P113" s="1" t="s">
        <v>1751</v>
      </c>
      <c r="Q113" s="1">
        <v>2008</v>
      </c>
      <c r="R113" s="1" t="s">
        <v>1745</v>
      </c>
      <c r="S113" s="1" t="s">
        <v>27</v>
      </c>
      <c r="T113" s="38">
        <v>1</v>
      </c>
      <c r="V113" s="1">
        <v>5.72</v>
      </c>
      <c r="Y113" s="1">
        <v>1.7789999999999999</v>
      </c>
      <c r="Z113" s="1">
        <v>1.081</v>
      </c>
      <c r="AA113" s="1">
        <v>2.407</v>
      </c>
      <c r="AF113" s="1">
        <v>2.2709999999999999</v>
      </c>
      <c r="AG113" s="1">
        <v>0.13</v>
      </c>
      <c r="AU113" s="1" t="s">
        <v>15</v>
      </c>
      <c r="AW113" s="1">
        <v>0.17899999999999999</v>
      </c>
      <c r="AY113" s="1">
        <v>1.0999999999999999E-2</v>
      </c>
      <c r="BA113" s="1">
        <v>1.2</v>
      </c>
      <c r="BG113" s="1">
        <v>0.27600000000000002</v>
      </c>
      <c r="BI113" s="1">
        <v>4.2000000000000003E-2</v>
      </c>
      <c r="BQ113" s="1" t="s">
        <v>15</v>
      </c>
      <c r="BZ113" s="1">
        <v>0.19700000000000001</v>
      </c>
      <c r="CI113" s="1">
        <v>0.80800000000000005</v>
      </c>
      <c r="CL113" s="1">
        <v>3.0000000000000001E-3</v>
      </c>
      <c r="CP113" s="1" t="s">
        <v>15</v>
      </c>
      <c r="DK113" s="1">
        <v>3.6999999999999998E-2</v>
      </c>
      <c r="DT113" s="1" t="s">
        <v>15</v>
      </c>
      <c r="ED113" s="1">
        <v>4.0000000000000001E-3</v>
      </c>
      <c r="EF113" s="1">
        <v>0.04</v>
      </c>
      <c r="ET113" s="1">
        <v>0.14599999999999999</v>
      </c>
      <c r="EX113" s="1">
        <v>8.8999999999999996E-2</v>
      </c>
      <c r="FE113" s="1">
        <v>0.63800000000000001</v>
      </c>
      <c r="FJ113" s="1">
        <v>0.17799999999999999</v>
      </c>
      <c r="FM113" s="1">
        <v>1.2689999999999999</v>
      </c>
    </row>
    <row r="114" spans="1:169" x14ac:dyDescent="0.2">
      <c r="A114" s="1" t="s">
        <v>1801</v>
      </c>
      <c r="B114" s="1" t="s">
        <v>55</v>
      </c>
      <c r="C114" s="1" t="s">
        <v>236</v>
      </c>
      <c r="E114" s="1">
        <v>33</v>
      </c>
      <c r="F114" s="1" t="s">
        <v>1288</v>
      </c>
      <c r="H114" s="1" t="s">
        <v>1802</v>
      </c>
      <c r="I114" s="1" t="s">
        <v>7</v>
      </c>
      <c r="J114" s="1" t="s">
        <v>1290</v>
      </c>
      <c r="K114" s="1" t="s">
        <v>1291</v>
      </c>
      <c r="L114" s="1" t="s">
        <v>1290</v>
      </c>
      <c r="O114" s="1">
        <v>4</v>
      </c>
      <c r="P114" s="1" t="s">
        <v>1751</v>
      </c>
      <c r="Q114" s="1">
        <v>2008</v>
      </c>
      <c r="R114" s="1" t="s">
        <v>1745</v>
      </c>
      <c r="S114" s="1" t="s">
        <v>27</v>
      </c>
      <c r="T114" s="38">
        <v>1</v>
      </c>
      <c r="V114" s="1">
        <v>2.99</v>
      </c>
      <c r="Y114" s="1">
        <v>0.73199999999999998</v>
      </c>
      <c r="Z114" s="1">
        <v>0.56100000000000005</v>
      </c>
      <c r="AA114" s="1">
        <v>1.2210000000000001</v>
      </c>
      <c r="AF114" s="1">
        <v>1.091</v>
      </c>
      <c r="AG114" s="1">
        <v>0.123</v>
      </c>
      <c r="AU114" s="1">
        <v>2E-3</v>
      </c>
      <c r="AW114" s="1">
        <v>4.3999999999999997E-2</v>
      </c>
      <c r="AY114" s="1">
        <v>3.0000000000000001E-3</v>
      </c>
      <c r="BA114" s="1">
        <v>0.502</v>
      </c>
      <c r="BG114" s="1">
        <v>0.154</v>
      </c>
      <c r="BI114" s="1">
        <v>7.0000000000000001E-3</v>
      </c>
      <c r="BQ114" s="1">
        <v>1E-3</v>
      </c>
      <c r="BZ114" s="1">
        <v>0.124</v>
      </c>
      <c r="CI114" s="1">
        <v>0.38</v>
      </c>
      <c r="CL114" s="1">
        <v>2.7E-2</v>
      </c>
      <c r="CP114" s="1">
        <v>3.0000000000000001E-3</v>
      </c>
      <c r="DK114" s="1">
        <v>4.7E-2</v>
      </c>
      <c r="DT114" s="1">
        <v>2E-3</v>
      </c>
      <c r="ED114" s="1">
        <v>4.0000000000000001E-3</v>
      </c>
      <c r="EF114" s="1">
        <v>1.2E-2</v>
      </c>
      <c r="ET114" s="1">
        <v>0.04</v>
      </c>
      <c r="EX114" s="1">
        <v>7.1999999999999995E-2</v>
      </c>
      <c r="FE114" s="1">
        <v>0.35699999999999998</v>
      </c>
      <c r="FJ114" s="1">
        <v>6.5000000000000002E-2</v>
      </c>
      <c r="FM114" s="1">
        <v>0.61699999999999999</v>
      </c>
    </row>
    <row r="115" spans="1:169" x14ac:dyDescent="0.2">
      <c r="A115" s="1" t="s">
        <v>1803</v>
      </c>
      <c r="B115" s="1" t="s">
        <v>55</v>
      </c>
      <c r="C115" s="1" t="s">
        <v>236</v>
      </c>
      <c r="E115" s="1">
        <v>31</v>
      </c>
      <c r="F115" s="1" t="s">
        <v>1804</v>
      </c>
      <c r="H115" s="1" t="s">
        <v>1805</v>
      </c>
      <c r="I115" s="1" t="s">
        <v>7</v>
      </c>
      <c r="J115" s="1" t="s">
        <v>1806</v>
      </c>
      <c r="K115" s="1" t="s">
        <v>1807</v>
      </c>
      <c r="L115" s="1" t="s">
        <v>1806</v>
      </c>
      <c r="O115" s="1">
        <v>4</v>
      </c>
      <c r="P115" s="1" t="s">
        <v>1751</v>
      </c>
      <c r="Q115" s="1">
        <v>2008</v>
      </c>
      <c r="R115" s="1" t="s">
        <v>1745</v>
      </c>
      <c r="S115" s="1" t="s">
        <v>27</v>
      </c>
      <c r="T115" s="38">
        <v>1</v>
      </c>
      <c r="V115" s="1">
        <v>0.4</v>
      </c>
      <c r="Y115" s="1">
        <v>0.10100000000000001</v>
      </c>
      <c r="Z115" s="1">
        <v>5.1999999999999998E-2</v>
      </c>
      <c r="AA115" s="1">
        <v>0.128</v>
      </c>
      <c r="AF115" s="1">
        <v>0.109</v>
      </c>
      <c r="AG115" s="1">
        <v>1.9E-2</v>
      </c>
      <c r="AU115" s="1" t="s">
        <v>15</v>
      </c>
      <c r="AW115" s="1">
        <v>6.0000000000000001E-3</v>
      </c>
      <c r="AY115" s="1" t="s">
        <v>15</v>
      </c>
      <c r="BA115" s="1">
        <v>6.2E-2</v>
      </c>
      <c r="BG115" s="1">
        <v>2.1000000000000001E-2</v>
      </c>
      <c r="BI115" s="1">
        <v>4.0000000000000001E-3</v>
      </c>
      <c r="BQ115" s="1" t="s">
        <v>15</v>
      </c>
      <c r="BZ115" s="1">
        <v>1.2E-2</v>
      </c>
      <c r="CI115" s="1">
        <v>0.03</v>
      </c>
      <c r="CL115" s="1">
        <v>7.0000000000000001E-3</v>
      </c>
      <c r="CP115" s="1" t="s">
        <v>15</v>
      </c>
      <c r="DK115" s="1">
        <v>3.0000000000000001E-3</v>
      </c>
      <c r="DT115" s="1" t="s">
        <v>15</v>
      </c>
      <c r="ED115" s="1" t="s">
        <v>15</v>
      </c>
      <c r="EF115" s="1">
        <v>1E-3</v>
      </c>
      <c r="ET115" s="1" t="s">
        <v>15</v>
      </c>
      <c r="EX115" s="1">
        <v>1.6E-2</v>
      </c>
      <c r="FE115" s="1">
        <v>1.4E-2</v>
      </c>
      <c r="FJ115" s="1">
        <v>2.1999999999999999E-2</v>
      </c>
      <c r="FM115" s="1">
        <v>7.1999999999999995E-2</v>
      </c>
    </row>
    <row r="116" spans="1:169" x14ac:dyDescent="0.2">
      <c r="A116" s="1" t="s">
        <v>1808</v>
      </c>
      <c r="B116" s="1" t="s">
        <v>55</v>
      </c>
      <c r="C116" s="1" t="s">
        <v>236</v>
      </c>
      <c r="E116" s="1">
        <v>36</v>
      </c>
      <c r="F116" s="1" t="s">
        <v>1809</v>
      </c>
      <c r="H116" s="1" t="s">
        <v>1810</v>
      </c>
      <c r="I116" s="1" t="s">
        <v>7</v>
      </c>
      <c r="J116" s="1" t="s">
        <v>1811</v>
      </c>
      <c r="K116" s="1" t="s">
        <v>1812</v>
      </c>
      <c r="L116" s="1" t="s">
        <v>1811</v>
      </c>
      <c r="O116" s="1">
        <v>4</v>
      </c>
      <c r="P116" s="1" t="s">
        <v>1751</v>
      </c>
      <c r="Q116" s="1">
        <v>2008</v>
      </c>
      <c r="R116" s="1" t="s">
        <v>1745</v>
      </c>
      <c r="S116" s="1" t="s">
        <v>27</v>
      </c>
      <c r="T116" s="38">
        <v>1</v>
      </c>
      <c r="V116" s="1">
        <v>12.4</v>
      </c>
      <c r="Y116" s="1">
        <v>3.3980000000000001</v>
      </c>
      <c r="Z116" s="1">
        <v>3.3279999999999998</v>
      </c>
      <c r="AA116" s="1">
        <v>4.3310000000000004</v>
      </c>
      <c r="AF116" s="1">
        <v>3.7639999999999998</v>
      </c>
      <c r="AG116" s="1">
        <v>0.54100000000000004</v>
      </c>
      <c r="AU116" s="1" t="s">
        <v>15</v>
      </c>
      <c r="AW116" s="1">
        <v>0.24099999999999999</v>
      </c>
      <c r="AY116" s="1">
        <v>0.03</v>
      </c>
      <c r="BA116" s="1">
        <v>2.0350000000000001</v>
      </c>
      <c r="BG116" s="1">
        <v>0.65100000000000002</v>
      </c>
      <c r="BI116" s="1">
        <v>0.191</v>
      </c>
      <c r="BQ116" s="1" t="s">
        <v>15</v>
      </c>
      <c r="BZ116" s="1">
        <v>0.48799999999999999</v>
      </c>
      <c r="CI116" s="1">
        <v>2.1080000000000001</v>
      </c>
      <c r="CL116" s="1">
        <v>0.46899999999999997</v>
      </c>
      <c r="CP116" s="1">
        <v>3.6999999999999998E-2</v>
      </c>
      <c r="DK116" s="1">
        <v>7.0000000000000007E-2</v>
      </c>
      <c r="DT116" s="1" t="s">
        <v>15</v>
      </c>
      <c r="ED116" s="1">
        <v>2.4E-2</v>
      </c>
      <c r="EF116" s="1">
        <v>3.9E-2</v>
      </c>
      <c r="ET116" s="1">
        <v>0.36699999999999999</v>
      </c>
      <c r="EX116" s="1">
        <v>0.44700000000000001</v>
      </c>
      <c r="FE116" s="1">
        <v>1.2649999999999999</v>
      </c>
      <c r="FJ116" s="1">
        <v>0.34300000000000003</v>
      </c>
      <c r="FM116" s="1">
        <v>1.75</v>
      </c>
    </row>
    <row r="117" spans="1:169" x14ac:dyDescent="0.2">
      <c r="A117" s="1" t="s">
        <v>1813</v>
      </c>
      <c r="B117" s="1" t="s">
        <v>55</v>
      </c>
      <c r="C117" s="1" t="s">
        <v>236</v>
      </c>
      <c r="E117" s="1">
        <v>36</v>
      </c>
      <c r="F117" s="1" t="s">
        <v>1814</v>
      </c>
      <c r="H117" s="1" t="s">
        <v>1815</v>
      </c>
      <c r="I117" s="1" t="s">
        <v>7</v>
      </c>
      <c r="J117" s="1" t="s">
        <v>1816</v>
      </c>
      <c r="K117" s="1" t="s">
        <v>1817</v>
      </c>
      <c r="L117" s="1" t="s">
        <v>1816</v>
      </c>
      <c r="O117" s="1">
        <v>4</v>
      </c>
      <c r="P117" s="1" t="s">
        <v>1751</v>
      </c>
      <c r="Q117" s="1">
        <v>2008</v>
      </c>
      <c r="R117" s="1" t="s">
        <v>1745</v>
      </c>
      <c r="S117" s="1" t="s">
        <v>27</v>
      </c>
      <c r="T117" s="38">
        <v>1</v>
      </c>
      <c r="V117" s="1">
        <v>0.73</v>
      </c>
      <c r="Y117" s="1">
        <v>0.187</v>
      </c>
      <c r="Z117" s="1">
        <v>0.113</v>
      </c>
      <c r="AA117" s="1">
        <v>0.21099999999999999</v>
      </c>
      <c r="AF117" s="1">
        <v>0.18</v>
      </c>
      <c r="AG117" s="1">
        <v>3.1E-2</v>
      </c>
      <c r="AU117" s="1" t="s">
        <v>15</v>
      </c>
      <c r="AW117" s="1">
        <v>6.0000000000000001E-3</v>
      </c>
      <c r="AY117" s="1">
        <v>1E-3</v>
      </c>
      <c r="BA117" s="1">
        <v>0.109</v>
      </c>
      <c r="BG117" s="1">
        <v>5.2999999999999999E-2</v>
      </c>
      <c r="BI117" s="1">
        <v>3.0000000000000001E-3</v>
      </c>
      <c r="BQ117" s="1" t="s">
        <v>15</v>
      </c>
      <c r="BZ117" s="1">
        <v>0.01</v>
      </c>
      <c r="CI117" s="1">
        <v>9.4E-2</v>
      </c>
      <c r="CL117" s="1">
        <v>1E-3</v>
      </c>
      <c r="CP117" s="1" t="s">
        <v>15</v>
      </c>
      <c r="DK117" s="1">
        <v>1.2E-2</v>
      </c>
      <c r="DT117" s="1" t="s">
        <v>15</v>
      </c>
      <c r="ED117" s="1">
        <v>1E-3</v>
      </c>
      <c r="EF117" s="1">
        <v>3.0000000000000001E-3</v>
      </c>
      <c r="ET117" s="1">
        <v>4.0000000000000001E-3</v>
      </c>
      <c r="EX117" s="1">
        <v>1.7999999999999999E-2</v>
      </c>
      <c r="FE117" s="1">
        <v>3.5000000000000003E-2</v>
      </c>
      <c r="FJ117" s="1">
        <v>7.0000000000000001E-3</v>
      </c>
      <c r="FM117" s="1">
        <v>0.13100000000000001</v>
      </c>
    </row>
    <row r="118" spans="1:169" x14ac:dyDescent="0.2">
      <c r="A118" s="1" t="s">
        <v>1818</v>
      </c>
      <c r="B118" s="1" t="s">
        <v>55</v>
      </c>
      <c r="C118" s="1" t="s">
        <v>236</v>
      </c>
      <c r="E118" s="1">
        <v>34</v>
      </c>
      <c r="F118" s="1" t="s">
        <v>1819</v>
      </c>
      <c r="H118" s="1" t="s">
        <v>1820</v>
      </c>
      <c r="I118" s="1" t="s">
        <v>7</v>
      </c>
      <c r="J118" s="1" t="s">
        <v>1821</v>
      </c>
      <c r="K118" s="1" t="s">
        <v>1822</v>
      </c>
      <c r="L118" s="1" t="s">
        <v>1823</v>
      </c>
      <c r="O118" s="1">
        <v>4</v>
      </c>
      <c r="P118" s="1" t="s">
        <v>1824</v>
      </c>
      <c r="Q118" s="1">
        <v>2008</v>
      </c>
      <c r="R118" s="1" t="s">
        <v>1745</v>
      </c>
      <c r="S118" s="1" t="s">
        <v>27</v>
      </c>
      <c r="T118" s="38">
        <v>1</v>
      </c>
      <c r="V118" s="1">
        <v>0.21</v>
      </c>
      <c r="Y118" s="1">
        <v>5.1999999999999998E-2</v>
      </c>
      <c r="Z118" s="1">
        <v>3.3000000000000002E-2</v>
      </c>
      <c r="AA118" s="1">
        <v>7.0999999999999994E-2</v>
      </c>
      <c r="AF118" s="1">
        <v>6.6000000000000003E-2</v>
      </c>
      <c r="AG118" s="1">
        <v>7.0000000000000001E-3</v>
      </c>
      <c r="AU118" s="1" t="s">
        <v>15</v>
      </c>
      <c r="AW118" s="1">
        <v>8.0000000000000002E-3</v>
      </c>
      <c r="AY118" s="1" t="s">
        <v>15</v>
      </c>
      <c r="BA118" s="1">
        <v>3.2000000000000001E-2</v>
      </c>
      <c r="BG118" s="1">
        <v>1.2E-2</v>
      </c>
      <c r="BI118" s="1" t="s">
        <v>15</v>
      </c>
      <c r="BQ118" s="1" t="s">
        <v>15</v>
      </c>
      <c r="BZ118" s="1">
        <v>6.0000000000000001E-3</v>
      </c>
      <c r="CI118" s="1">
        <v>1.7999999999999999E-2</v>
      </c>
      <c r="CL118" s="1">
        <v>2E-3</v>
      </c>
      <c r="CP118" s="1">
        <v>1E-3</v>
      </c>
      <c r="DK118" s="1">
        <v>1E-3</v>
      </c>
      <c r="DT118" s="1" t="s">
        <v>15</v>
      </c>
      <c r="ED118" s="1" t="s">
        <v>15</v>
      </c>
      <c r="EF118" s="1" t="s">
        <v>15</v>
      </c>
      <c r="ET118" s="1">
        <v>1E-3</v>
      </c>
      <c r="EX118" s="1">
        <v>6.0000000000000001E-3</v>
      </c>
      <c r="FE118" s="1">
        <v>2.5999999999999999E-2</v>
      </c>
      <c r="FJ118" s="1">
        <v>2E-3</v>
      </c>
      <c r="FM118" s="1">
        <v>3.6999999999999998E-2</v>
      </c>
    </row>
    <row r="119" spans="1:169" x14ac:dyDescent="0.2">
      <c r="A119" s="1" t="s">
        <v>1825</v>
      </c>
      <c r="B119" s="1" t="s">
        <v>55</v>
      </c>
      <c r="C119" s="1" t="s">
        <v>236</v>
      </c>
      <c r="E119" s="1">
        <v>38</v>
      </c>
      <c r="F119" s="1" t="s">
        <v>1826</v>
      </c>
      <c r="H119" s="1" t="s">
        <v>1827</v>
      </c>
      <c r="I119" s="1" t="s">
        <v>7</v>
      </c>
      <c r="J119" s="1" t="s">
        <v>1828</v>
      </c>
      <c r="K119" s="1" t="s">
        <v>1829</v>
      </c>
      <c r="L119" s="1" t="s">
        <v>1830</v>
      </c>
      <c r="O119" s="1">
        <v>4</v>
      </c>
      <c r="P119" s="1" t="s">
        <v>1831</v>
      </c>
      <c r="Q119" s="1">
        <v>2008</v>
      </c>
      <c r="R119" s="1" t="s">
        <v>1745</v>
      </c>
      <c r="S119" s="1" t="s">
        <v>27</v>
      </c>
      <c r="T119" s="38">
        <v>1</v>
      </c>
      <c r="V119" s="1">
        <v>0.55000000000000004</v>
      </c>
      <c r="Y119" s="1">
        <v>9.2999999999999999E-2</v>
      </c>
      <c r="Z119" s="1">
        <v>7.0000000000000007E-2</v>
      </c>
      <c r="AA119" s="1">
        <v>0.219</v>
      </c>
      <c r="AF119" s="1">
        <v>0.19500000000000001</v>
      </c>
      <c r="AG119" s="1">
        <v>2.4E-2</v>
      </c>
      <c r="AU119" s="1" t="s">
        <v>15</v>
      </c>
      <c r="AW119" s="1" t="s">
        <v>15</v>
      </c>
      <c r="AY119" s="1" t="s">
        <v>15</v>
      </c>
      <c r="BA119" s="1">
        <v>7.0999999999999994E-2</v>
      </c>
      <c r="BG119" s="1">
        <v>0.02</v>
      </c>
      <c r="BI119" s="1" t="s">
        <v>15</v>
      </c>
      <c r="BQ119" s="1" t="s">
        <v>15</v>
      </c>
      <c r="BZ119" s="1">
        <v>5.0000000000000001E-3</v>
      </c>
      <c r="CI119" s="1">
        <v>4.2000000000000003E-2</v>
      </c>
      <c r="CL119" s="1">
        <v>1E-3</v>
      </c>
      <c r="CP119" s="1" t="s">
        <v>15</v>
      </c>
      <c r="DK119" s="1">
        <v>2E-3</v>
      </c>
      <c r="DT119" s="1" t="s">
        <v>15</v>
      </c>
      <c r="ED119" s="1" t="s">
        <v>15</v>
      </c>
      <c r="EF119" s="1" t="s">
        <v>15</v>
      </c>
      <c r="ET119" s="1">
        <v>1E-3</v>
      </c>
      <c r="EX119" s="1">
        <v>2.1999999999999999E-2</v>
      </c>
      <c r="FE119" s="1">
        <v>0.113</v>
      </c>
      <c r="FJ119" s="1">
        <v>1.4999999999999999E-2</v>
      </c>
      <c r="FM119" s="1">
        <v>6.6000000000000003E-2</v>
      </c>
    </row>
    <row r="120" spans="1:169" x14ac:dyDescent="0.2">
      <c r="A120" s="1" t="s">
        <v>1832</v>
      </c>
      <c r="B120" s="1" t="s">
        <v>55</v>
      </c>
      <c r="C120" s="1" t="s">
        <v>236</v>
      </c>
      <c r="E120" s="1">
        <v>31</v>
      </c>
      <c r="F120" s="1" t="s">
        <v>1833</v>
      </c>
      <c r="H120" s="1" t="s">
        <v>1834</v>
      </c>
      <c r="I120" s="1" t="s">
        <v>7</v>
      </c>
      <c r="J120" s="1" t="s">
        <v>1835</v>
      </c>
      <c r="K120" s="1" t="s">
        <v>1836</v>
      </c>
      <c r="L120" s="1" t="s">
        <v>1837</v>
      </c>
      <c r="O120" s="1">
        <v>4</v>
      </c>
      <c r="P120" s="1" t="s">
        <v>1838</v>
      </c>
      <c r="Q120" s="1">
        <v>2008</v>
      </c>
      <c r="R120" s="1" t="s">
        <v>1745</v>
      </c>
      <c r="S120" s="1" t="s">
        <v>27</v>
      </c>
      <c r="T120" s="38">
        <v>1</v>
      </c>
      <c r="V120" s="1">
        <v>0.72</v>
      </c>
      <c r="Y120" s="1">
        <v>0.17399999999999999</v>
      </c>
      <c r="Z120" s="1">
        <v>0.12</v>
      </c>
      <c r="AA120" s="1">
        <v>0.28100000000000003</v>
      </c>
      <c r="AF120" s="1">
        <v>0.251</v>
      </c>
      <c r="AG120" s="1">
        <v>3.1E-2</v>
      </c>
      <c r="AU120" s="1" t="s">
        <v>15</v>
      </c>
      <c r="AW120" s="1">
        <v>1.4E-2</v>
      </c>
      <c r="AY120" s="1">
        <v>1E-3</v>
      </c>
      <c r="BA120" s="1">
        <v>0.11899999999999999</v>
      </c>
      <c r="BG120" s="1">
        <v>2.7E-2</v>
      </c>
      <c r="BI120" s="1">
        <v>5.0000000000000001E-3</v>
      </c>
      <c r="BQ120" s="1" t="s">
        <v>15</v>
      </c>
      <c r="BZ120" s="1">
        <v>2.5000000000000001E-2</v>
      </c>
      <c r="CI120" s="1">
        <v>8.3000000000000004E-2</v>
      </c>
      <c r="CL120" s="1" t="s">
        <v>15</v>
      </c>
      <c r="CP120" s="1">
        <v>1E-3</v>
      </c>
      <c r="DK120" s="1">
        <v>3.0000000000000001E-3</v>
      </c>
      <c r="DT120" s="1" t="s">
        <v>15</v>
      </c>
      <c r="ED120" s="1" t="s">
        <v>15</v>
      </c>
      <c r="EF120" s="1">
        <v>1E-3</v>
      </c>
      <c r="ET120" s="1">
        <v>1.2999999999999999E-2</v>
      </c>
      <c r="EX120" s="1">
        <v>2.8000000000000001E-2</v>
      </c>
      <c r="FE120" s="1">
        <v>8.4000000000000005E-2</v>
      </c>
      <c r="FJ120" s="1">
        <v>2.1999999999999999E-2</v>
      </c>
      <c r="FM120" s="1">
        <v>0.13100000000000001</v>
      </c>
    </row>
    <row r="121" spans="1:169" x14ac:dyDescent="0.2">
      <c r="A121" s="1" t="s">
        <v>1839</v>
      </c>
      <c r="B121" s="1" t="s">
        <v>55</v>
      </c>
      <c r="C121" s="1" t="s">
        <v>236</v>
      </c>
      <c r="E121" s="1">
        <v>33</v>
      </c>
      <c r="F121" s="1" t="s">
        <v>1840</v>
      </c>
      <c r="H121" s="1" t="s">
        <v>1841</v>
      </c>
      <c r="I121" s="1" t="s">
        <v>7</v>
      </c>
      <c r="J121" s="1" t="s">
        <v>1842</v>
      </c>
      <c r="K121" s="1" t="s">
        <v>1843</v>
      </c>
      <c r="L121" s="1" t="s">
        <v>1844</v>
      </c>
      <c r="O121" s="1">
        <v>2</v>
      </c>
      <c r="P121" s="1" t="s">
        <v>1845</v>
      </c>
      <c r="Q121" s="1">
        <v>2008</v>
      </c>
      <c r="R121" s="1" t="s">
        <v>1745</v>
      </c>
      <c r="S121" s="1" t="s">
        <v>27</v>
      </c>
      <c r="T121" s="38">
        <v>1</v>
      </c>
      <c r="V121" s="1">
        <v>3.75</v>
      </c>
      <c r="Y121" s="1">
        <v>0.90800000000000003</v>
      </c>
      <c r="Z121" s="1">
        <v>0.80100000000000005</v>
      </c>
      <c r="AA121" s="1">
        <v>1.2949999999999999</v>
      </c>
      <c r="AF121" s="1">
        <v>1.1479999999999999</v>
      </c>
      <c r="AG121" s="1">
        <v>0.14799999999999999</v>
      </c>
      <c r="AU121" s="1" t="s">
        <v>15</v>
      </c>
      <c r="AW121" s="1">
        <v>5.3999999999999999E-2</v>
      </c>
      <c r="AY121" s="1">
        <v>5.0000000000000001E-3</v>
      </c>
      <c r="BA121" s="1">
        <v>0.67300000000000004</v>
      </c>
      <c r="BG121" s="1">
        <v>0.151</v>
      </c>
      <c r="BI121" s="1">
        <v>0.01</v>
      </c>
      <c r="BQ121" s="1">
        <v>3.0000000000000001E-3</v>
      </c>
      <c r="BZ121" s="1">
        <v>0.17299999999999999</v>
      </c>
      <c r="CI121" s="1">
        <v>0.59199999999999997</v>
      </c>
      <c r="CL121" s="1" t="s">
        <v>15</v>
      </c>
      <c r="CP121" s="1" t="s">
        <v>15</v>
      </c>
      <c r="DK121" s="1">
        <v>1.9E-2</v>
      </c>
      <c r="DT121" s="1" t="s">
        <v>15</v>
      </c>
      <c r="ED121" s="1">
        <v>2E-3</v>
      </c>
      <c r="EF121" s="1">
        <v>4.0000000000000001E-3</v>
      </c>
      <c r="ET121" s="1">
        <v>0.05</v>
      </c>
      <c r="EX121" s="1">
        <v>0.127</v>
      </c>
      <c r="FE121" s="1">
        <v>0.34799999999999998</v>
      </c>
      <c r="FJ121" s="1">
        <v>7.6999999999999999E-2</v>
      </c>
      <c r="FM121" s="1">
        <v>0.66900000000000004</v>
      </c>
    </row>
    <row r="122" spans="1:169" x14ac:dyDescent="0.2">
      <c r="A122" s="1" t="s">
        <v>1846</v>
      </c>
      <c r="B122" s="1" t="s">
        <v>55</v>
      </c>
      <c r="C122" s="1" t="s">
        <v>236</v>
      </c>
      <c r="E122" s="1">
        <v>34</v>
      </c>
      <c r="F122" s="1" t="s">
        <v>1847</v>
      </c>
      <c r="H122" s="1" t="s">
        <v>1848</v>
      </c>
      <c r="I122" s="1" t="s">
        <v>7</v>
      </c>
      <c r="J122" s="1" t="s">
        <v>1849</v>
      </c>
      <c r="K122" s="1" t="s">
        <v>1850</v>
      </c>
      <c r="L122" s="1" t="s">
        <v>1851</v>
      </c>
      <c r="O122" s="1">
        <v>3</v>
      </c>
      <c r="P122" s="1" t="s">
        <v>1852</v>
      </c>
      <c r="Q122" s="1">
        <v>2008</v>
      </c>
      <c r="R122" s="1" t="s">
        <v>1745</v>
      </c>
      <c r="S122" s="1" t="s">
        <v>27</v>
      </c>
      <c r="T122" s="38">
        <v>1</v>
      </c>
      <c r="V122" s="1">
        <v>0.73</v>
      </c>
      <c r="Y122" s="1">
        <v>0.33600000000000002</v>
      </c>
      <c r="Z122" s="1">
        <v>0.12</v>
      </c>
      <c r="AA122" s="1">
        <v>5.3999999999999999E-2</v>
      </c>
      <c r="AF122" s="1">
        <v>4.5999999999999999E-2</v>
      </c>
      <c r="AG122" s="1">
        <v>0.01</v>
      </c>
      <c r="AU122" s="1" t="s">
        <v>15</v>
      </c>
      <c r="AW122" s="1">
        <v>2.5999999999999999E-2</v>
      </c>
      <c r="AY122" s="1" t="s">
        <v>15</v>
      </c>
      <c r="BA122" s="1">
        <v>0.19400000000000001</v>
      </c>
      <c r="BG122" s="1">
        <v>6.8000000000000005E-2</v>
      </c>
      <c r="BI122" s="1">
        <v>4.9000000000000002E-2</v>
      </c>
      <c r="BQ122" s="1" t="s">
        <v>15</v>
      </c>
      <c r="BZ122" s="1" t="s">
        <v>15</v>
      </c>
      <c r="CI122" s="1">
        <v>6.6000000000000003E-2</v>
      </c>
      <c r="CL122" s="1" t="s">
        <v>15</v>
      </c>
      <c r="CP122" s="1">
        <v>5.2999999999999999E-2</v>
      </c>
      <c r="DK122" s="1">
        <v>0.01</v>
      </c>
      <c r="DT122" s="1" t="s">
        <v>15</v>
      </c>
      <c r="ED122" s="1" t="s">
        <v>15</v>
      </c>
      <c r="EF122" s="1" t="s">
        <v>15</v>
      </c>
      <c r="ET122" s="1" t="s">
        <v>15</v>
      </c>
      <c r="EX122" s="1" t="s">
        <v>15</v>
      </c>
      <c r="FE122" s="1">
        <v>4.2999999999999997E-2</v>
      </c>
      <c r="FJ122" s="1" t="s">
        <v>15</v>
      </c>
      <c r="FM122" s="1">
        <v>3.0000000000000001E-3</v>
      </c>
    </row>
    <row r="123" spans="1:169" x14ac:dyDescent="0.2">
      <c r="A123" s="1" t="s">
        <v>1853</v>
      </c>
      <c r="B123" s="1" t="s">
        <v>55</v>
      </c>
      <c r="C123" s="1" t="s">
        <v>236</v>
      </c>
      <c r="E123" s="1">
        <v>31</v>
      </c>
      <c r="F123" s="1" t="s">
        <v>1833</v>
      </c>
      <c r="H123" s="1" t="s">
        <v>1854</v>
      </c>
      <c r="I123" s="1" t="s">
        <v>7</v>
      </c>
      <c r="J123" s="1" t="s">
        <v>1855</v>
      </c>
      <c r="K123" s="1" t="s">
        <v>1836</v>
      </c>
      <c r="L123" s="1" t="s">
        <v>1837</v>
      </c>
      <c r="O123" s="1">
        <v>1</v>
      </c>
      <c r="P123" s="1" t="s">
        <v>1856</v>
      </c>
      <c r="Q123" s="1">
        <v>2008</v>
      </c>
      <c r="R123" s="1" t="s">
        <v>1745</v>
      </c>
      <c r="S123" s="1" t="s">
        <v>27</v>
      </c>
      <c r="T123" s="38">
        <v>1</v>
      </c>
      <c r="V123" s="1">
        <v>11.7</v>
      </c>
      <c r="Y123" s="1">
        <v>3.0409999999999999</v>
      </c>
      <c r="Z123" s="1">
        <v>3.069</v>
      </c>
      <c r="AA123" s="1">
        <v>4.1859999999999999</v>
      </c>
      <c r="AF123" s="1">
        <v>3.9590000000000001</v>
      </c>
      <c r="AG123" s="1">
        <v>0.191</v>
      </c>
      <c r="AU123" s="1" t="s">
        <v>15</v>
      </c>
      <c r="AW123" s="1">
        <v>0.36599999999999999</v>
      </c>
      <c r="AY123" s="1" t="s">
        <v>15</v>
      </c>
      <c r="BA123" s="1">
        <v>1.8320000000000001</v>
      </c>
      <c r="BG123" s="1">
        <v>0.29499999999999998</v>
      </c>
      <c r="BI123" s="1">
        <v>0.14299999999999999</v>
      </c>
      <c r="BQ123" s="1" t="s">
        <v>15</v>
      </c>
      <c r="BZ123" s="1">
        <v>0.80800000000000005</v>
      </c>
      <c r="CI123" s="1">
        <v>1.544</v>
      </c>
      <c r="CL123" s="1">
        <v>0.32900000000000001</v>
      </c>
      <c r="CP123" s="1">
        <v>0.109</v>
      </c>
      <c r="DK123" s="1">
        <v>7.4999999999999997E-2</v>
      </c>
      <c r="DT123" s="1" t="s">
        <v>15</v>
      </c>
      <c r="ED123" s="1" t="s">
        <v>15</v>
      </c>
      <c r="EF123" s="1">
        <v>8.9999999999999993E-3</v>
      </c>
      <c r="ET123" s="1">
        <v>1.296</v>
      </c>
      <c r="EX123" s="1">
        <v>0.11600000000000001</v>
      </c>
      <c r="FE123" s="1">
        <v>0.96899999999999997</v>
      </c>
      <c r="FJ123" s="1">
        <v>0.28499999999999998</v>
      </c>
      <c r="FM123" s="1">
        <v>1.4</v>
      </c>
    </row>
    <row r="124" spans="1:169" x14ac:dyDescent="0.2">
      <c r="A124" s="1" t="s">
        <v>1857</v>
      </c>
      <c r="B124" s="1" t="s">
        <v>55</v>
      </c>
      <c r="C124" s="1" t="s">
        <v>236</v>
      </c>
      <c r="E124" s="1">
        <v>32</v>
      </c>
      <c r="F124" s="1" t="s">
        <v>1858</v>
      </c>
      <c r="H124" s="1" t="s">
        <v>1859</v>
      </c>
      <c r="I124" s="1" t="s">
        <v>7</v>
      </c>
      <c r="J124" s="1" t="s">
        <v>1860</v>
      </c>
      <c r="K124" s="1" t="s">
        <v>1861</v>
      </c>
      <c r="L124" s="1" t="s">
        <v>1862</v>
      </c>
      <c r="O124" s="1">
        <v>4</v>
      </c>
      <c r="P124" s="1" t="s">
        <v>1863</v>
      </c>
      <c r="Q124" s="1">
        <v>2008</v>
      </c>
      <c r="R124" s="1" t="s">
        <v>1745</v>
      </c>
      <c r="S124" s="1" t="s">
        <v>27</v>
      </c>
      <c r="T124" s="38">
        <v>1</v>
      </c>
      <c r="V124" s="1">
        <v>0.33</v>
      </c>
      <c r="Y124" s="1">
        <v>6.5000000000000002E-2</v>
      </c>
      <c r="Z124" s="1">
        <v>4.4999999999999998E-2</v>
      </c>
      <c r="AA124" s="1">
        <v>0.11700000000000001</v>
      </c>
      <c r="AF124" s="1">
        <v>0.113</v>
      </c>
      <c r="AG124" s="1">
        <v>5.0000000000000001E-3</v>
      </c>
      <c r="AU124" s="1" t="s">
        <v>15</v>
      </c>
      <c r="AW124" s="1" t="s">
        <v>15</v>
      </c>
      <c r="AY124" s="1" t="s">
        <v>15</v>
      </c>
      <c r="BA124" s="1">
        <v>4.7E-2</v>
      </c>
      <c r="BG124" s="1">
        <v>1.6E-2</v>
      </c>
      <c r="BI124" s="1">
        <v>1E-3</v>
      </c>
      <c r="BQ124" s="1" t="s">
        <v>15</v>
      </c>
      <c r="BZ124" s="1">
        <v>4.0000000000000001E-3</v>
      </c>
      <c r="CI124" s="1">
        <v>2.1999999999999999E-2</v>
      </c>
      <c r="CL124" s="1">
        <v>3.0000000000000001E-3</v>
      </c>
      <c r="CP124" s="1">
        <v>1E-3</v>
      </c>
      <c r="DK124" s="1">
        <v>2E-3</v>
      </c>
      <c r="DT124" s="1" t="s">
        <v>15</v>
      </c>
      <c r="ED124" s="1" t="s">
        <v>15</v>
      </c>
      <c r="EF124" s="1" t="s">
        <v>15</v>
      </c>
      <c r="ET124" s="1">
        <v>2E-3</v>
      </c>
      <c r="EX124" s="1">
        <v>3.0000000000000001E-3</v>
      </c>
      <c r="FE124" s="1">
        <v>4.4999999999999998E-2</v>
      </c>
      <c r="FJ124" s="1">
        <v>1E-3</v>
      </c>
      <c r="FM124" s="1">
        <v>6.5000000000000002E-2</v>
      </c>
    </row>
    <row r="125" spans="1:169" x14ac:dyDescent="0.2">
      <c r="A125" s="1" t="s">
        <v>1864</v>
      </c>
      <c r="B125" s="1" t="s">
        <v>55</v>
      </c>
      <c r="C125" s="1" t="s">
        <v>236</v>
      </c>
      <c r="E125" s="1">
        <v>31</v>
      </c>
      <c r="F125" s="1" t="s">
        <v>1833</v>
      </c>
      <c r="H125" s="1" t="s">
        <v>1865</v>
      </c>
      <c r="I125" s="1" t="s">
        <v>7</v>
      </c>
      <c r="J125" s="1" t="s">
        <v>1866</v>
      </c>
      <c r="K125" s="1" t="s">
        <v>1836</v>
      </c>
      <c r="L125" s="1" t="s">
        <v>1837</v>
      </c>
      <c r="O125" s="1">
        <v>4</v>
      </c>
      <c r="P125" s="1" t="s">
        <v>1867</v>
      </c>
      <c r="Q125" s="1">
        <v>2008</v>
      </c>
      <c r="R125" s="1" t="s">
        <v>1745</v>
      </c>
      <c r="S125" s="1" t="s">
        <v>27</v>
      </c>
      <c r="T125" s="38">
        <v>1</v>
      </c>
      <c r="V125" s="1">
        <v>0.37</v>
      </c>
      <c r="Y125" s="1">
        <v>9.7000000000000003E-2</v>
      </c>
      <c r="Z125" s="1">
        <v>5.2999999999999999E-2</v>
      </c>
      <c r="AA125" s="1">
        <v>0.111</v>
      </c>
      <c r="AF125" s="1">
        <v>9.6000000000000002E-2</v>
      </c>
      <c r="AG125" s="1">
        <v>1.4999999999999999E-2</v>
      </c>
      <c r="AU125" s="1" t="s">
        <v>15</v>
      </c>
      <c r="AW125" s="1">
        <v>0.01</v>
      </c>
      <c r="AY125" s="1" t="s">
        <v>15</v>
      </c>
      <c r="BA125" s="1">
        <v>0.06</v>
      </c>
      <c r="BG125" s="1">
        <v>1.2E-2</v>
      </c>
      <c r="BI125" s="1">
        <v>4.0000000000000001E-3</v>
      </c>
      <c r="BQ125" s="1" t="s">
        <v>15</v>
      </c>
      <c r="BZ125" s="1">
        <v>0.02</v>
      </c>
      <c r="CI125" s="1">
        <v>2.1999999999999999E-2</v>
      </c>
      <c r="CL125" s="1">
        <v>8.9999999999999993E-3</v>
      </c>
      <c r="CP125" s="1" t="s">
        <v>15</v>
      </c>
      <c r="DK125" s="1">
        <v>1E-3</v>
      </c>
      <c r="DT125" s="1" t="s">
        <v>15</v>
      </c>
      <c r="ED125" s="1" t="s">
        <v>15</v>
      </c>
      <c r="EF125" s="1">
        <v>1E-3</v>
      </c>
      <c r="ET125" s="1">
        <v>2E-3</v>
      </c>
      <c r="EX125" s="1">
        <v>1.4E-2</v>
      </c>
      <c r="FE125" s="1">
        <v>4.5999999999999999E-2</v>
      </c>
      <c r="FJ125" s="1">
        <v>6.0000000000000001E-3</v>
      </c>
      <c r="FM125" s="1">
        <v>4.1000000000000002E-2</v>
      </c>
    </row>
    <row r="126" spans="1:169" x14ac:dyDescent="0.2">
      <c r="A126" s="1" t="s">
        <v>1868</v>
      </c>
      <c r="B126" s="1" t="s">
        <v>55</v>
      </c>
      <c r="C126" s="1" t="s">
        <v>236</v>
      </c>
      <c r="E126" s="1">
        <v>32</v>
      </c>
      <c r="F126" s="1" t="s">
        <v>1869</v>
      </c>
      <c r="H126" s="1" t="s">
        <v>1870</v>
      </c>
      <c r="I126" s="1" t="s">
        <v>7</v>
      </c>
      <c r="J126" s="1" t="s">
        <v>1871</v>
      </c>
      <c r="K126" s="1" t="s">
        <v>1872</v>
      </c>
      <c r="L126" s="1" t="s">
        <v>1873</v>
      </c>
      <c r="O126" s="1">
        <v>1</v>
      </c>
      <c r="P126" s="1" t="s">
        <v>1874</v>
      </c>
      <c r="Q126" s="1">
        <v>2008</v>
      </c>
      <c r="R126" s="1" t="s">
        <v>1745</v>
      </c>
      <c r="S126" s="1" t="s">
        <v>27</v>
      </c>
      <c r="T126" s="38">
        <v>1</v>
      </c>
      <c r="V126" s="1">
        <v>0.28999999999999998</v>
      </c>
      <c r="Y126" s="1">
        <v>8.8999999999999996E-2</v>
      </c>
      <c r="Z126" s="1">
        <v>0.02</v>
      </c>
      <c r="AA126" s="1">
        <v>9.0999999999999998E-2</v>
      </c>
      <c r="AF126" s="1">
        <v>7.6999999999999999E-2</v>
      </c>
      <c r="AG126" s="1">
        <v>1.4E-2</v>
      </c>
      <c r="AU126" s="1" t="s">
        <v>15</v>
      </c>
      <c r="AW126" s="1">
        <v>4.0000000000000001E-3</v>
      </c>
      <c r="AY126" s="1">
        <v>1E-3</v>
      </c>
      <c r="BA126" s="1">
        <v>4.2999999999999997E-2</v>
      </c>
      <c r="BG126" s="1">
        <v>0.02</v>
      </c>
      <c r="BI126" s="1">
        <v>1E-3</v>
      </c>
      <c r="BQ126" s="1" t="s">
        <v>15</v>
      </c>
      <c r="BZ126" s="1">
        <v>6.0000000000000001E-3</v>
      </c>
      <c r="CI126" s="1">
        <v>6.0000000000000001E-3</v>
      </c>
      <c r="CL126" s="1" t="s">
        <v>15</v>
      </c>
      <c r="CP126" s="1">
        <v>1E-3</v>
      </c>
      <c r="DK126" s="1">
        <v>1E-3</v>
      </c>
      <c r="DT126" s="1" t="s">
        <v>15</v>
      </c>
      <c r="ED126" s="1" t="s">
        <v>15</v>
      </c>
      <c r="EF126" s="1">
        <v>1E-3</v>
      </c>
      <c r="ET126" s="1">
        <v>4.0000000000000001E-3</v>
      </c>
      <c r="EX126" s="1">
        <v>1.2999999999999999E-2</v>
      </c>
      <c r="FE126" s="1">
        <v>3.5999999999999997E-2</v>
      </c>
      <c r="FJ126" s="1">
        <v>6.0000000000000001E-3</v>
      </c>
      <c r="FM126" s="1">
        <v>0.03</v>
      </c>
    </row>
    <row r="127" spans="1:169" x14ac:dyDescent="0.2">
      <c r="A127" s="1" t="s">
        <v>1875</v>
      </c>
      <c r="B127" s="1" t="s">
        <v>55</v>
      </c>
      <c r="C127" s="1" t="s">
        <v>236</v>
      </c>
      <c r="E127" s="1">
        <v>38</v>
      </c>
      <c r="F127" s="1" t="s">
        <v>1876</v>
      </c>
      <c r="H127" s="1" t="s">
        <v>1877</v>
      </c>
      <c r="I127" s="1" t="s">
        <v>7</v>
      </c>
      <c r="J127" s="1" t="s">
        <v>1878</v>
      </c>
      <c r="K127" s="1" t="s">
        <v>1879</v>
      </c>
      <c r="L127" s="1" t="s">
        <v>1880</v>
      </c>
      <c r="O127" s="1">
        <v>4</v>
      </c>
      <c r="P127" s="1" t="s">
        <v>1881</v>
      </c>
      <c r="Q127" s="1">
        <v>2008</v>
      </c>
      <c r="R127" s="1" t="s">
        <v>1745</v>
      </c>
      <c r="S127" s="1" t="s">
        <v>27</v>
      </c>
      <c r="T127" s="38">
        <v>1</v>
      </c>
      <c r="V127" s="1">
        <v>0.61</v>
      </c>
      <c r="Y127" s="1">
        <v>0.129</v>
      </c>
      <c r="Z127" s="1">
        <v>7.6999999999999999E-2</v>
      </c>
      <c r="AA127" s="1">
        <v>0.216</v>
      </c>
      <c r="AF127" s="1">
        <v>0.19500000000000001</v>
      </c>
      <c r="AG127" s="1">
        <v>2.3E-2</v>
      </c>
      <c r="AU127" s="1" t="s">
        <v>15</v>
      </c>
      <c r="AW127" s="1" t="s">
        <v>15</v>
      </c>
      <c r="AY127" s="1" t="s">
        <v>15</v>
      </c>
      <c r="BA127" s="1">
        <v>0.105</v>
      </c>
      <c r="BG127" s="1">
        <v>0.02</v>
      </c>
      <c r="BI127" s="1" t="s">
        <v>15</v>
      </c>
      <c r="BQ127" s="1" t="s">
        <v>15</v>
      </c>
      <c r="BZ127" s="1">
        <v>2E-3</v>
      </c>
      <c r="CI127" s="1">
        <v>7.0999999999999994E-2</v>
      </c>
      <c r="CL127" s="1" t="s">
        <v>15</v>
      </c>
      <c r="CP127" s="1">
        <v>1E-3</v>
      </c>
      <c r="DK127" s="1" t="s">
        <v>15</v>
      </c>
      <c r="DT127" s="1" t="s">
        <v>15</v>
      </c>
      <c r="ED127" s="1" t="s">
        <v>15</v>
      </c>
      <c r="EF127" s="1" t="s">
        <v>15</v>
      </c>
      <c r="ET127" s="1">
        <v>7.0000000000000001E-3</v>
      </c>
      <c r="EX127" s="1">
        <v>2.3E-2</v>
      </c>
      <c r="FE127" s="1">
        <v>1.7000000000000001E-2</v>
      </c>
      <c r="FJ127" s="1">
        <v>1.4999999999999999E-2</v>
      </c>
      <c r="FM127" s="1">
        <v>0.156</v>
      </c>
    </row>
    <row r="128" spans="1:169" x14ac:dyDescent="0.2">
      <c r="A128" s="1" t="s">
        <v>1882</v>
      </c>
      <c r="B128" s="1" t="s">
        <v>55</v>
      </c>
      <c r="C128" s="1" t="s">
        <v>236</v>
      </c>
      <c r="E128" s="1">
        <v>34</v>
      </c>
      <c r="F128" s="1" t="s">
        <v>1883</v>
      </c>
      <c r="H128" s="1" t="s">
        <v>1884</v>
      </c>
      <c r="I128" s="1" t="s">
        <v>7</v>
      </c>
      <c r="J128" s="1" t="s">
        <v>1885</v>
      </c>
      <c r="K128" s="1" t="s">
        <v>1886</v>
      </c>
      <c r="L128" s="1" t="s">
        <v>1887</v>
      </c>
      <c r="O128" s="1">
        <v>1</v>
      </c>
      <c r="P128" s="1" t="s">
        <v>1888</v>
      </c>
      <c r="Q128" s="1">
        <v>2008</v>
      </c>
      <c r="R128" s="1" t="s">
        <v>1745</v>
      </c>
      <c r="S128" s="1" t="s">
        <v>27</v>
      </c>
      <c r="T128" s="38">
        <v>1</v>
      </c>
      <c r="V128" s="1">
        <v>2.27</v>
      </c>
      <c r="Y128" s="1">
        <v>0.46400000000000002</v>
      </c>
      <c r="Z128" s="1">
        <v>0.39900000000000002</v>
      </c>
      <c r="AA128" s="1">
        <v>0.94899999999999995</v>
      </c>
      <c r="AF128" s="1">
        <v>0.89</v>
      </c>
      <c r="AG128" s="1">
        <v>5.8000000000000003E-2</v>
      </c>
      <c r="AU128" s="1" t="s">
        <v>15</v>
      </c>
      <c r="AW128" s="1">
        <v>5.1999999999999998E-2</v>
      </c>
      <c r="AY128" s="1" t="s">
        <v>15</v>
      </c>
      <c r="BA128" s="1">
        <v>0.34200000000000003</v>
      </c>
      <c r="BG128" s="1">
        <v>5.0999999999999997E-2</v>
      </c>
      <c r="BI128" s="1">
        <v>1.6E-2</v>
      </c>
      <c r="BQ128" s="1" t="s">
        <v>15</v>
      </c>
      <c r="BZ128" s="1">
        <v>7.1999999999999995E-2</v>
      </c>
      <c r="CI128" s="1">
        <v>0.26500000000000001</v>
      </c>
      <c r="CL128" s="1" t="s">
        <v>15</v>
      </c>
      <c r="CP128" s="1">
        <v>2.5000000000000001E-2</v>
      </c>
      <c r="DK128" s="1">
        <v>1.2999999999999999E-2</v>
      </c>
      <c r="DT128" s="1" t="s">
        <v>15</v>
      </c>
      <c r="ED128" s="1" t="s">
        <v>15</v>
      </c>
      <c r="EF128" s="1" t="s">
        <v>15</v>
      </c>
      <c r="ET128" s="1">
        <v>0.20499999999999999</v>
      </c>
      <c r="EX128" s="1">
        <v>4.4999999999999998E-2</v>
      </c>
      <c r="FE128" s="1">
        <v>0.121</v>
      </c>
      <c r="FJ128" s="1">
        <v>5.7000000000000002E-2</v>
      </c>
      <c r="FM128" s="1">
        <v>0.50700000000000001</v>
      </c>
    </row>
    <row r="129" spans="1:169" x14ac:dyDescent="0.2">
      <c r="A129" s="1" t="s">
        <v>1889</v>
      </c>
      <c r="B129" s="1" t="s">
        <v>55</v>
      </c>
      <c r="C129" s="1" t="s">
        <v>236</v>
      </c>
      <c r="E129" s="1">
        <v>33</v>
      </c>
      <c r="F129" s="1" t="s">
        <v>1890</v>
      </c>
      <c r="H129" s="1" t="s">
        <v>1891</v>
      </c>
      <c r="I129" s="1" t="s">
        <v>7</v>
      </c>
      <c r="J129" s="1" t="s">
        <v>1892</v>
      </c>
      <c r="K129" s="1" t="s">
        <v>1893</v>
      </c>
      <c r="L129" s="1" t="s">
        <v>1894</v>
      </c>
      <c r="O129" s="1">
        <v>4</v>
      </c>
      <c r="P129" s="1" t="s">
        <v>1895</v>
      </c>
      <c r="Q129" s="1">
        <v>2008</v>
      </c>
      <c r="R129" s="1" t="s">
        <v>1745</v>
      </c>
      <c r="S129" s="1" t="s">
        <v>27</v>
      </c>
      <c r="T129" s="38">
        <v>1</v>
      </c>
      <c r="V129" s="1">
        <v>4.8899999999999997</v>
      </c>
      <c r="Y129" s="1">
        <v>1.3080000000000001</v>
      </c>
      <c r="Z129" s="1">
        <v>1.2330000000000001</v>
      </c>
      <c r="AA129" s="1">
        <v>1.859</v>
      </c>
      <c r="AF129" s="1">
        <v>1.5069999999999999</v>
      </c>
      <c r="AG129" s="1">
        <v>0.35</v>
      </c>
      <c r="AU129" s="1" t="s">
        <v>15</v>
      </c>
      <c r="AW129" s="1">
        <v>9.2999999999999999E-2</v>
      </c>
      <c r="AY129" s="1" t="s">
        <v>15</v>
      </c>
      <c r="BA129" s="1">
        <v>0.88700000000000001</v>
      </c>
      <c r="BG129" s="1">
        <v>0.23400000000000001</v>
      </c>
      <c r="BI129" s="1">
        <v>2.8000000000000001E-2</v>
      </c>
      <c r="BQ129" s="1" t="s">
        <v>15</v>
      </c>
      <c r="BZ129" s="1">
        <v>0.249</v>
      </c>
      <c r="CI129" s="1">
        <v>0.60499999999999998</v>
      </c>
      <c r="CL129" s="1">
        <v>3.6999999999999998E-2</v>
      </c>
      <c r="CP129" s="1">
        <v>0.28699999999999998</v>
      </c>
      <c r="DK129" s="1">
        <v>0.19500000000000001</v>
      </c>
      <c r="DT129" s="1" t="s">
        <v>15</v>
      </c>
      <c r="ED129" s="1">
        <v>6.0000000000000001E-3</v>
      </c>
      <c r="EF129" s="1">
        <v>2.7E-2</v>
      </c>
      <c r="ET129" s="1">
        <v>7.0000000000000007E-2</v>
      </c>
      <c r="EX129" s="1">
        <v>0.14899999999999999</v>
      </c>
      <c r="FE129" s="1">
        <v>0.497</v>
      </c>
      <c r="FJ129" s="1">
        <v>0.14000000000000001</v>
      </c>
      <c r="FM129" s="1">
        <v>0.77300000000000002</v>
      </c>
    </row>
    <row r="130" spans="1:169" x14ac:dyDescent="0.2">
      <c r="A130" s="1" t="s">
        <v>1896</v>
      </c>
      <c r="B130" s="1" t="s">
        <v>55</v>
      </c>
      <c r="C130" s="1" t="s">
        <v>236</v>
      </c>
      <c r="E130" s="1">
        <v>32</v>
      </c>
      <c r="F130" s="1" t="s">
        <v>1869</v>
      </c>
      <c r="H130" s="1" t="s">
        <v>1897</v>
      </c>
      <c r="I130" s="1" t="s">
        <v>7</v>
      </c>
      <c r="J130" s="1" t="s">
        <v>1898</v>
      </c>
      <c r="K130" s="1" t="s">
        <v>1872</v>
      </c>
      <c r="L130" s="1" t="s">
        <v>1873</v>
      </c>
      <c r="O130" s="1">
        <v>4</v>
      </c>
      <c r="P130" s="1" t="s">
        <v>1899</v>
      </c>
      <c r="Q130" s="1">
        <v>2008</v>
      </c>
      <c r="R130" s="1" t="s">
        <v>1745</v>
      </c>
      <c r="S130" s="1" t="s">
        <v>27</v>
      </c>
      <c r="T130" s="38">
        <v>1</v>
      </c>
      <c r="V130" s="1">
        <v>0.25</v>
      </c>
      <c r="Y130" s="1">
        <v>5.2999999999999999E-2</v>
      </c>
      <c r="Z130" s="1">
        <v>2.9000000000000001E-2</v>
      </c>
      <c r="AA130" s="1">
        <v>9.8000000000000004E-2</v>
      </c>
      <c r="AF130" s="1">
        <v>9.4E-2</v>
      </c>
      <c r="AG130" s="1">
        <v>4.0000000000000001E-3</v>
      </c>
      <c r="AU130" s="1" t="s">
        <v>15</v>
      </c>
      <c r="AW130" s="1">
        <v>1E-3</v>
      </c>
      <c r="AY130" s="1" t="s">
        <v>15</v>
      </c>
      <c r="BA130" s="1">
        <v>3.6999999999999998E-2</v>
      </c>
      <c r="BG130" s="1">
        <v>8.9999999999999993E-3</v>
      </c>
      <c r="BI130" s="1">
        <v>1E-3</v>
      </c>
      <c r="BQ130" s="1" t="s">
        <v>15</v>
      </c>
      <c r="BZ130" s="1">
        <v>2E-3</v>
      </c>
      <c r="CI130" s="1">
        <v>2.1999999999999999E-2</v>
      </c>
      <c r="CL130" s="1" t="s">
        <v>15</v>
      </c>
      <c r="CP130" s="1" t="s">
        <v>15</v>
      </c>
      <c r="DK130" s="1">
        <v>1E-3</v>
      </c>
      <c r="DT130" s="1" t="s">
        <v>15</v>
      </c>
      <c r="ED130" s="1" t="s">
        <v>15</v>
      </c>
      <c r="EF130" s="1">
        <v>1E-3</v>
      </c>
      <c r="ET130" s="1">
        <v>6.0000000000000001E-3</v>
      </c>
      <c r="EX130" s="1">
        <v>3.0000000000000001E-3</v>
      </c>
      <c r="FE130" s="1">
        <v>1.4999999999999999E-2</v>
      </c>
      <c r="FJ130" s="1">
        <v>3.0000000000000001E-3</v>
      </c>
      <c r="FM130" s="1">
        <v>6.9000000000000006E-2</v>
      </c>
    </row>
    <row r="131" spans="1:169" x14ac:dyDescent="0.2">
      <c r="A131" s="1" t="s">
        <v>1900</v>
      </c>
      <c r="B131" s="1" t="s">
        <v>57</v>
      </c>
      <c r="C131" s="1" t="s">
        <v>236</v>
      </c>
      <c r="E131" s="1">
        <v>57</v>
      </c>
      <c r="F131" s="1" t="s">
        <v>1901</v>
      </c>
      <c r="H131" s="1" t="s">
        <v>1902</v>
      </c>
      <c r="I131" s="1" t="s">
        <v>7</v>
      </c>
      <c r="J131" s="1" t="s">
        <v>1903</v>
      </c>
      <c r="K131" s="1" t="s">
        <v>1904</v>
      </c>
      <c r="L131" s="1" t="s">
        <v>1903</v>
      </c>
      <c r="O131" s="1">
        <v>2</v>
      </c>
      <c r="P131" s="1" t="s">
        <v>1744</v>
      </c>
      <c r="Q131" s="1">
        <v>2008</v>
      </c>
      <c r="R131" s="1" t="s">
        <v>1745</v>
      </c>
      <c r="S131" s="1" t="s">
        <v>27</v>
      </c>
      <c r="T131" s="38">
        <v>1</v>
      </c>
      <c r="V131" s="1">
        <v>0.85</v>
      </c>
      <c r="Y131" s="1">
        <v>0.193</v>
      </c>
      <c r="Z131" s="1">
        <v>3.3000000000000002E-2</v>
      </c>
      <c r="AA131" s="1">
        <v>0.28199999999999997</v>
      </c>
      <c r="AF131" s="1">
        <v>0.26100000000000001</v>
      </c>
      <c r="AG131" s="1">
        <v>2.1999999999999999E-2</v>
      </c>
      <c r="AU131" s="1" t="s">
        <v>15</v>
      </c>
      <c r="AW131" s="1">
        <v>1.0999999999999999E-2</v>
      </c>
      <c r="AY131" s="1" t="s">
        <v>15</v>
      </c>
      <c r="BA131" s="1">
        <v>0.13400000000000001</v>
      </c>
      <c r="BG131" s="1">
        <v>3.5000000000000003E-2</v>
      </c>
      <c r="BI131" s="1" t="s">
        <v>15</v>
      </c>
      <c r="BQ131" s="1" t="s">
        <v>15</v>
      </c>
      <c r="BZ131" s="1">
        <v>2E-3</v>
      </c>
      <c r="CI131" s="1">
        <v>1.7999999999999999E-2</v>
      </c>
      <c r="CL131" s="1">
        <v>2E-3</v>
      </c>
      <c r="CP131" s="1" t="s">
        <v>15</v>
      </c>
      <c r="DK131" s="1" t="s">
        <v>15</v>
      </c>
      <c r="DT131" s="1" t="s">
        <v>15</v>
      </c>
      <c r="ED131" s="1" t="s">
        <v>15</v>
      </c>
      <c r="EF131" s="1" t="s">
        <v>15</v>
      </c>
      <c r="ET131" s="1">
        <v>2.7E-2</v>
      </c>
      <c r="EX131" s="1">
        <v>2.1999999999999999E-2</v>
      </c>
      <c r="FE131" s="1">
        <v>6.9000000000000006E-2</v>
      </c>
      <c r="FJ131" s="1">
        <v>8.9999999999999993E-3</v>
      </c>
      <c r="FM131" s="1">
        <v>0.156</v>
      </c>
    </row>
    <row r="132" spans="1:169" x14ac:dyDescent="0.2">
      <c r="A132" s="1" t="s">
        <v>1905</v>
      </c>
      <c r="B132" s="1" t="s">
        <v>57</v>
      </c>
      <c r="C132" s="1" t="s">
        <v>236</v>
      </c>
      <c r="E132" s="1">
        <v>55</v>
      </c>
      <c r="F132" s="1" t="s">
        <v>1906</v>
      </c>
      <c r="H132" s="1" t="s">
        <v>1907</v>
      </c>
      <c r="I132" s="1" t="s">
        <v>7</v>
      </c>
      <c r="J132" s="1" t="s">
        <v>1908</v>
      </c>
      <c r="K132" s="1" t="s">
        <v>1909</v>
      </c>
      <c r="L132" s="1" t="s">
        <v>1908</v>
      </c>
      <c r="O132" s="1">
        <v>4</v>
      </c>
      <c r="P132" s="1" t="s">
        <v>1744</v>
      </c>
      <c r="Q132" s="1">
        <v>2008</v>
      </c>
      <c r="R132" s="1" t="s">
        <v>1745</v>
      </c>
      <c r="S132" s="1" t="s">
        <v>27</v>
      </c>
      <c r="T132" s="38">
        <v>1</v>
      </c>
      <c r="V132" s="1">
        <v>0.8</v>
      </c>
      <c r="Y132" s="1">
        <v>0.20100000000000001</v>
      </c>
      <c r="Z132" s="1">
        <v>4.8000000000000001E-2</v>
      </c>
      <c r="AA132" s="1">
        <v>0.26300000000000001</v>
      </c>
      <c r="AF132" s="1">
        <v>0.24199999999999999</v>
      </c>
      <c r="AG132" s="1">
        <v>0.02</v>
      </c>
      <c r="AU132" s="1" t="s">
        <v>15</v>
      </c>
      <c r="AW132" s="1">
        <v>1.4999999999999999E-2</v>
      </c>
      <c r="AY132" s="1">
        <v>4.0000000000000001E-3</v>
      </c>
      <c r="BA132" s="1">
        <v>0.128</v>
      </c>
      <c r="BG132" s="1">
        <v>3.3000000000000002E-2</v>
      </c>
      <c r="BI132" s="1">
        <v>0.01</v>
      </c>
      <c r="BQ132" s="1" t="s">
        <v>15</v>
      </c>
      <c r="BZ132" s="1">
        <v>1.2E-2</v>
      </c>
      <c r="CI132" s="1">
        <v>2.1000000000000001E-2</v>
      </c>
      <c r="CL132" s="1" t="s">
        <v>15</v>
      </c>
      <c r="CP132" s="1">
        <v>4.0000000000000001E-3</v>
      </c>
      <c r="DK132" s="1">
        <v>4.0000000000000001E-3</v>
      </c>
      <c r="DT132" s="1" t="s">
        <v>15</v>
      </c>
      <c r="ED132" s="1">
        <v>3.0000000000000001E-3</v>
      </c>
      <c r="EF132" s="1">
        <v>4.0000000000000001E-3</v>
      </c>
      <c r="ET132" s="1">
        <v>1.9E-2</v>
      </c>
      <c r="EX132" s="1">
        <v>1.2999999999999999E-2</v>
      </c>
      <c r="FE132" s="1">
        <v>0.105</v>
      </c>
      <c r="FJ132" s="1">
        <v>8.9999999999999993E-3</v>
      </c>
      <c r="FM132" s="1">
        <v>0.105</v>
      </c>
    </row>
    <row r="133" spans="1:169" x14ac:dyDescent="0.2">
      <c r="A133" s="1" t="s">
        <v>1910</v>
      </c>
      <c r="B133" s="1" t="s">
        <v>1911</v>
      </c>
      <c r="C133" s="1" t="s">
        <v>236</v>
      </c>
      <c r="E133" s="1">
        <v>43</v>
      </c>
      <c r="F133" s="1" t="s">
        <v>1912</v>
      </c>
      <c r="H133" s="1" t="s">
        <v>1913</v>
      </c>
      <c r="I133" s="1" t="s">
        <v>7</v>
      </c>
      <c r="J133" s="1" t="s">
        <v>1914</v>
      </c>
      <c r="K133" s="1" t="s">
        <v>1915</v>
      </c>
      <c r="L133" s="1" t="s">
        <v>1914</v>
      </c>
      <c r="O133" s="1">
        <v>1</v>
      </c>
      <c r="P133" s="1" t="s">
        <v>1744</v>
      </c>
      <c r="Q133" s="1">
        <v>2008</v>
      </c>
      <c r="R133" s="1" t="s">
        <v>1745</v>
      </c>
      <c r="S133" s="1" t="s">
        <v>27</v>
      </c>
      <c r="T133" s="38">
        <v>1</v>
      </c>
      <c r="V133" s="1">
        <v>1.53</v>
      </c>
      <c r="Y133" s="1">
        <v>0.28899999999999998</v>
      </c>
      <c r="Z133" s="1">
        <v>0.38900000000000001</v>
      </c>
      <c r="AA133" s="1">
        <v>0.33400000000000002</v>
      </c>
      <c r="AF133" s="1">
        <v>0.30199999999999999</v>
      </c>
      <c r="AG133" s="1">
        <v>1.9E-2</v>
      </c>
      <c r="AU133" s="1" t="s">
        <v>15</v>
      </c>
      <c r="AW133" s="1">
        <v>1.9E-2</v>
      </c>
      <c r="AY133" s="1">
        <v>6.0000000000000001E-3</v>
      </c>
      <c r="BA133" s="1">
        <v>0.16600000000000001</v>
      </c>
      <c r="BG133" s="1">
        <v>6.2E-2</v>
      </c>
      <c r="BI133" s="1">
        <v>2E-3</v>
      </c>
      <c r="BQ133" s="1" t="s">
        <v>15</v>
      </c>
      <c r="BZ133" s="1">
        <v>3.1E-2</v>
      </c>
      <c r="CI133" s="1">
        <v>0.32</v>
      </c>
      <c r="CL133" s="1">
        <v>2.1000000000000001E-2</v>
      </c>
      <c r="CP133" s="1" t="s">
        <v>15</v>
      </c>
      <c r="DK133" s="1">
        <v>8.9999999999999993E-3</v>
      </c>
      <c r="DT133" s="1" t="s">
        <v>15</v>
      </c>
      <c r="ED133" s="1" t="s">
        <v>15</v>
      </c>
      <c r="EF133" s="1">
        <v>2E-3</v>
      </c>
      <c r="ET133" s="1">
        <v>6.4000000000000001E-2</v>
      </c>
      <c r="EX133" s="1">
        <v>1.9E-2</v>
      </c>
      <c r="FE133" s="1">
        <v>2.8000000000000001E-2</v>
      </c>
      <c r="FJ133" s="1">
        <v>0.03</v>
      </c>
      <c r="FM133" s="1">
        <v>0.17799999999999999</v>
      </c>
    </row>
    <row r="134" spans="1:169" x14ac:dyDescent="0.2">
      <c r="A134" s="1" t="s">
        <v>1916</v>
      </c>
      <c r="B134" s="1" t="s">
        <v>57</v>
      </c>
      <c r="C134" s="1" t="s">
        <v>236</v>
      </c>
      <c r="E134" s="1">
        <v>54</v>
      </c>
      <c r="F134" s="1" t="s">
        <v>1917</v>
      </c>
      <c r="H134" s="1" t="s">
        <v>1918</v>
      </c>
      <c r="I134" s="1" t="s">
        <v>11</v>
      </c>
      <c r="J134" s="1" t="s">
        <v>1919</v>
      </c>
      <c r="K134" s="1" t="s">
        <v>1920</v>
      </c>
      <c r="L134" s="1" t="s">
        <v>1919</v>
      </c>
      <c r="O134" s="1">
        <v>4</v>
      </c>
      <c r="P134" s="1" t="s">
        <v>1744</v>
      </c>
      <c r="Q134" s="1">
        <v>2008</v>
      </c>
      <c r="R134" s="1" t="s">
        <v>1745</v>
      </c>
      <c r="S134" s="1" t="s">
        <v>27</v>
      </c>
      <c r="T134" s="38">
        <v>1</v>
      </c>
      <c r="V134" s="1">
        <v>1.0900000000000001</v>
      </c>
      <c r="Y134" s="1">
        <v>0.24</v>
      </c>
      <c r="Z134" s="1">
        <v>0.10199999999999999</v>
      </c>
      <c r="AA134" s="1">
        <v>0.41</v>
      </c>
      <c r="AF134" s="1">
        <v>0.36799999999999999</v>
      </c>
      <c r="AG134" s="1">
        <v>4.2000000000000003E-2</v>
      </c>
      <c r="AU134" s="1" t="s">
        <v>15</v>
      </c>
      <c r="AW134" s="1">
        <v>1.4999999999999999E-2</v>
      </c>
      <c r="AY134" s="1">
        <v>4.0000000000000001E-3</v>
      </c>
      <c r="BA134" s="1">
        <v>0.158</v>
      </c>
      <c r="BG134" s="1">
        <v>2.9000000000000001E-2</v>
      </c>
      <c r="BI134" s="1">
        <v>1.2E-2</v>
      </c>
      <c r="BQ134" s="1">
        <v>1E-3</v>
      </c>
      <c r="BZ134" s="1">
        <v>4.9000000000000002E-2</v>
      </c>
      <c r="CI134" s="1">
        <v>2.5000000000000001E-2</v>
      </c>
      <c r="CL134" s="1">
        <v>1.0999999999999999E-2</v>
      </c>
      <c r="CP134" s="1">
        <v>3.0000000000000001E-3</v>
      </c>
      <c r="DK134" s="1">
        <v>8.9999999999999993E-3</v>
      </c>
      <c r="DT134" s="1" t="s">
        <v>15</v>
      </c>
      <c r="ED134" s="1">
        <v>1E-3</v>
      </c>
      <c r="EF134" s="1">
        <v>0.01</v>
      </c>
      <c r="ET134" s="1">
        <v>3.3000000000000002E-2</v>
      </c>
      <c r="EX134" s="1">
        <v>3.2000000000000001E-2</v>
      </c>
      <c r="FE134" s="1">
        <v>0.16200000000000001</v>
      </c>
      <c r="FJ134" s="1">
        <v>1.2E-2</v>
      </c>
      <c r="FM134" s="1">
        <v>0.151</v>
      </c>
    </row>
    <row r="135" spans="1:169" x14ac:dyDescent="0.2">
      <c r="A135" s="1" t="s">
        <v>1921</v>
      </c>
      <c r="B135" s="1" t="s">
        <v>57</v>
      </c>
      <c r="C135" s="1" t="s">
        <v>236</v>
      </c>
      <c r="E135" s="1">
        <v>57</v>
      </c>
      <c r="F135" s="1" t="s">
        <v>1922</v>
      </c>
      <c r="H135" s="1" t="s">
        <v>1923</v>
      </c>
      <c r="I135" s="1" t="s">
        <v>7</v>
      </c>
      <c r="J135" s="1" t="s">
        <v>1924</v>
      </c>
      <c r="K135" s="1" t="s">
        <v>1925</v>
      </c>
      <c r="L135" s="1" t="s">
        <v>1924</v>
      </c>
      <c r="O135" s="1">
        <v>1</v>
      </c>
      <c r="P135" s="1" t="s">
        <v>1744</v>
      </c>
      <c r="Q135" s="1">
        <v>2008</v>
      </c>
      <c r="R135" s="1" t="s">
        <v>1745</v>
      </c>
      <c r="S135" s="1" t="s">
        <v>27</v>
      </c>
      <c r="T135" s="38">
        <v>1</v>
      </c>
      <c r="V135" s="1">
        <v>0.36</v>
      </c>
      <c r="Y135" s="1">
        <v>8.4000000000000005E-2</v>
      </c>
      <c r="Z135" s="1">
        <v>1.2E-2</v>
      </c>
      <c r="AA135" s="1">
        <v>0.122</v>
      </c>
      <c r="AF135" s="1">
        <v>0.10199999999999999</v>
      </c>
      <c r="AG135" s="1">
        <v>1.6E-2</v>
      </c>
      <c r="AU135" s="1" t="s">
        <v>15</v>
      </c>
      <c r="AW135" s="1">
        <v>3.0000000000000001E-3</v>
      </c>
      <c r="AY135" s="1" t="s">
        <v>15</v>
      </c>
      <c r="BA135" s="1">
        <v>5.8999999999999997E-2</v>
      </c>
      <c r="BG135" s="1">
        <v>1.9E-2</v>
      </c>
      <c r="BI135" s="1" t="s">
        <v>15</v>
      </c>
      <c r="BQ135" s="1" t="s">
        <v>15</v>
      </c>
      <c r="BZ135" s="1" t="s">
        <v>15</v>
      </c>
      <c r="CI135" s="1">
        <v>3.0000000000000001E-3</v>
      </c>
      <c r="CL135" s="1">
        <v>6.0000000000000001E-3</v>
      </c>
      <c r="CP135" s="1" t="s">
        <v>15</v>
      </c>
      <c r="DK135" s="1" t="s">
        <v>15</v>
      </c>
      <c r="DT135" s="1" t="s">
        <v>15</v>
      </c>
      <c r="ED135" s="1" t="s">
        <v>15</v>
      </c>
      <c r="EF135" s="1" t="s">
        <v>15</v>
      </c>
      <c r="ET135" s="1">
        <v>6.0000000000000001E-3</v>
      </c>
      <c r="EX135" s="1">
        <v>1.6E-2</v>
      </c>
      <c r="FE135" s="1">
        <v>3.6999999999999998E-2</v>
      </c>
      <c r="FJ135" s="1">
        <v>3.0000000000000001E-3</v>
      </c>
      <c r="FM135" s="1">
        <v>5.6000000000000001E-2</v>
      </c>
    </row>
    <row r="136" spans="1:169" x14ac:dyDescent="0.2">
      <c r="A136" s="1" t="s">
        <v>1926</v>
      </c>
      <c r="B136" s="1" t="s">
        <v>1911</v>
      </c>
      <c r="C136" s="1" t="s">
        <v>236</v>
      </c>
      <c r="E136" s="1">
        <v>43</v>
      </c>
      <c r="F136" s="1" t="s">
        <v>1927</v>
      </c>
      <c r="H136" s="1" t="s">
        <v>1928</v>
      </c>
      <c r="I136" s="1" t="s">
        <v>11</v>
      </c>
      <c r="J136" s="1" t="s">
        <v>1929</v>
      </c>
      <c r="K136" s="1" t="s">
        <v>1930</v>
      </c>
      <c r="L136" s="1" t="s">
        <v>1929</v>
      </c>
      <c r="O136" s="1">
        <v>3</v>
      </c>
      <c r="P136" s="1" t="s">
        <v>1744</v>
      </c>
      <c r="Q136" s="1">
        <v>2008</v>
      </c>
      <c r="R136" s="1" t="s">
        <v>1745</v>
      </c>
      <c r="S136" s="1" t="s">
        <v>27</v>
      </c>
      <c r="T136" s="38">
        <v>1</v>
      </c>
      <c r="V136" s="1">
        <v>0.63</v>
      </c>
      <c r="Y136" s="1">
        <v>0.121</v>
      </c>
      <c r="Z136" s="1">
        <v>0.11600000000000001</v>
      </c>
      <c r="AA136" s="1">
        <v>0.19700000000000001</v>
      </c>
      <c r="AF136" s="1">
        <v>0.17199999999999999</v>
      </c>
      <c r="AG136" s="1">
        <v>2.1000000000000001E-2</v>
      </c>
      <c r="AU136" s="1" t="s">
        <v>15</v>
      </c>
      <c r="AW136" s="1">
        <v>6.0000000000000001E-3</v>
      </c>
      <c r="AY136" s="1">
        <v>3.0000000000000001E-3</v>
      </c>
      <c r="BA136" s="1">
        <v>7.9000000000000001E-2</v>
      </c>
      <c r="BG136" s="1">
        <v>0.02</v>
      </c>
      <c r="BI136" s="1">
        <v>5.0000000000000001E-3</v>
      </c>
      <c r="BQ136" s="1" t="s">
        <v>15</v>
      </c>
      <c r="BZ136" s="1">
        <v>1.9E-2</v>
      </c>
      <c r="CI136" s="1">
        <v>7.6999999999999999E-2</v>
      </c>
      <c r="CL136" s="1">
        <v>8.9999999999999993E-3</v>
      </c>
      <c r="CP136" s="1" t="s">
        <v>15</v>
      </c>
      <c r="DK136" s="1">
        <v>4.0000000000000001E-3</v>
      </c>
      <c r="DT136" s="1" t="s">
        <v>15</v>
      </c>
      <c r="ED136" s="1">
        <v>1E-3</v>
      </c>
      <c r="EF136" s="1">
        <v>5.0000000000000001E-3</v>
      </c>
      <c r="ET136" s="1">
        <v>1.0999999999999999E-2</v>
      </c>
      <c r="EX136" s="1">
        <v>1.6E-2</v>
      </c>
      <c r="FE136" s="1">
        <v>7.5999999999999998E-2</v>
      </c>
      <c r="FJ136" s="1">
        <v>8.0000000000000002E-3</v>
      </c>
      <c r="FM136" s="1">
        <v>7.1999999999999995E-2</v>
      </c>
    </row>
    <row r="137" spans="1:169" x14ac:dyDescent="0.2">
      <c r="A137" s="1" t="s">
        <v>1931</v>
      </c>
      <c r="B137" s="1" t="s">
        <v>1911</v>
      </c>
      <c r="C137" s="1" t="s">
        <v>236</v>
      </c>
      <c r="E137" s="1">
        <v>45</v>
      </c>
      <c r="F137" s="1" t="s">
        <v>1932</v>
      </c>
      <c r="H137" s="1" t="s">
        <v>1933</v>
      </c>
      <c r="I137" s="1" t="s">
        <v>7</v>
      </c>
      <c r="J137" s="1" t="s">
        <v>1934</v>
      </c>
      <c r="K137" s="1" t="s">
        <v>1935</v>
      </c>
      <c r="L137" s="1" t="s">
        <v>1936</v>
      </c>
      <c r="O137" s="1">
        <v>4</v>
      </c>
      <c r="P137" s="1" t="s">
        <v>1937</v>
      </c>
      <c r="Q137" s="1">
        <v>2008</v>
      </c>
      <c r="R137" s="1" t="s">
        <v>1745</v>
      </c>
      <c r="S137" s="1" t="s">
        <v>27</v>
      </c>
      <c r="T137" s="38">
        <v>1</v>
      </c>
      <c r="V137" s="1">
        <v>0.76</v>
      </c>
      <c r="Y137" s="1">
        <v>0.16200000000000001</v>
      </c>
      <c r="Z137" s="1">
        <v>0.14899999999999999</v>
      </c>
      <c r="AA137" s="1">
        <v>0.23499999999999999</v>
      </c>
      <c r="AF137" s="1">
        <v>0.15</v>
      </c>
      <c r="AG137" s="1">
        <v>8.4000000000000005E-2</v>
      </c>
      <c r="AU137" s="1" t="s">
        <v>15</v>
      </c>
      <c r="AW137" s="1">
        <v>3.0000000000000001E-3</v>
      </c>
      <c r="AY137" s="1">
        <v>4.0000000000000001E-3</v>
      </c>
      <c r="BA137" s="1">
        <v>6.9000000000000006E-2</v>
      </c>
      <c r="BG137" s="1">
        <v>6.0999999999999999E-2</v>
      </c>
      <c r="BI137" s="1">
        <v>1E-3</v>
      </c>
      <c r="BQ137" s="1" t="s">
        <v>15</v>
      </c>
      <c r="BZ137" s="1">
        <v>4.8000000000000001E-2</v>
      </c>
      <c r="CI137" s="1">
        <v>8.1000000000000003E-2</v>
      </c>
      <c r="CL137" s="1">
        <v>7.0000000000000001E-3</v>
      </c>
      <c r="CP137" s="1" t="s">
        <v>15</v>
      </c>
      <c r="DK137" s="1">
        <v>6.2E-2</v>
      </c>
      <c r="DT137" s="1" t="s">
        <v>15</v>
      </c>
      <c r="ED137" s="1">
        <v>1E-3</v>
      </c>
      <c r="EF137" s="1">
        <v>3.0000000000000001E-3</v>
      </c>
      <c r="ET137" s="1">
        <v>4.0000000000000001E-3</v>
      </c>
      <c r="EX137" s="1">
        <v>2.1000000000000001E-2</v>
      </c>
      <c r="FE137" s="1">
        <v>7.0999999999999994E-2</v>
      </c>
      <c r="FJ137" s="1">
        <v>6.0000000000000001E-3</v>
      </c>
      <c r="FM137" s="1">
        <v>6.6000000000000003E-2</v>
      </c>
    </row>
    <row r="138" spans="1:169" x14ac:dyDescent="0.2">
      <c r="A138" s="1" t="s">
        <v>1938</v>
      </c>
      <c r="B138" s="1" t="s">
        <v>57</v>
      </c>
      <c r="C138" s="1" t="s">
        <v>236</v>
      </c>
      <c r="E138" s="1">
        <v>57</v>
      </c>
      <c r="F138" s="1" t="s">
        <v>1939</v>
      </c>
      <c r="H138" s="1" t="s">
        <v>1940</v>
      </c>
      <c r="I138" s="1" t="s">
        <v>7</v>
      </c>
      <c r="J138" s="1" t="s">
        <v>1941</v>
      </c>
      <c r="K138" s="1" t="s">
        <v>1942</v>
      </c>
      <c r="L138" s="1" t="s">
        <v>1941</v>
      </c>
      <c r="O138" s="1">
        <v>4</v>
      </c>
      <c r="P138" s="1" t="s">
        <v>1744</v>
      </c>
      <c r="Q138" s="1">
        <v>2008</v>
      </c>
      <c r="R138" s="1" t="s">
        <v>1745</v>
      </c>
      <c r="S138" s="1" t="s">
        <v>27</v>
      </c>
      <c r="T138" s="38">
        <v>1</v>
      </c>
      <c r="V138" s="1">
        <v>1.33</v>
      </c>
      <c r="Y138" s="1">
        <v>0.255</v>
      </c>
      <c r="Z138" s="1">
        <v>0.10299999999999999</v>
      </c>
      <c r="AA138" s="1">
        <v>0.44</v>
      </c>
      <c r="AF138" s="1">
        <v>0.28999999999999998</v>
      </c>
      <c r="AG138" s="1">
        <v>0.14899999999999999</v>
      </c>
      <c r="AU138" s="1" t="s">
        <v>15</v>
      </c>
      <c r="AW138" s="1">
        <v>1.4E-2</v>
      </c>
      <c r="AY138" s="1">
        <v>3.0000000000000001E-3</v>
      </c>
      <c r="BA138" s="1">
        <v>0.186</v>
      </c>
      <c r="BG138" s="1">
        <v>4.5999999999999999E-2</v>
      </c>
      <c r="BI138" s="1" t="s">
        <v>15</v>
      </c>
      <c r="BQ138" s="1">
        <v>1E-3</v>
      </c>
      <c r="BZ138" s="1">
        <v>8.0000000000000002E-3</v>
      </c>
      <c r="CI138" s="1">
        <v>7.6999999999999999E-2</v>
      </c>
      <c r="CL138" s="1" t="s">
        <v>15</v>
      </c>
      <c r="CP138" s="1" t="s">
        <v>15</v>
      </c>
      <c r="DK138" s="1">
        <v>0.13600000000000001</v>
      </c>
      <c r="DT138" s="1">
        <v>1E-3</v>
      </c>
      <c r="ED138" s="1">
        <v>1E-3</v>
      </c>
      <c r="EF138" s="1">
        <v>1E-3</v>
      </c>
      <c r="ET138" s="1">
        <v>2.3E-2</v>
      </c>
      <c r="EX138" s="1">
        <v>1.2E-2</v>
      </c>
      <c r="FE138" s="1">
        <v>6.8000000000000005E-2</v>
      </c>
      <c r="FJ138" s="1">
        <v>3.1E-2</v>
      </c>
      <c r="FM138" s="1">
        <v>0.16700000000000001</v>
      </c>
    </row>
    <row r="139" spans="1:169" x14ac:dyDescent="0.2">
      <c r="A139" s="1" t="s">
        <v>1943</v>
      </c>
      <c r="B139" s="1" t="s">
        <v>55</v>
      </c>
      <c r="C139" s="1" t="s">
        <v>236</v>
      </c>
      <c r="E139" s="1">
        <v>35</v>
      </c>
      <c r="F139" s="1" t="s">
        <v>1740</v>
      </c>
      <c r="H139" s="1" t="s">
        <v>1944</v>
      </c>
      <c r="I139" s="1" t="s">
        <v>11</v>
      </c>
      <c r="J139" s="1" t="s">
        <v>1742</v>
      </c>
      <c r="K139" s="1" t="s">
        <v>1743</v>
      </c>
      <c r="L139" s="1" t="s">
        <v>1742</v>
      </c>
      <c r="O139" s="1">
        <v>2</v>
      </c>
      <c r="P139" s="1" t="s">
        <v>1945</v>
      </c>
      <c r="Q139" s="1">
        <v>2008</v>
      </c>
      <c r="R139" s="1" t="s">
        <v>1745</v>
      </c>
      <c r="S139" s="1" t="s">
        <v>27</v>
      </c>
      <c r="T139" s="38">
        <v>1</v>
      </c>
      <c r="V139" s="1">
        <v>7.36</v>
      </c>
      <c r="Y139" s="1">
        <v>2.2589999999999999</v>
      </c>
      <c r="Z139" s="1">
        <v>1.3009999999999999</v>
      </c>
      <c r="AA139" s="1">
        <v>2.694</v>
      </c>
      <c r="AF139" s="1">
        <v>1.7709999999999999</v>
      </c>
      <c r="AG139" s="1">
        <v>0.92</v>
      </c>
      <c r="AU139" s="1" t="s">
        <v>15</v>
      </c>
      <c r="AW139" s="1">
        <v>0.10100000000000001</v>
      </c>
      <c r="AY139" s="1" t="s">
        <v>15</v>
      </c>
      <c r="BA139" s="1">
        <v>1.294</v>
      </c>
      <c r="BG139" s="1">
        <v>0.86</v>
      </c>
      <c r="BI139" s="1">
        <v>3.0000000000000001E-3</v>
      </c>
      <c r="BQ139" s="1" t="s">
        <v>15</v>
      </c>
      <c r="BZ139" s="1">
        <v>0.156</v>
      </c>
      <c r="CI139" s="1">
        <v>1.145</v>
      </c>
      <c r="CL139" s="1" t="s">
        <v>15</v>
      </c>
      <c r="CP139" s="1" t="s">
        <v>15</v>
      </c>
      <c r="DK139" s="1">
        <v>0.81399999999999995</v>
      </c>
      <c r="DT139" s="1" t="s">
        <v>15</v>
      </c>
      <c r="ED139" s="1" t="s">
        <v>15</v>
      </c>
      <c r="EF139" s="1">
        <v>0.127</v>
      </c>
      <c r="ET139" s="1">
        <v>5.3999999999999999E-2</v>
      </c>
      <c r="EX139" s="1">
        <v>0.106</v>
      </c>
      <c r="FE139" s="1">
        <v>0.46600000000000003</v>
      </c>
      <c r="FJ139" s="1">
        <v>0.23799999999999999</v>
      </c>
      <c r="FM139" s="1">
        <v>0.88600000000000001</v>
      </c>
    </row>
    <row r="140" spans="1:169" x14ac:dyDescent="0.2">
      <c r="A140" s="1" t="s">
        <v>1946</v>
      </c>
      <c r="B140" s="1" t="s">
        <v>1911</v>
      </c>
      <c r="C140" s="1" t="s">
        <v>236</v>
      </c>
      <c r="E140" s="1">
        <v>42</v>
      </c>
      <c r="F140" s="1" t="s">
        <v>1947</v>
      </c>
      <c r="H140" s="1" t="s">
        <v>1948</v>
      </c>
      <c r="I140" s="1" t="s">
        <v>11</v>
      </c>
      <c r="J140" s="1" t="s">
        <v>1949</v>
      </c>
      <c r="K140" s="1" t="s">
        <v>1950</v>
      </c>
      <c r="L140" s="1" t="s">
        <v>1949</v>
      </c>
      <c r="O140" s="1">
        <v>1</v>
      </c>
      <c r="P140" s="1" t="s">
        <v>1744</v>
      </c>
      <c r="Q140" s="1">
        <v>2008</v>
      </c>
      <c r="R140" s="1" t="s">
        <v>1745</v>
      </c>
      <c r="S140" s="1" t="s">
        <v>27</v>
      </c>
      <c r="T140" s="38">
        <v>1</v>
      </c>
      <c r="V140" s="1">
        <v>0.56999999999999995</v>
      </c>
      <c r="Y140" s="1">
        <v>0.122</v>
      </c>
      <c r="Z140" s="1">
        <v>0.08</v>
      </c>
      <c r="AA140" s="1">
        <v>0.19900000000000001</v>
      </c>
      <c r="AF140" s="1">
        <v>0.158</v>
      </c>
      <c r="AG140" s="1">
        <v>0.04</v>
      </c>
      <c r="AU140" s="1" t="s">
        <v>15</v>
      </c>
      <c r="AW140" s="1">
        <v>3.0000000000000001E-3</v>
      </c>
      <c r="AY140" s="1">
        <v>3.0000000000000001E-3</v>
      </c>
      <c r="BA140" s="1">
        <v>5.8999999999999997E-2</v>
      </c>
      <c r="BG140" s="1">
        <v>4.2000000000000003E-2</v>
      </c>
      <c r="BI140" s="1">
        <v>1E-3</v>
      </c>
      <c r="BQ140" s="1" t="s">
        <v>15</v>
      </c>
      <c r="BZ140" s="1">
        <v>1.6E-2</v>
      </c>
      <c r="CI140" s="1">
        <v>4.2999999999999997E-2</v>
      </c>
      <c r="CL140" s="1">
        <v>1.2999999999999999E-2</v>
      </c>
      <c r="CP140" s="1" t="s">
        <v>15</v>
      </c>
      <c r="DK140" s="1">
        <v>7.0000000000000001E-3</v>
      </c>
      <c r="DT140" s="1" t="s">
        <v>15</v>
      </c>
      <c r="ED140" s="1" t="s">
        <v>15</v>
      </c>
      <c r="EF140" s="1">
        <v>3.0000000000000001E-3</v>
      </c>
      <c r="ET140" s="1">
        <v>1E-3</v>
      </c>
      <c r="EX140" s="1">
        <v>3.3000000000000002E-2</v>
      </c>
      <c r="FE140" s="1">
        <v>7.2999999999999995E-2</v>
      </c>
      <c r="FJ140" s="1">
        <v>4.0000000000000001E-3</v>
      </c>
      <c r="FM140" s="1">
        <v>7.6999999999999999E-2</v>
      </c>
    </row>
    <row r="141" spans="1:169" x14ac:dyDescent="0.2">
      <c r="A141" s="1" t="s">
        <v>1951</v>
      </c>
      <c r="B141" s="1" t="s">
        <v>55</v>
      </c>
      <c r="C141" s="1" t="s">
        <v>236</v>
      </c>
      <c r="E141" s="1">
        <v>37</v>
      </c>
      <c r="F141" s="1" t="s">
        <v>1600</v>
      </c>
      <c r="H141" s="1" t="s">
        <v>1952</v>
      </c>
      <c r="I141" s="1" t="s">
        <v>11</v>
      </c>
      <c r="J141" s="1" t="s">
        <v>1602</v>
      </c>
      <c r="K141" s="1" t="s">
        <v>1603</v>
      </c>
      <c r="L141" s="1" t="s">
        <v>1602</v>
      </c>
      <c r="O141" s="1">
        <v>1</v>
      </c>
      <c r="P141" s="1" t="s">
        <v>1945</v>
      </c>
      <c r="Q141" s="1">
        <v>2008</v>
      </c>
      <c r="R141" s="1" t="s">
        <v>1745</v>
      </c>
      <c r="S141" s="1" t="s">
        <v>27</v>
      </c>
      <c r="T141" s="38">
        <v>1</v>
      </c>
      <c r="V141" s="1">
        <v>13.2</v>
      </c>
      <c r="Y141" s="1">
        <v>3.73</v>
      </c>
      <c r="Z141" s="1">
        <v>1.794</v>
      </c>
      <c r="AA141" s="1">
        <v>5.976</v>
      </c>
      <c r="AF141" s="1">
        <v>4.3529999999999998</v>
      </c>
      <c r="AG141" s="1">
        <v>1.458</v>
      </c>
      <c r="AU141" s="1" t="s">
        <v>15</v>
      </c>
      <c r="AW141" s="1">
        <v>0.54600000000000004</v>
      </c>
      <c r="AY141" s="1" t="s">
        <v>15</v>
      </c>
      <c r="BA141" s="1">
        <v>2.2240000000000002</v>
      </c>
      <c r="BG141" s="1">
        <v>0.56899999999999995</v>
      </c>
      <c r="BI141" s="1" t="s">
        <v>15</v>
      </c>
      <c r="BQ141" s="1" t="s">
        <v>15</v>
      </c>
      <c r="BZ141" s="1" t="s">
        <v>15</v>
      </c>
      <c r="CI141" s="1">
        <v>1.3129999999999999</v>
      </c>
      <c r="CL141" s="1">
        <v>0.27800000000000002</v>
      </c>
      <c r="CP141" s="1">
        <v>3.6999999999999998E-2</v>
      </c>
      <c r="DK141" s="1">
        <v>0.34599999999999997</v>
      </c>
      <c r="DT141" s="1">
        <v>0.129</v>
      </c>
      <c r="ED141" s="1">
        <v>2.1999999999999999E-2</v>
      </c>
      <c r="EF141" s="1">
        <v>0.16200000000000001</v>
      </c>
      <c r="ET141" s="1">
        <v>1.2629999999999999</v>
      </c>
      <c r="EX141" s="1">
        <v>1.0900000000000001</v>
      </c>
      <c r="FE141" s="1">
        <v>0.79100000000000004</v>
      </c>
      <c r="FJ141" s="1">
        <v>0.152</v>
      </c>
      <c r="FM141" s="1">
        <v>1.9850000000000001</v>
      </c>
    </row>
    <row r="142" spans="1:169" x14ac:dyDescent="0.2">
      <c r="A142" s="1" t="s">
        <v>1953</v>
      </c>
      <c r="B142" s="1" t="s">
        <v>55</v>
      </c>
      <c r="C142" s="1" t="s">
        <v>236</v>
      </c>
      <c r="E142" s="1">
        <v>35</v>
      </c>
      <c r="F142" s="1" t="s">
        <v>1797</v>
      </c>
      <c r="H142" s="1" t="s">
        <v>1954</v>
      </c>
      <c r="I142" s="1" t="s">
        <v>11</v>
      </c>
      <c r="J142" s="1" t="s">
        <v>1799</v>
      </c>
      <c r="K142" s="1" t="s">
        <v>1800</v>
      </c>
      <c r="L142" s="1" t="s">
        <v>1799</v>
      </c>
      <c r="O142" s="1">
        <v>1</v>
      </c>
      <c r="P142" s="1" t="s">
        <v>1945</v>
      </c>
      <c r="Q142" s="1">
        <v>2008</v>
      </c>
      <c r="R142" s="1" t="s">
        <v>1745</v>
      </c>
      <c r="S142" s="1" t="s">
        <v>27</v>
      </c>
      <c r="T142" s="38">
        <v>1</v>
      </c>
      <c r="V142" s="1">
        <v>9.8000000000000007</v>
      </c>
      <c r="Y142" s="1">
        <v>2.2189999999999999</v>
      </c>
      <c r="Z142" s="1">
        <v>1.427</v>
      </c>
      <c r="AA142" s="1">
        <v>4.0949999999999998</v>
      </c>
      <c r="AF142" s="1">
        <v>3.149</v>
      </c>
      <c r="AG142" s="1">
        <v>0.94599999999999995</v>
      </c>
      <c r="AU142" s="1" t="s">
        <v>15</v>
      </c>
      <c r="AW142" s="1">
        <v>0.36499999999999999</v>
      </c>
      <c r="AY142" s="1">
        <v>3.2000000000000001E-2</v>
      </c>
      <c r="BA142" s="1">
        <v>1.5509999999999999</v>
      </c>
      <c r="BG142" s="1">
        <v>0.182</v>
      </c>
      <c r="BI142" s="1" t="s">
        <v>15</v>
      </c>
      <c r="BQ142" s="1">
        <v>0.01</v>
      </c>
      <c r="BZ142" s="1">
        <v>0.28299999999999997</v>
      </c>
      <c r="CI142" s="1">
        <v>0.751</v>
      </c>
      <c r="CL142" s="1">
        <v>0.245</v>
      </c>
      <c r="CP142" s="1" t="s">
        <v>15</v>
      </c>
      <c r="DK142" s="1">
        <v>0.14899999999999999</v>
      </c>
      <c r="DT142" s="1" t="s">
        <v>15</v>
      </c>
      <c r="ED142" s="1" t="s">
        <v>15</v>
      </c>
      <c r="EF142" s="1">
        <v>6.8000000000000005E-2</v>
      </c>
      <c r="ET142" s="1">
        <v>0.63400000000000001</v>
      </c>
      <c r="EX142" s="1">
        <v>0.79700000000000004</v>
      </c>
      <c r="FE142" s="1">
        <v>0.77300000000000002</v>
      </c>
      <c r="FJ142" s="1">
        <v>8.3000000000000004E-2</v>
      </c>
      <c r="FM142" s="1">
        <v>1.591</v>
      </c>
    </row>
    <row r="143" spans="1:169" x14ac:dyDescent="0.2">
      <c r="A143" s="1" t="s">
        <v>1955</v>
      </c>
      <c r="B143" s="1" t="s">
        <v>55</v>
      </c>
      <c r="C143" s="1" t="s">
        <v>236</v>
      </c>
      <c r="E143" s="1">
        <v>35</v>
      </c>
      <c r="F143" s="1" t="s">
        <v>1797</v>
      </c>
      <c r="H143" s="1" t="s">
        <v>1956</v>
      </c>
      <c r="I143" s="1" t="s">
        <v>11</v>
      </c>
      <c r="J143" s="1" t="s">
        <v>1799</v>
      </c>
      <c r="K143" s="1" t="s">
        <v>1800</v>
      </c>
      <c r="L143" s="1" t="s">
        <v>1799</v>
      </c>
      <c r="O143" s="1">
        <v>1</v>
      </c>
      <c r="P143" s="1" t="s">
        <v>1945</v>
      </c>
      <c r="Q143" s="1">
        <v>2008</v>
      </c>
      <c r="R143" s="1" t="s">
        <v>1745</v>
      </c>
      <c r="S143" s="1" t="s">
        <v>27</v>
      </c>
      <c r="T143" s="38">
        <v>1</v>
      </c>
      <c r="V143" s="1">
        <v>11.9</v>
      </c>
      <c r="Y143" s="1">
        <v>3.3279999999999998</v>
      </c>
      <c r="Z143" s="1">
        <v>3.093</v>
      </c>
      <c r="AA143" s="1">
        <v>4.484</v>
      </c>
      <c r="AF143" s="1">
        <v>3.6539999999999999</v>
      </c>
      <c r="AG143" s="1">
        <v>16.795999999999999</v>
      </c>
      <c r="AU143" s="1" t="s">
        <v>15</v>
      </c>
      <c r="AW143" s="1">
        <v>0.34</v>
      </c>
      <c r="AY143" s="1">
        <v>0.03</v>
      </c>
      <c r="BA143" s="1">
        <v>2.3220000000000001</v>
      </c>
      <c r="BG143" s="1">
        <v>0.52200000000000002</v>
      </c>
      <c r="BI143" s="1" t="s">
        <v>15</v>
      </c>
      <c r="BQ143" s="1" t="s">
        <v>15</v>
      </c>
      <c r="BZ143" s="1">
        <v>0.36499999999999999</v>
      </c>
      <c r="CI143" s="1">
        <v>2.5790000000000002</v>
      </c>
      <c r="CL143" s="1" t="s">
        <v>15</v>
      </c>
      <c r="CP143" s="1" t="s">
        <v>15</v>
      </c>
      <c r="DK143" s="1">
        <v>0.59</v>
      </c>
      <c r="DT143" s="1" t="s">
        <v>15</v>
      </c>
      <c r="ED143" s="1">
        <v>16</v>
      </c>
      <c r="EF143" s="1">
        <v>5.2999999999999999E-2</v>
      </c>
      <c r="ET143" s="1">
        <v>0.33800000000000002</v>
      </c>
      <c r="EX143" s="1">
        <v>0.20599999999999999</v>
      </c>
      <c r="FE143" s="1">
        <v>1.1080000000000001</v>
      </c>
      <c r="FJ143" s="1">
        <v>0.156</v>
      </c>
      <c r="FM143" s="1">
        <v>1.9990000000000001</v>
      </c>
    </row>
    <row r="144" spans="1:169" x14ac:dyDescent="0.2">
      <c r="A144" s="1" t="s">
        <v>1957</v>
      </c>
      <c r="B144" s="1" t="s">
        <v>55</v>
      </c>
      <c r="C144" s="1" t="s">
        <v>236</v>
      </c>
      <c r="E144" s="1">
        <v>36</v>
      </c>
      <c r="F144" s="1" t="s">
        <v>1958</v>
      </c>
      <c r="H144" s="1" t="s">
        <v>1959</v>
      </c>
      <c r="I144" s="1" t="s">
        <v>11</v>
      </c>
      <c r="J144" s="1" t="s">
        <v>1960</v>
      </c>
      <c r="K144" s="1" t="s">
        <v>1961</v>
      </c>
      <c r="L144" s="1" t="s">
        <v>1962</v>
      </c>
      <c r="O144" s="1">
        <v>5</v>
      </c>
      <c r="P144" s="1" t="s">
        <v>1963</v>
      </c>
      <c r="Q144" s="1">
        <v>2008</v>
      </c>
      <c r="R144" s="1" t="s">
        <v>1745</v>
      </c>
      <c r="S144" s="1" t="s">
        <v>27</v>
      </c>
      <c r="T144" s="38">
        <v>1</v>
      </c>
      <c r="V144" s="1">
        <v>6.03</v>
      </c>
      <c r="Y144" s="1">
        <v>1.1970000000000001</v>
      </c>
      <c r="Z144" s="1">
        <v>1.76</v>
      </c>
      <c r="AA144" s="1">
        <v>0.90100000000000002</v>
      </c>
      <c r="AF144" s="1">
        <v>0.72899999999999998</v>
      </c>
      <c r="AG144" s="1">
        <v>0.16900000000000001</v>
      </c>
      <c r="AU144" s="1" t="s">
        <v>15</v>
      </c>
      <c r="AW144" s="1">
        <v>5.6000000000000001E-2</v>
      </c>
      <c r="AY144" s="1">
        <v>4.0000000000000001E-3</v>
      </c>
      <c r="BA144" s="1">
        <v>0.40400000000000003</v>
      </c>
      <c r="BG144" s="1">
        <v>0.71699999999999997</v>
      </c>
      <c r="BI144" s="1">
        <v>1E-3</v>
      </c>
      <c r="BQ144" s="1">
        <v>1E-3</v>
      </c>
      <c r="BZ144" s="1">
        <v>4.3999999999999997E-2</v>
      </c>
      <c r="CI144" s="1">
        <v>1.6830000000000001</v>
      </c>
      <c r="CL144" s="1">
        <v>2.1000000000000001E-2</v>
      </c>
      <c r="CP144" s="1">
        <v>8.0000000000000002E-3</v>
      </c>
      <c r="DK144" s="1">
        <v>0.106</v>
      </c>
      <c r="DT144" s="1" t="s">
        <v>15</v>
      </c>
      <c r="ED144" s="1" t="s">
        <v>15</v>
      </c>
      <c r="EF144" s="1">
        <v>8.7999999999999995E-2</v>
      </c>
      <c r="ET144" s="1">
        <v>4.0000000000000001E-3</v>
      </c>
      <c r="EX144" s="1">
        <v>6.3E-2</v>
      </c>
      <c r="FE144" s="1">
        <v>0.17699999999999999</v>
      </c>
      <c r="FJ144" s="1">
        <v>5.1999999999999998E-2</v>
      </c>
      <c r="FM144" s="1">
        <v>0.40799999999999997</v>
      </c>
    </row>
    <row r="145" spans="1:169" x14ac:dyDescent="0.2">
      <c r="A145" s="1" t="s">
        <v>1964</v>
      </c>
      <c r="B145" s="1" t="s">
        <v>55</v>
      </c>
      <c r="C145" s="1" t="s">
        <v>236</v>
      </c>
      <c r="E145" s="1">
        <v>32</v>
      </c>
      <c r="F145" s="1" t="s">
        <v>1768</v>
      </c>
      <c r="H145" s="1" t="s">
        <v>1965</v>
      </c>
      <c r="I145" s="1" t="s">
        <v>11</v>
      </c>
      <c r="J145" s="1" t="s">
        <v>1770</v>
      </c>
      <c r="K145" s="1" t="s">
        <v>1771</v>
      </c>
      <c r="L145" s="1" t="s">
        <v>1770</v>
      </c>
      <c r="O145" s="1">
        <v>1</v>
      </c>
      <c r="P145" s="1" t="s">
        <v>1945</v>
      </c>
      <c r="Q145" s="1">
        <v>2008</v>
      </c>
      <c r="R145" s="1" t="s">
        <v>1745</v>
      </c>
      <c r="S145" s="1" t="s">
        <v>27</v>
      </c>
      <c r="T145" s="38">
        <v>1</v>
      </c>
      <c r="V145" s="1">
        <v>0.24</v>
      </c>
      <c r="Y145" s="1">
        <v>5.8999999999999997E-2</v>
      </c>
      <c r="Z145" s="1">
        <v>2.5000000000000001E-2</v>
      </c>
      <c r="AA145" s="1">
        <v>7.4999999999999997E-2</v>
      </c>
      <c r="AF145" s="1">
        <v>6.7000000000000004E-2</v>
      </c>
      <c r="AG145" s="1">
        <v>8.0000000000000002E-3</v>
      </c>
      <c r="AU145" s="1" t="s">
        <v>15</v>
      </c>
      <c r="AW145" s="1">
        <v>1E-3</v>
      </c>
      <c r="AY145" s="1" t="s">
        <v>15</v>
      </c>
      <c r="BA145" s="1">
        <v>3.9E-2</v>
      </c>
      <c r="BG145" s="1">
        <v>1.9E-2</v>
      </c>
      <c r="BI145" s="1" t="s">
        <v>15</v>
      </c>
      <c r="BQ145" s="1" t="s">
        <v>15</v>
      </c>
      <c r="BZ145" s="1">
        <v>1E-3</v>
      </c>
      <c r="CI145" s="1">
        <v>2.3E-2</v>
      </c>
      <c r="CL145" s="1" t="s">
        <v>15</v>
      </c>
      <c r="CP145" s="1" t="s">
        <v>15</v>
      </c>
      <c r="DK145" s="1">
        <v>3.0000000000000001E-3</v>
      </c>
      <c r="DT145" s="1" t="s">
        <v>15</v>
      </c>
      <c r="ED145" s="1" t="s">
        <v>15</v>
      </c>
      <c r="EF145" s="1">
        <v>1.4999999999999999E-2</v>
      </c>
      <c r="ET145" s="1" t="s">
        <v>15</v>
      </c>
      <c r="EX145" s="1">
        <v>5.0000000000000001E-3</v>
      </c>
      <c r="FE145" s="1">
        <v>2.3E-2</v>
      </c>
      <c r="FJ145" s="1">
        <v>5.0000000000000001E-3</v>
      </c>
      <c r="FM145" s="1">
        <v>2.4E-2</v>
      </c>
    </row>
    <row r="146" spans="1:169" x14ac:dyDescent="0.2">
      <c r="A146" s="1" t="s">
        <v>1966</v>
      </c>
      <c r="B146" s="1" t="s">
        <v>55</v>
      </c>
      <c r="C146" s="1" t="s">
        <v>236</v>
      </c>
      <c r="E146" s="1">
        <v>35</v>
      </c>
      <c r="F146" s="1" t="s">
        <v>1967</v>
      </c>
      <c r="H146" s="1" t="s">
        <v>1968</v>
      </c>
      <c r="I146" s="1" t="s">
        <v>11</v>
      </c>
      <c r="J146" s="1" t="s">
        <v>1969</v>
      </c>
      <c r="K146" s="1" t="s">
        <v>1970</v>
      </c>
      <c r="L146" s="1" t="s">
        <v>1969</v>
      </c>
      <c r="O146" s="1">
        <v>1</v>
      </c>
      <c r="P146" s="1" t="s">
        <v>1945</v>
      </c>
      <c r="Q146" s="1">
        <v>2008</v>
      </c>
      <c r="R146" s="1" t="s">
        <v>1745</v>
      </c>
      <c r="S146" s="1" t="s">
        <v>27</v>
      </c>
      <c r="T146" s="38">
        <v>1</v>
      </c>
      <c r="V146" s="1">
        <v>10</v>
      </c>
      <c r="Y146" s="1">
        <v>1.643</v>
      </c>
      <c r="Z146" s="1">
        <v>1.1519999999999999</v>
      </c>
      <c r="AA146" s="1">
        <v>5.9429999999999996</v>
      </c>
      <c r="AF146" s="1">
        <v>4.8920000000000003</v>
      </c>
      <c r="AG146" s="1">
        <v>1.0509999999999999</v>
      </c>
      <c r="AU146" s="1" t="s">
        <v>15</v>
      </c>
      <c r="AW146" s="1">
        <v>5.1999999999999998E-2</v>
      </c>
      <c r="AY146" s="1" t="s">
        <v>15</v>
      </c>
      <c r="BA146" s="1">
        <v>0.90800000000000003</v>
      </c>
      <c r="BG146" s="1">
        <v>0.64100000000000001</v>
      </c>
      <c r="BI146" s="1">
        <v>0.03</v>
      </c>
      <c r="BQ146" s="1" t="s">
        <v>15</v>
      </c>
      <c r="BZ146" s="1">
        <v>0.192</v>
      </c>
      <c r="CI146" s="1">
        <v>0.76800000000000002</v>
      </c>
      <c r="CL146" s="1">
        <v>6.6000000000000003E-2</v>
      </c>
      <c r="CP146" s="1" t="s">
        <v>15</v>
      </c>
      <c r="DK146" s="1">
        <v>0.13800000000000001</v>
      </c>
      <c r="DT146" s="1" t="s">
        <v>15</v>
      </c>
      <c r="ED146" s="1">
        <v>7.0000000000000001E-3</v>
      </c>
      <c r="EF146" s="1">
        <v>0.54</v>
      </c>
      <c r="ET146" s="1">
        <v>0.51300000000000001</v>
      </c>
      <c r="EX146" s="1">
        <v>0.90600000000000003</v>
      </c>
      <c r="FE146" s="1">
        <v>1.508</v>
      </c>
      <c r="FJ146" s="1">
        <v>0.69099999999999995</v>
      </c>
      <c r="FM146" s="1">
        <v>1.64</v>
      </c>
    </row>
    <row r="147" spans="1:169" x14ac:dyDescent="0.2">
      <c r="A147" s="1" t="s">
        <v>1971</v>
      </c>
      <c r="B147" s="1" t="s">
        <v>55</v>
      </c>
      <c r="C147" s="1" t="s">
        <v>236</v>
      </c>
      <c r="E147" s="1">
        <v>37</v>
      </c>
      <c r="F147" s="1" t="s">
        <v>1600</v>
      </c>
      <c r="H147" s="1" t="s">
        <v>1972</v>
      </c>
      <c r="I147" s="1" t="s">
        <v>11</v>
      </c>
      <c r="J147" s="1" t="s">
        <v>1602</v>
      </c>
      <c r="K147" s="1" t="s">
        <v>1603</v>
      </c>
      <c r="L147" s="1" t="s">
        <v>1602</v>
      </c>
      <c r="O147" s="1">
        <v>1</v>
      </c>
      <c r="P147" s="1" t="s">
        <v>1945</v>
      </c>
      <c r="Q147" s="1">
        <v>2008</v>
      </c>
      <c r="R147" s="1" t="s">
        <v>1745</v>
      </c>
      <c r="S147" s="1" t="s">
        <v>27</v>
      </c>
      <c r="T147" s="38">
        <v>1</v>
      </c>
      <c r="V147" s="1">
        <v>17</v>
      </c>
      <c r="Y147" s="1">
        <v>3.2189999999999999</v>
      </c>
      <c r="Z147" s="1">
        <v>1.6579999999999999</v>
      </c>
      <c r="AA147" s="1">
        <v>0.98709999999999998</v>
      </c>
      <c r="AF147" s="1">
        <v>8.0079999999999991</v>
      </c>
      <c r="AG147" s="1">
        <v>1.7949999999999999</v>
      </c>
      <c r="AU147" s="1" t="s">
        <v>15</v>
      </c>
      <c r="AW147" s="1">
        <v>0.318</v>
      </c>
      <c r="AY147" s="1" t="s">
        <v>15</v>
      </c>
      <c r="BA147" s="1">
        <v>1.5249999999999999</v>
      </c>
      <c r="BG147" s="1">
        <v>1.3759999999999999</v>
      </c>
      <c r="BI147" s="1" t="s">
        <v>15</v>
      </c>
      <c r="BQ147" s="1" t="s">
        <v>15</v>
      </c>
      <c r="BZ147" s="1">
        <v>0.29799999999999999</v>
      </c>
      <c r="CI147" s="1">
        <v>1.1599999999999999</v>
      </c>
      <c r="CL147" s="1">
        <v>0.111</v>
      </c>
      <c r="CP147" s="1" t="s">
        <v>15</v>
      </c>
      <c r="DK147" s="1">
        <v>0.23</v>
      </c>
      <c r="DT147" s="1" t="s">
        <v>15</v>
      </c>
      <c r="ED147" s="1" t="s">
        <v>15</v>
      </c>
      <c r="EF147" s="1">
        <v>1.2989999999999999</v>
      </c>
      <c r="ET147" s="1">
        <v>1.149</v>
      </c>
      <c r="EX147" s="1">
        <v>1.5649999999999999</v>
      </c>
      <c r="FE147" s="1">
        <v>2.3290000000000002</v>
      </c>
      <c r="FJ147" s="1">
        <v>0.94799999999999995</v>
      </c>
      <c r="FM147" s="1">
        <v>2.2829999999999999</v>
      </c>
    </row>
    <row r="148" spans="1:169" x14ac:dyDescent="0.2">
      <c r="A148" s="1" t="s">
        <v>1973</v>
      </c>
      <c r="B148" s="1" t="s">
        <v>55</v>
      </c>
      <c r="C148" s="1" t="s">
        <v>236</v>
      </c>
      <c r="E148" s="1">
        <v>23</v>
      </c>
      <c r="F148" s="1" t="s">
        <v>1273</v>
      </c>
      <c r="H148" s="1" t="s">
        <v>1974</v>
      </c>
      <c r="I148" s="1" t="s">
        <v>11</v>
      </c>
      <c r="J148" s="1" t="s">
        <v>1275</v>
      </c>
      <c r="K148" s="1" t="s">
        <v>1276</v>
      </c>
      <c r="L148" s="1" t="s">
        <v>1275</v>
      </c>
      <c r="O148" s="1">
        <v>1</v>
      </c>
      <c r="P148" s="1" t="s">
        <v>1945</v>
      </c>
      <c r="Q148" s="1">
        <v>2008</v>
      </c>
      <c r="R148" s="1" t="s">
        <v>1745</v>
      </c>
      <c r="S148" s="1" t="s">
        <v>27</v>
      </c>
      <c r="T148" s="38">
        <v>1</v>
      </c>
      <c r="V148" s="1">
        <v>9.7899999999999991</v>
      </c>
      <c r="Y148" s="1">
        <v>3.391</v>
      </c>
      <c r="Z148" s="1">
        <v>0.94</v>
      </c>
      <c r="AA148" s="1">
        <v>0.46779999999999999</v>
      </c>
      <c r="AF148" s="1">
        <v>3.99</v>
      </c>
      <c r="AG148" s="1">
        <v>0.68899999999999995</v>
      </c>
      <c r="AU148" s="1" t="s">
        <v>15</v>
      </c>
      <c r="AW148" s="1">
        <v>0.16500000000000001</v>
      </c>
      <c r="AY148" s="1" t="s">
        <v>15</v>
      </c>
      <c r="BA148" s="1">
        <v>1.6120000000000001</v>
      </c>
      <c r="BG148" s="1">
        <v>1.615</v>
      </c>
      <c r="BI148" s="1" t="s">
        <v>15</v>
      </c>
      <c r="BQ148" s="1" t="s">
        <v>15</v>
      </c>
      <c r="BZ148" s="1">
        <v>0.255</v>
      </c>
      <c r="CI148" s="1">
        <v>0.63600000000000001</v>
      </c>
      <c r="CL148" s="1">
        <v>4.9000000000000002E-2</v>
      </c>
      <c r="CP148" s="1" t="s">
        <v>15</v>
      </c>
      <c r="DK148" s="1">
        <v>0.22700000000000001</v>
      </c>
      <c r="DT148" s="1" t="s">
        <v>15</v>
      </c>
      <c r="ED148" s="1" t="s">
        <v>15</v>
      </c>
      <c r="EF148" s="1">
        <v>0.47099999999999997</v>
      </c>
      <c r="ET148" s="1">
        <v>0.317</v>
      </c>
      <c r="EX148" s="1">
        <v>0.46200000000000002</v>
      </c>
      <c r="FE148" s="1">
        <v>0.90200000000000002</v>
      </c>
      <c r="FJ148" s="1">
        <v>0.47099999999999997</v>
      </c>
      <c r="FM148" s="1">
        <v>1.829</v>
      </c>
    </row>
    <row r="149" spans="1:169" x14ac:dyDescent="0.2">
      <c r="A149" s="1" t="s">
        <v>1975</v>
      </c>
      <c r="B149" s="1" t="s">
        <v>55</v>
      </c>
      <c r="C149" s="1" t="s">
        <v>1976</v>
      </c>
      <c r="D149" s="1" t="s">
        <v>2</v>
      </c>
      <c r="E149" s="1">
        <v>33</v>
      </c>
      <c r="F149" s="1" t="s">
        <v>1977</v>
      </c>
      <c r="H149" s="1" t="s">
        <v>1978</v>
      </c>
      <c r="I149" s="1" t="s">
        <v>7</v>
      </c>
      <c r="J149" s="1" t="s">
        <v>1979</v>
      </c>
      <c r="K149" s="1" t="s">
        <v>1980</v>
      </c>
      <c r="L149" s="1" t="s">
        <v>1981</v>
      </c>
      <c r="M149" s="1" t="s">
        <v>1982</v>
      </c>
      <c r="N149" s="1" t="s">
        <v>1983</v>
      </c>
      <c r="P149" s="1" t="s">
        <v>1984</v>
      </c>
      <c r="Q149" s="1">
        <v>2008</v>
      </c>
      <c r="R149" s="1" t="s">
        <v>1985</v>
      </c>
      <c r="S149" s="1" t="s">
        <v>27</v>
      </c>
      <c r="T149" s="38">
        <v>1</v>
      </c>
      <c r="U149" s="1">
        <v>72.89</v>
      </c>
      <c r="W149" s="1">
        <v>4.882511</v>
      </c>
      <c r="Y149" s="1">
        <v>0.75363497592039996</v>
      </c>
      <c r="Z149" s="1">
        <v>1.2954755792168</v>
      </c>
      <c r="AA149" s="1">
        <v>1.1150091242100999</v>
      </c>
      <c r="AD149" s="1">
        <v>0.90371179153513403</v>
      </c>
      <c r="AF149" s="1">
        <v>0.95836953612359999</v>
      </c>
      <c r="AG149" s="1">
        <v>0.1566395880865</v>
      </c>
      <c r="AW149" s="1">
        <v>0.17340664258589999</v>
      </c>
      <c r="AY149" s="1">
        <v>1.3237148289E-2</v>
      </c>
      <c r="BA149" s="1">
        <v>0.46815381115429999</v>
      </c>
      <c r="BD149" s="1">
        <v>1.8532007604600002E-2</v>
      </c>
      <c r="BG149" s="1">
        <v>8.0305366286599997E-2</v>
      </c>
      <c r="BV149" s="1">
        <v>5.7360975919000003E-3</v>
      </c>
      <c r="BZ149" s="1">
        <v>0.2263552357419</v>
      </c>
      <c r="CB149" s="1">
        <v>2.4268105196499998E-2</v>
      </c>
      <c r="CK149" s="1">
        <v>0.62744082889859998</v>
      </c>
      <c r="CV149" s="1">
        <v>0.41167531178790001</v>
      </c>
      <c r="DN149" s="1">
        <v>0.1204580494299</v>
      </c>
      <c r="DT149" s="1">
        <v>1.8973245880899998E-2</v>
      </c>
      <c r="EH149" s="1">
        <v>6.3979550063499993E-2</v>
      </c>
      <c r="EK149" s="1">
        <v>2.2061913815000001E-3</v>
      </c>
      <c r="EX149" s="1">
        <v>1.54433396705E-2</v>
      </c>
      <c r="FE149" s="1">
        <v>0.35387309759259999</v>
      </c>
      <c r="FJ149" s="1">
        <v>0.10722090114089999</v>
      </c>
      <c r="FM149" s="1">
        <v>0.43373722560290001</v>
      </c>
    </row>
    <row r="150" spans="1:169" x14ac:dyDescent="0.2">
      <c r="A150" s="1" t="s">
        <v>1986</v>
      </c>
      <c r="B150" s="1" t="s">
        <v>55</v>
      </c>
      <c r="C150" s="1" t="s">
        <v>1976</v>
      </c>
      <c r="D150" s="1" t="s">
        <v>2</v>
      </c>
      <c r="E150" s="1">
        <v>33</v>
      </c>
      <c r="F150" s="1" t="s">
        <v>1977</v>
      </c>
      <c r="H150" s="1" t="s">
        <v>1978</v>
      </c>
      <c r="I150" s="1" t="s">
        <v>7</v>
      </c>
      <c r="J150" s="1" t="s">
        <v>1979</v>
      </c>
      <c r="K150" s="1" t="s">
        <v>1980</v>
      </c>
      <c r="L150" s="1" t="s">
        <v>1981</v>
      </c>
      <c r="M150" s="1" t="s">
        <v>1982</v>
      </c>
      <c r="N150" s="1" t="s">
        <v>1987</v>
      </c>
      <c r="P150" s="1" t="s">
        <v>1984</v>
      </c>
      <c r="Q150" s="1">
        <v>2008</v>
      </c>
      <c r="R150" s="1" t="s">
        <v>1985</v>
      </c>
      <c r="S150" s="1" t="s">
        <v>27</v>
      </c>
      <c r="T150" s="38">
        <v>1</v>
      </c>
      <c r="U150" s="1">
        <v>74.63</v>
      </c>
      <c r="W150" s="1">
        <v>4.3002149999999997</v>
      </c>
      <c r="Y150" s="1">
        <v>0.67786642424400001</v>
      </c>
      <c r="Z150" s="1">
        <v>1.166920739452</v>
      </c>
      <c r="AA150" s="1">
        <v>0.95876312744100001</v>
      </c>
      <c r="AD150" s="1">
        <v>0.89974584875407404</v>
      </c>
      <c r="AF150" s="1">
        <v>0.82721370721099996</v>
      </c>
      <c r="AG150" s="1">
        <v>0.13154942022999999</v>
      </c>
      <c r="AW150" s="1">
        <v>0.15166874332399999</v>
      </c>
      <c r="AY150" s="1">
        <v>1.04465716065E-2</v>
      </c>
      <c r="BA150" s="1">
        <v>0.43411308675900001</v>
      </c>
      <c r="BD150" s="1">
        <v>1.547640238E-2</v>
      </c>
      <c r="BG150" s="1">
        <v>6.5387800055500003E-2</v>
      </c>
      <c r="BV150" s="1">
        <v>6.5774710115000003E-3</v>
      </c>
      <c r="BZ150" s="1">
        <v>0.18919901909549999</v>
      </c>
      <c r="CB150" s="1">
        <v>1.9345502975000001E-2</v>
      </c>
      <c r="CK150" s="1">
        <v>0.57843053895249996</v>
      </c>
      <c r="CV150" s="1">
        <v>0.37259438729849997</v>
      </c>
      <c r="DN150" s="1">
        <v>0.101370435589</v>
      </c>
      <c r="DT150" s="1">
        <v>1.58633124395E-2</v>
      </c>
      <c r="EH150" s="1">
        <v>5.8810329044E-2</v>
      </c>
      <c r="EK150" s="1">
        <v>1.1607301784999999E-3</v>
      </c>
      <c r="EX150" s="1">
        <v>1.3154942023000001E-2</v>
      </c>
      <c r="FE150" s="1">
        <v>0.30681967718350001</v>
      </c>
      <c r="FJ150" s="1">
        <v>8.55071231495E-2</v>
      </c>
      <c r="FM150" s="1">
        <v>0.376076577834</v>
      </c>
    </row>
    <row r="151" spans="1:169" x14ac:dyDescent="0.2">
      <c r="A151" s="1" t="s">
        <v>1988</v>
      </c>
      <c r="B151" s="1" t="s">
        <v>55</v>
      </c>
      <c r="C151" s="1" t="s">
        <v>1989</v>
      </c>
      <c r="E151" s="1">
        <v>36</v>
      </c>
      <c r="F151" s="1" t="s">
        <v>1990</v>
      </c>
      <c r="G151" s="1" t="s">
        <v>1991</v>
      </c>
      <c r="H151" s="1" t="s">
        <v>1992</v>
      </c>
      <c r="I151" s="1" t="s">
        <v>7</v>
      </c>
      <c r="J151" s="1" t="s">
        <v>1993</v>
      </c>
      <c r="K151" s="1" t="s">
        <v>1994</v>
      </c>
      <c r="L151" s="1" t="s">
        <v>1995</v>
      </c>
      <c r="P151" s="1" t="s">
        <v>1269</v>
      </c>
      <c r="Q151" s="1">
        <v>2001</v>
      </c>
      <c r="R151" s="1" t="s">
        <v>1996</v>
      </c>
      <c r="S151" s="1" t="s">
        <v>27</v>
      </c>
      <c r="T151" s="38">
        <v>1</v>
      </c>
      <c r="V151" s="1">
        <v>1.46</v>
      </c>
      <c r="Y151" s="1">
        <v>7.7905602000000004E-2</v>
      </c>
      <c r="Z151" s="1">
        <v>4.9742544E-2</v>
      </c>
      <c r="AB151" s="1">
        <v>0.39928144999999998</v>
      </c>
      <c r="AD151" s="1">
        <v>0.83505479452054798</v>
      </c>
      <c r="AF151" s="1">
        <v>0.52290630199999999</v>
      </c>
      <c r="AG151" s="1">
        <v>0.13532897999999999</v>
      </c>
      <c r="AW151" s="1">
        <v>1.4142488E-2</v>
      </c>
      <c r="BA151" s="1">
        <v>2.8284976E-2</v>
      </c>
      <c r="BD151" s="1">
        <v>7.071244E-3</v>
      </c>
      <c r="BG151" s="1">
        <v>1.0728784E-2</v>
      </c>
      <c r="BI151" s="1">
        <v>3.535622E-3</v>
      </c>
      <c r="BK151" s="1">
        <v>7.071244E-3</v>
      </c>
      <c r="BL151" s="1">
        <v>3.535622E-3</v>
      </c>
      <c r="BM151" s="1">
        <v>3.535622E-3</v>
      </c>
      <c r="CA151" s="1">
        <v>1.4142488E-2</v>
      </c>
      <c r="CQ151" s="1">
        <v>2.4993189999999998E-2</v>
      </c>
      <c r="CZ151" s="1">
        <v>7.071244E-3</v>
      </c>
      <c r="DD151" s="1">
        <v>3.535622E-3</v>
      </c>
      <c r="DJ151" s="1">
        <v>0.24993190000000001</v>
      </c>
      <c r="DN151" s="1">
        <v>0.11765087</v>
      </c>
      <c r="DR151" s="1">
        <v>0.106922086</v>
      </c>
      <c r="EA151" s="1">
        <v>5.7057624000000001E-2</v>
      </c>
      <c r="ED151" s="1">
        <v>7.071244E-3</v>
      </c>
      <c r="EE151" s="1">
        <v>1.0728784E-2</v>
      </c>
      <c r="EH151" s="1">
        <v>7.071244E-3</v>
      </c>
      <c r="EK151" s="1">
        <v>3.535622E-3</v>
      </c>
      <c r="EL151" s="1">
        <v>3.9257595999999999E-2</v>
      </c>
      <c r="EQ151" s="1">
        <v>7.071244E-3</v>
      </c>
      <c r="ER151" s="1">
        <v>2.8528812000000001E-2</v>
      </c>
      <c r="ET151" s="1">
        <v>3.535622E-3</v>
      </c>
      <c r="EU151" s="1">
        <v>3.535622E-3</v>
      </c>
      <c r="EX151" s="1">
        <v>3.535622E-3</v>
      </c>
      <c r="EY151" s="1">
        <v>3.535622E-3</v>
      </c>
      <c r="FE151" s="1">
        <v>7.1322029999999995E-2</v>
      </c>
      <c r="FG151" s="1">
        <v>3.535622E-3</v>
      </c>
      <c r="FI151" s="1">
        <v>3.535622E-3</v>
      </c>
      <c r="FJ151" s="1">
        <v>4.6328840000000003E-2</v>
      </c>
      <c r="FM151" s="1">
        <v>0.28406893999999999</v>
      </c>
    </row>
    <row r="152" spans="1:169" x14ac:dyDescent="0.2">
      <c r="A152" s="1" t="s">
        <v>1997</v>
      </c>
      <c r="B152" s="1" t="s">
        <v>55</v>
      </c>
      <c r="C152" s="1" t="s">
        <v>1989</v>
      </c>
      <c r="E152" s="1">
        <v>38</v>
      </c>
      <c r="F152" s="1" t="s">
        <v>1998</v>
      </c>
      <c r="G152" s="1" t="s">
        <v>1999</v>
      </c>
      <c r="H152" s="1" t="s">
        <v>2000</v>
      </c>
      <c r="I152" s="1" t="s">
        <v>7</v>
      </c>
      <c r="J152" s="1" t="s">
        <v>2001</v>
      </c>
      <c r="K152" s="1" t="s">
        <v>2002</v>
      </c>
      <c r="L152" s="1" t="s">
        <v>2001</v>
      </c>
      <c r="P152" s="1" t="s">
        <v>1269</v>
      </c>
      <c r="Q152" s="1">
        <v>2001</v>
      </c>
      <c r="R152" s="1" t="s">
        <v>1996</v>
      </c>
      <c r="S152" s="1" t="s">
        <v>27</v>
      </c>
      <c r="T152" s="38">
        <v>1</v>
      </c>
      <c r="V152" s="1">
        <v>1.95</v>
      </c>
      <c r="Y152" s="1">
        <v>6.0851505E-2</v>
      </c>
      <c r="Z152" s="1">
        <v>6.5042379999999997E-2</v>
      </c>
      <c r="AB152" s="1">
        <v>0.57901128999999996</v>
      </c>
      <c r="AD152" s="1">
        <v>0.85966666666666702</v>
      </c>
      <c r="AF152" s="1">
        <v>0.65260305500000004</v>
      </c>
      <c r="AG152" s="1">
        <v>0.30274880999999998</v>
      </c>
      <c r="AW152" s="1">
        <v>1.307553E-2</v>
      </c>
      <c r="BA152" s="1">
        <v>2.1624915000000001E-2</v>
      </c>
      <c r="BD152" s="1">
        <v>4.3585100000000003E-3</v>
      </c>
      <c r="BG152" s="1">
        <v>8.7170200000000007E-3</v>
      </c>
      <c r="BI152" s="1">
        <v>4.3585100000000003E-3</v>
      </c>
      <c r="BK152" s="1">
        <v>4.3585100000000003E-3</v>
      </c>
      <c r="BM152" s="1">
        <v>4.3585100000000003E-3</v>
      </c>
      <c r="CA152" s="1">
        <v>1.7434040000000001E-2</v>
      </c>
      <c r="CQ152" s="1">
        <v>3.4532809999999997E-2</v>
      </c>
      <c r="CZ152" s="1">
        <v>4.3585100000000003E-3</v>
      </c>
      <c r="DD152" s="1">
        <v>8.7170200000000007E-3</v>
      </c>
      <c r="DH152" s="1">
        <v>4.3585100000000003E-3</v>
      </c>
      <c r="DJ152" s="1">
        <v>0.38455468999999998</v>
      </c>
      <c r="DN152" s="1">
        <v>0.20786740000000001</v>
      </c>
      <c r="DR152" s="1">
        <v>0.15992379000000001</v>
      </c>
      <c r="DT152" s="1">
        <v>4.3585100000000003E-3</v>
      </c>
      <c r="EA152" s="1">
        <v>9.5049044999999999E-2</v>
      </c>
      <c r="ED152" s="1">
        <v>2.5983425000000001E-2</v>
      </c>
      <c r="EH152" s="1">
        <v>8.7170200000000007E-3</v>
      </c>
      <c r="EK152" s="1">
        <v>4.3585100000000003E-3</v>
      </c>
      <c r="EL152" s="1">
        <v>0.12103247</v>
      </c>
      <c r="ER152" s="1">
        <v>3.0174300000000001E-2</v>
      </c>
      <c r="ET152" s="1">
        <v>4.3585100000000003E-3</v>
      </c>
      <c r="EU152" s="1">
        <v>4.3585100000000003E-3</v>
      </c>
      <c r="EX152" s="1">
        <v>4.3585100000000003E-3</v>
      </c>
      <c r="EY152" s="1">
        <v>4.3585100000000003E-3</v>
      </c>
      <c r="FA152" s="1">
        <v>8.7170200000000007E-3</v>
      </c>
      <c r="FE152" s="1">
        <v>8.6332025000000007E-2</v>
      </c>
      <c r="FI152" s="1">
        <v>4.3249830000000003E-2</v>
      </c>
      <c r="FJ152" s="1">
        <v>3.889132E-2</v>
      </c>
      <c r="FM152" s="1">
        <v>0.29336125000000002</v>
      </c>
    </row>
    <row r="153" spans="1:169" x14ac:dyDescent="0.2">
      <c r="A153" s="1" t="s">
        <v>2003</v>
      </c>
      <c r="B153" s="1" t="s">
        <v>55</v>
      </c>
      <c r="C153" s="1" t="s">
        <v>1989</v>
      </c>
      <c r="E153" s="1">
        <v>33</v>
      </c>
      <c r="F153" s="1" t="s">
        <v>2004</v>
      </c>
      <c r="G153" s="1" t="s">
        <v>2005</v>
      </c>
      <c r="H153" s="1" t="s">
        <v>2006</v>
      </c>
      <c r="I153" s="1" t="s">
        <v>7</v>
      </c>
      <c r="J153" s="1" t="s">
        <v>2007</v>
      </c>
      <c r="K153" s="1" t="s">
        <v>2008</v>
      </c>
      <c r="L153" s="1" t="s">
        <v>2007</v>
      </c>
      <c r="P153" s="1" t="s">
        <v>1269</v>
      </c>
      <c r="Q153" s="1">
        <v>2001</v>
      </c>
      <c r="R153" s="1" t="s">
        <v>1996</v>
      </c>
      <c r="S153" s="1" t="s">
        <v>27</v>
      </c>
      <c r="T153" s="38">
        <v>1</v>
      </c>
      <c r="V153" s="1">
        <v>2.2400000000000002</v>
      </c>
      <c r="Y153" s="1">
        <v>0.158479288</v>
      </c>
      <c r="Z153" s="1">
        <v>3.8549015999999998E-2</v>
      </c>
      <c r="AB153" s="1">
        <v>0.77876800000000002</v>
      </c>
      <c r="AD153" s="1">
        <v>0.86916071428571395</v>
      </c>
      <c r="AF153" s="1">
        <v>0.57765116400000005</v>
      </c>
      <c r="AG153" s="1">
        <v>0.38510077599999998</v>
      </c>
      <c r="AW153" s="1">
        <v>4.7115464000000003E-2</v>
      </c>
      <c r="BA153" s="1">
        <v>5.9965136000000002E-2</v>
      </c>
      <c r="BD153" s="1">
        <v>8.5664480000000008E-3</v>
      </c>
      <c r="BG153" s="1">
        <v>2.141612E-2</v>
      </c>
      <c r="BI153" s="1">
        <v>4.2832240000000004E-3</v>
      </c>
      <c r="BK153" s="1">
        <v>4.2832240000000004E-3</v>
      </c>
      <c r="BL153" s="1">
        <v>4.2832240000000004E-3</v>
      </c>
      <c r="BM153" s="1">
        <v>8.5664480000000008E-3</v>
      </c>
      <c r="CA153" s="1">
        <v>8.5664480000000008E-3</v>
      </c>
      <c r="CQ153" s="1">
        <v>1.7132896000000002E-2</v>
      </c>
      <c r="CZ153" s="1">
        <v>4.2832240000000004E-3</v>
      </c>
      <c r="DD153" s="1">
        <v>8.5664480000000008E-3</v>
      </c>
      <c r="DN153" s="1">
        <v>0.35044560000000002</v>
      </c>
      <c r="DR153" s="1">
        <v>0.17113426800000001</v>
      </c>
      <c r="DT153" s="1">
        <v>4.2832240000000004E-3</v>
      </c>
      <c r="DZ153" s="1">
        <v>0.55623504400000001</v>
      </c>
      <c r="EA153" s="1">
        <v>0.158284596</v>
      </c>
      <c r="ED153" s="1">
        <v>1.2849671999999999E-2</v>
      </c>
      <c r="EE153" s="1">
        <v>4.2832240000000004E-3</v>
      </c>
      <c r="EH153" s="1">
        <v>8.5664480000000008E-3</v>
      </c>
      <c r="EK153" s="1">
        <v>4.2832240000000004E-3</v>
      </c>
      <c r="EL153" s="1">
        <v>6.8531584000000006E-2</v>
      </c>
      <c r="EQ153" s="1">
        <v>8.5664480000000008E-3</v>
      </c>
      <c r="ER153" s="1">
        <v>4.2832240000000001E-2</v>
      </c>
      <c r="ET153" s="1">
        <v>4.2832240000000004E-3</v>
      </c>
      <c r="EU153" s="1">
        <v>4.2832240000000004E-3</v>
      </c>
      <c r="EX153" s="1">
        <v>4.2832240000000004E-3</v>
      </c>
      <c r="EY153" s="1">
        <v>4.2832240000000004E-3</v>
      </c>
      <c r="FE153" s="1">
        <v>0.11545235600000001</v>
      </c>
      <c r="FI153" s="1">
        <v>8.5664480000000008E-3</v>
      </c>
      <c r="FJ153" s="1">
        <v>1.7132896000000002E-2</v>
      </c>
      <c r="FM153" s="1">
        <v>0.19255038799999999</v>
      </c>
    </row>
    <row r="154" spans="1:169" x14ac:dyDescent="0.2">
      <c r="A154" s="1" t="s">
        <v>2009</v>
      </c>
      <c r="B154" s="1" t="s">
        <v>55</v>
      </c>
      <c r="C154" s="1" t="s">
        <v>1989</v>
      </c>
      <c r="E154" s="1">
        <v>33</v>
      </c>
      <c r="F154" s="1" t="s">
        <v>2010</v>
      </c>
      <c r="G154" s="1" t="s">
        <v>2011</v>
      </c>
      <c r="H154" s="1" t="s">
        <v>2012</v>
      </c>
      <c r="I154" s="1" t="s">
        <v>7</v>
      </c>
      <c r="J154" s="1" t="s">
        <v>2013</v>
      </c>
      <c r="K154" s="1" t="s">
        <v>2014</v>
      </c>
      <c r="L154" s="1" t="s">
        <v>2013</v>
      </c>
      <c r="P154" s="1" t="s">
        <v>1269</v>
      </c>
      <c r="Q154" s="1">
        <v>2001</v>
      </c>
      <c r="R154" s="1" t="s">
        <v>1996</v>
      </c>
      <c r="S154" s="1" t="s">
        <v>27</v>
      </c>
      <c r="T154" s="38">
        <v>1</v>
      </c>
      <c r="V154" s="1">
        <v>2.79</v>
      </c>
      <c r="Y154" s="1">
        <v>0.24945109800000001</v>
      </c>
      <c r="Z154" s="1">
        <v>3.3702958999999998E-2</v>
      </c>
      <c r="AB154" s="1">
        <v>0.83666980700000004</v>
      </c>
      <c r="AD154" s="1">
        <v>0.88174551971326198</v>
      </c>
      <c r="AF154" s="1">
        <v>0.78722239999999999</v>
      </c>
      <c r="AG154" s="1">
        <v>0.44182857199999997</v>
      </c>
      <c r="AW154" s="1">
        <v>6.1009736000000002E-2</v>
      </c>
      <c r="BA154" s="1">
        <v>8.3150366000000003E-2</v>
      </c>
      <c r="BD154" s="1">
        <v>2.2140630000000001E-2</v>
      </c>
      <c r="BG154" s="1">
        <v>3.3210944999999999E-2</v>
      </c>
      <c r="BI154" s="1">
        <v>1.6728475999999999E-2</v>
      </c>
      <c r="BK154" s="1">
        <v>1.1070315000000001E-2</v>
      </c>
      <c r="BL154" s="1">
        <v>1.1070315000000001E-2</v>
      </c>
      <c r="BM154" s="1">
        <v>1.1070315000000001E-2</v>
      </c>
      <c r="CA154" s="1">
        <v>5.6581610000000001E-3</v>
      </c>
      <c r="CQ154" s="1">
        <v>1.6728475999999999E-2</v>
      </c>
      <c r="CZ154" s="1">
        <v>5.6581610000000001E-3</v>
      </c>
      <c r="DD154" s="1">
        <v>5.6581610000000001E-3</v>
      </c>
      <c r="DH154" s="1">
        <v>1.1070315000000001E-2</v>
      </c>
      <c r="DJ154" s="1">
        <v>0.45511295000000002</v>
      </c>
      <c r="DN154" s="1">
        <v>0.32472923999999997</v>
      </c>
      <c r="DR154" s="1">
        <v>0.25584728000000001</v>
      </c>
      <c r="DT154" s="1">
        <v>1.6728475999999999E-2</v>
      </c>
      <c r="EA154" s="1">
        <v>0.18278320100000001</v>
      </c>
      <c r="ED154" s="1">
        <v>1.6728475999999999E-2</v>
      </c>
      <c r="EE154" s="1">
        <v>1.1070315000000001E-2</v>
      </c>
      <c r="EH154" s="1">
        <v>1.6728475999999999E-2</v>
      </c>
      <c r="EK154" s="1">
        <v>1.1070315000000001E-2</v>
      </c>
      <c r="EL154" s="1">
        <v>9.9632835000000003E-2</v>
      </c>
      <c r="EQ154" s="1">
        <v>5.6581610000000001E-3</v>
      </c>
      <c r="ER154" s="1">
        <v>0.116361311</v>
      </c>
      <c r="ET154" s="1">
        <v>1.1070315000000001E-2</v>
      </c>
      <c r="EX154" s="1">
        <v>1.6728475999999999E-2</v>
      </c>
      <c r="EY154" s="1">
        <v>5.6581610000000001E-3</v>
      </c>
      <c r="FE154" s="1">
        <v>0.16630073200000001</v>
      </c>
      <c r="FG154" s="1">
        <v>5.6581610000000001E-3</v>
      </c>
      <c r="FI154" s="1">
        <v>4.4281260000000003E-2</v>
      </c>
      <c r="FJ154" s="1">
        <v>3.8869106E-2</v>
      </c>
      <c r="FM154" s="1">
        <v>0.25584728000000001</v>
      </c>
    </row>
    <row r="155" spans="1:169" x14ac:dyDescent="0.2">
      <c r="A155" s="1" t="s">
        <v>2015</v>
      </c>
      <c r="B155" s="1" t="s">
        <v>55</v>
      </c>
      <c r="C155" s="1" t="s">
        <v>1989</v>
      </c>
      <c r="E155" s="1">
        <v>37</v>
      </c>
      <c r="F155" s="1" t="s">
        <v>2016</v>
      </c>
      <c r="G155" s="1" t="s">
        <v>2017</v>
      </c>
      <c r="H155" s="1" t="s">
        <v>2018</v>
      </c>
      <c r="I155" s="1" t="s">
        <v>7</v>
      </c>
      <c r="J155" s="1" t="s">
        <v>2019</v>
      </c>
      <c r="K155" s="1" t="s">
        <v>2020</v>
      </c>
      <c r="L155" s="1" t="s">
        <v>2019</v>
      </c>
      <c r="P155" s="1" t="s">
        <v>1269</v>
      </c>
      <c r="Q155" s="1">
        <v>2001</v>
      </c>
      <c r="R155" s="1" t="s">
        <v>1996</v>
      </c>
      <c r="S155" s="1" t="s">
        <v>27</v>
      </c>
      <c r="T155" s="38">
        <v>1</v>
      </c>
      <c r="V155" s="1">
        <v>2.79</v>
      </c>
      <c r="Y155" s="1">
        <v>0.28020197299999999</v>
      </c>
      <c r="Z155" s="1">
        <v>8.9546548000000004E-2</v>
      </c>
      <c r="AB155" s="1">
        <v>0.75204339899999995</v>
      </c>
      <c r="AD155" s="1">
        <v>0.88174551971326198</v>
      </c>
      <c r="AF155" s="1">
        <v>0.74982933600000001</v>
      </c>
      <c r="AG155" s="1">
        <v>0.33161743599999999</v>
      </c>
      <c r="AW155" s="1">
        <v>5.0923449000000003E-2</v>
      </c>
      <c r="BA155" s="1">
        <v>0.11463926200000001</v>
      </c>
      <c r="BD155" s="1">
        <v>1.2792364000000001E-2</v>
      </c>
      <c r="BG155" s="1">
        <v>3.8377092000000002E-2</v>
      </c>
      <c r="BI155" s="1">
        <v>1.2792364000000001E-2</v>
      </c>
      <c r="BK155" s="1">
        <v>1.2792364000000001E-2</v>
      </c>
      <c r="BL155" s="1">
        <v>1.2792364000000001E-2</v>
      </c>
      <c r="BM155" s="1">
        <v>2.5584728000000001E-2</v>
      </c>
      <c r="CA155" s="1">
        <v>1.2792364000000001E-2</v>
      </c>
      <c r="CQ155" s="1">
        <v>3.8377092000000002E-2</v>
      </c>
      <c r="CZ155" s="1">
        <v>2.5584728000000001E-2</v>
      </c>
      <c r="DD155" s="1">
        <v>1.2792364000000001E-2</v>
      </c>
      <c r="DJ155" s="1">
        <v>0.44527266999999998</v>
      </c>
      <c r="DN155" s="1">
        <v>0.24207088800000001</v>
      </c>
      <c r="DR155" s="1">
        <v>0.229524531</v>
      </c>
      <c r="DT155" s="1">
        <v>6.3961820000000003E-3</v>
      </c>
      <c r="DZ155" s="1">
        <v>1.2792364000000001E-2</v>
      </c>
      <c r="EA155" s="1">
        <v>0.102092905</v>
      </c>
      <c r="ED155" s="1">
        <v>2.5584728000000001E-2</v>
      </c>
      <c r="EH155" s="1">
        <v>0.111195164</v>
      </c>
      <c r="EK155" s="1">
        <v>1.9188546000000001E-2</v>
      </c>
      <c r="EL155" s="1">
        <v>3.8377092000000002E-2</v>
      </c>
      <c r="EQ155" s="1">
        <v>3.8377092000000002E-2</v>
      </c>
      <c r="ER155" s="1">
        <v>6.3715812999999996E-2</v>
      </c>
      <c r="ET155" s="1">
        <v>1.2792364000000001E-2</v>
      </c>
      <c r="EX155" s="1">
        <v>1.2792364000000001E-2</v>
      </c>
      <c r="EY155" s="1">
        <v>1.2792364000000001E-2</v>
      </c>
      <c r="FA155" s="1">
        <v>6.3961820000000003E-3</v>
      </c>
      <c r="FE155" s="1">
        <v>0.12743162599999999</v>
      </c>
      <c r="FI155" s="1">
        <v>1.9188546000000001E-2</v>
      </c>
      <c r="FJ155" s="1">
        <v>7.6508176999999997E-2</v>
      </c>
      <c r="FM155" s="1">
        <v>0.23026255200000001</v>
      </c>
    </row>
    <row r="156" spans="1:169" x14ac:dyDescent="0.2">
      <c r="A156" s="1" t="s">
        <v>2021</v>
      </c>
      <c r="B156" s="1" t="s">
        <v>55</v>
      </c>
      <c r="C156" s="1" t="s">
        <v>1989</v>
      </c>
      <c r="E156" s="1">
        <v>37</v>
      </c>
      <c r="F156" s="1" t="s">
        <v>2022</v>
      </c>
      <c r="G156" s="1" t="s">
        <v>2023</v>
      </c>
      <c r="H156" s="1" t="s">
        <v>2024</v>
      </c>
      <c r="I156" s="1" t="s">
        <v>7</v>
      </c>
      <c r="J156" s="1" t="s">
        <v>2025</v>
      </c>
      <c r="K156" s="1" t="s">
        <v>2026</v>
      </c>
      <c r="L156" s="1" t="s">
        <v>2025</v>
      </c>
      <c r="P156" s="1" t="s">
        <v>1269</v>
      </c>
      <c r="Q156" s="1">
        <v>2001</v>
      </c>
      <c r="R156" s="1" t="s">
        <v>1996</v>
      </c>
      <c r="S156" s="1" t="s">
        <v>27</v>
      </c>
      <c r="T156" s="38">
        <v>1</v>
      </c>
      <c r="V156" s="1">
        <v>2.91</v>
      </c>
      <c r="Y156" s="1">
        <v>0.23585515100000001</v>
      </c>
      <c r="Z156" s="1">
        <v>9.3621891999999998E-2</v>
      </c>
      <c r="AB156" s="1">
        <v>0.93441849899999996</v>
      </c>
      <c r="AD156" s="1">
        <v>0.88385910652920996</v>
      </c>
      <c r="AF156" s="1">
        <v>0.81610511900000005</v>
      </c>
      <c r="AG156" s="1">
        <v>0.34619523800000002</v>
      </c>
      <c r="AW156" s="1">
        <v>4.1924088999999998E-2</v>
      </c>
      <c r="BA156" s="1">
        <v>0.120628207</v>
      </c>
      <c r="BD156" s="1">
        <v>1.5689383000000001E-2</v>
      </c>
      <c r="BG156" s="1">
        <v>3.6780028999999999E-2</v>
      </c>
      <c r="BI156" s="1">
        <v>5.1440599999999998E-3</v>
      </c>
      <c r="BK156" s="1">
        <v>1.5689383000000001E-2</v>
      </c>
      <c r="CA156" s="1">
        <v>3.1635969E-2</v>
      </c>
      <c r="CQ156" s="1">
        <v>3.1635969E-2</v>
      </c>
      <c r="CZ156" s="1">
        <v>5.1440599999999998E-3</v>
      </c>
      <c r="DD156" s="1">
        <v>1.5689383000000001E-2</v>
      </c>
      <c r="DH156" s="1">
        <v>5.1440599999999998E-3</v>
      </c>
      <c r="DJ156" s="1">
        <v>0.64043547000000001</v>
      </c>
      <c r="DN156" s="1">
        <v>0.30864360000000002</v>
      </c>
      <c r="DR156" s="1">
        <v>0.23096829399999999</v>
      </c>
      <c r="EA156" s="1">
        <v>0.183642942</v>
      </c>
      <c r="ED156" s="1">
        <v>2.1090646000000001E-2</v>
      </c>
      <c r="EH156" s="1">
        <v>1.5689383000000001E-2</v>
      </c>
      <c r="EK156" s="1">
        <v>5.1440599999999998E-3</v>
      </c>
      <c r="EL156" s="1">
        <v>1.5689383000000001E-2</v>
      </c>
      <c r="ER156" s="1">
        <v>6.3014735000000002E-2</v>
      </c>
      <c r="ET156" s="1">
        <v>1.5689383000000001E-2</v>
      </c>
      <c r="EX156" s="1">
        <v>1.543218E-2</v>
      </c>
      <c r="EY156" s="1">
        <v>1.5689383000000001E-2</v>
      </c>
      <c r="FE156" s="1">
        <v>2.1090646000000001E-2</v>
      </c>
      <c r="FI156" s="1">
        <v>5.1440599999999998E-3</v>
      </c>
      <c r="FJ156" s="1">
        <v>6.3271938E-2</v>
      </c>
      <c r="FM156" s="1">
        <v>0.48611367</v>
      </c>
    </row>
    <row r="157" spans="1:169" x14ac:dyDescent="0.2">
      <c r="A157" s="1" t="s">
        <v>2027</v>
      </c>
      <c r="B157" s="1" t="s">
        <v>55</v>
      </c>
      <c r="C157" s="1" t="s">
        <v>1989</v>
      </c>
      <c r="E157" s="1">
        <v>35</v>
      </c>
      <c r="F157" s="1" t="s">
        <v>2028</v>
      </c>
      <c r="G157" s="1" t="s">
        <v>2029</v>
      </c>
      <c r="H157" s="1" t="s">
        <v>2030</v>
      </c>
      <c r="I157" s="1" t="s">
        <v>7</v>
      </c>
      <c r="J157" s="1" t="s">
        <v>2031</v>
      </c>
      <c r="K157" s="1" t="s">
        <v>2032</v>
      </c>
      <c r="L157" s="1" t="s">
        <v>2033</v>
      </c>
      <c r="P157" s="1" t="s">
        <v>1269</v>
      </c>
      <c r="Q157" s="1">
        <v>2001</v>
      </c>
      <c r="R157" s="1" t="s">
        <v>1996</v>
      </c>
      <c r="S157" s="1" t="s">
        <v>27</v>
      </c>
      <c r="T157" s="38">
        <v>1</v>
      </c>
      <c r="V157" s="1">
        <v>3.06</v>
      </c>
      <c r="Y157" s="1">
        <v>0.26794362399999999</v>
      </c>
      <c r="Z157" s="1">
        <v>0.247332576</v>
      </c>
      <c r="AB157" s="1">
        <v>0.94973539600000001</v>
      </c>
      <c r="AD157" s="1">
        <v>0.88626797385620903</v>
      </c>
      <c r="AF157" s="1">
        <v>0.83691702800000001</v>
      </c>
      <c r="AG157" s="1">
        <v>0.29858899799999999</v>
      </c>
      <c r="AW157" s="1">
        <v>4.1222096E-2</v>
      </c>
      <c r="BA157" s="1">
        <v>0.11851352599999999</v>
      </c>
      <c r="BD157" s="1">
        <v>2.0611048E-2</v>
      </c>
      <c r="BG157" s="1">
        <v>3.6069334000000002E-2</v>
      </c>
      <c r="BI157" s="1">
        <v>2.0611048E-2</v>
      </c>
      <c r="BK157" s="1">
        <v>2.0611048E-2</v>
      </c>
      <c r="BL157" s="1">
        <v>1.0305524E-2</v>
      </c>
      <c r="CA157" s="1">
        <v>7.7291429999999994E-2</v>
      </c>
      <c r="CQ157" s="1">
        <v>0.10305524000000001</v>
      </c>
      <c r="CZ157" s="1">
        <v>2.5763810000000002E-2</v>
      </c>
      <c r="DD157" s="1">
        <v>4.1222096E-2</v>
      </c>
      <c r="DJ157" s="1">
        <v>0.63460331999999997</v>
      </c>
      <c r="DN157" s="1">
        <v>0.23702705199999999</v>
      </c>
      <c r="DR157" s="1">
        <v>0.16543078</v>
      </c>
      <c r="DZ157" s="1">
        <v>1.0305524E-2</v>
      </c>
      <c r="EA157" s="1">
        <v>0.112818368</v>
      </c>
      <c r="ED157" s="1">
        <v>3.5798136000000001E-2</v>
      </c>
      <c r="EE157" s="1">
        <v>5.1527620000000003E-2</v>
      </c>
      <c r="EH157" s="1">
        <v>3.5798136000000001E-2</v>
      </c>
      <c r="EK157" s="1">
        <v>5.152762E-3</v>
      </c>
      <c r="EL157" s="1">
        <v>5.1256422000000003E-2</v>
      </c>
      <c r="EQ157" s="1">
        <v>5.152762E-3</v>
      </c>
      <c r="ER157" s="1">
        <v>7.7020231999999994E-2</v>
      </c>
      <c r="ET157" s="1">
        <v>5.152762E-3</v>
      </c>
      <c r="EU157" s="1">
        <v>1.0305524E-2</v>
      </c>
      <c r="EX157" s="1">
        <v>5.152762E-3</v>
      </c>
      <c r="EY157" s="1">
        <v>5.152762E-3</v>
      </c>
      <c r="FA157" s="1">
        <v>5.152762E-3</v>
      </c>
      <c r="FE157" s="1">
        <v>0.11797112999999999</v>
      </c>
      <c r="FG157" s="1">
        <v>1.0305524E-2</v>
      </c>
      <c r="FI157" s="1">
        <v>1.0305524E-2</v>
      </c>
      <c r="FJ157" s="1">
        <v>2.4136622E-2</v>
      </c>
      <c r="FM157" s="1">
        <v>0.46917254000000003</v>
      </c>
    </row>
    <row r="158" spans="1:169" x14ac:dyDescent="0.2">
      <c r="A158" s="1" t="s">
        <v>2034</v>
      </c>
      <c r="B158" s="1" t="s">
        <v>55</v>
      </c>
      <c r="C158" s="1" t="s">
        <v>1989</v>
      </c>
      <c r="E158" s="1">
        <v>37</v>
      </c>
      <c r="F158" s="1" t="s">
        <v>2035</v>
      </c>
      <c r="G158" s="1" t="s">
        <v>2036</v>
      </c>
      <c r="H158" s="1" t="s">
        <v>2037</v>
      </c>
      <c r="I158" s="1" t="s">
        <v>7</v>
      </c>
      <c r="J158" s="1" t="s">
        <v>2038</v>
      </c>
      <c r="K158" s="1" t="s">
        <v>2039</v>
      </c>
      <c r="L158" s="1" t="s">
        <v>2040</v>
      </c>
      <c r="P158" s="1" t="s">
        <v>1269</v>
      </c>
      <c r="Q158" s="1">
        <v>2001</v>
      </c>
      <c r="R158" s="1" t="s">
        <v>1996</v>
      </c>
      <c r="S158" s="1" t="s">
        <v>27</v>
      </c>
      <c r="T158" s="38">
        <v>1</v>
      </c>
      <c r="V158" s="1">
        <v>3.08</v>
      </c>
      <c r="Y158" s="1">
        <v>0.25804547999999999</v>
      </c>
      <c r="Z158" s="1">
        <v>9.8303039999999994E-2</v>
      </c>
      <c r="AB158" s="1">
        <v>0.75693340799999997</v>
      </c>
      <c r="AD158" s="1">
        <v>0.88657142857142901</v>
      </c>
      <c r="AF158" s="1">
        <v>1.307703496</v>
      </c>
      <c r="AG158" s="1">
        <v>0.30747006399999999</v>
      </c>
      <c r="AW158" s="1">
        <v>3.6863640000000003E-2</v>
      </c>
      <c r="BA158" s="1">
        <v>8.6015159999999993E-2</v>
      </c>
      <c r="BD158" s="1">
        <v>1.2287879999999999E-2</v>
      </c>
      <c r="BG158" s="1">
        <v>4.9151519999999997E-2</v>
      </c>
      <c r="BI158" s="1">
        <v>1.2287879999999999E-2</v>
      </c>
      <c r="BK158" s="1">
        <v>2.4575759999999999E-2</v>
      </c>
      <c r="BL158" s="1">
        <v>2.4575759999999999E-2</v>
      </c>
      <c r="BM158" s="1">
        <v>1.2287879999999999E-2</v>
      </c>
      <c r="CA158" s="1">
        <v>2.4575759999999999E-2</v>
      </c>
      <c r="CQ158" s="1">
        <v>3.6863640000000003E-2</v>
      </c>
      <c r="CZ158" s="1">
        <v>2.4575759999999999E-2</v>
      </c>
      <c r="DD158" s="1">
        <v>1.2287879999999999E-2</v>
      </c>
      <c r="DJ158" s="1">
        <v>0.40686536000000001</v>
      </c>
      <c r="DN158" s="1">
        <v>0.20916702400000001</v>
      </c>
      <c r="DR158" s="1">
        <v>0.265145144</v>
      </c>
      <c r="DT158" s="1">
        <v>3.6863640000000003E-2</v>
      </c>
      <c r="EA158" s="1">
        <v>9.8303039999999994E-2</v>
      </c>
      <c r="ED158" s="1">
        <v>2.4575759999999999E-2</v>
      </c>
      <c r="EE158" s="1">
        <v>2.4575759999999999E-2</v>
      </c>
      <c r="EH158" s="1">
        <v>2.4575759999999999E-2</v>
      </c>
      <c r="EK158" s="1">
        <v>1.2287879999999999E-2</v>
      </c>
      <c r="EL158" s="1">
        <v>6.8265999999999993E-2</v>
      </c>
      <c r="EQ158" s="1">
        <v>3.6863640000000003E-2</v>
      </c>
      <c r="ER158" s="1">
        <v>4.9151519999999997E-2</v>
      </c>
      <c r="ET158" s="1">
        <v>1.2287879999999999E-2</v>
      </c>
      <c r="EU158" s="1">
        <v>1.2287879999999999E-2</v>
      </c>
      <c r="EX158" s="1">
        <v>1.2287879999999999E-2</v>
      </c>
      <c r="FE158" s="1">
        <v>0.157284864</v>
      </c>
      <c r="FI158" s="1">
        <v>1.2287879999999999E-2</v>
      </c>
      <c r="FJ158" s="1">
        <v>7.3727280000000006E-2</v>
      </c>
      <c r="FM158" s="1">
        <v>0.78096304000000005</v>
      </c>
    </row>
    <row r="159" spans="1:169" x14ac:dyDescent="0.2">
      <c r="A159" s="1" t="s">
        <v>2041</v>
      </c>
      <c r="B159" s="1" t="s">
        <v>55</v>
      </c>
      <c r="C159" s="1" t="s">
        <v>1989</v>
      </c>
      <c r="E159" s="1">
        <v>37</v>
      </c>
      <c r="F159" s="1" t="s">
        <v>2042</v>
      </c>
      <c r="G159" s="1" t="s">
        <v>2043</v>
      </c>
      <c r="H159" s="1" t="s">
        <v>2044</v>
      </c>
      <c r="I159" s="1" t="s">
        <v>7</v>
      </c>
      <c r="J159" s="1" t="s">
        <v>2045</v>
      </c>
      <c r="K159" s="1" t="s">
        <v>2046</v>
      </c>
      <c r="L159" s="1" t="s">
        <v>2045</v>
      </c>
      <c r="P159" s="1" t="s">
        <v>1269</v>
      </c>
      <c r="Q159" s="1">
        <v>2001</v>
      </c>
      <c r="R159" s="1" t="s">
        <v>1996</v>
      </c>
      <c r="S159" s="1" t="s">
        <v>27</v>
      </c>
      <c r="T159" s="38">
        <v>1</v>
      </c>
      <c r="V159" s="1">
        <v>4.54</v>
      </c>
      <c r="Y159" s="1">
        <v>0.315556422</v>
      </c>
      <c r="Z159" s="1">
        <v>0.13301664999999999</v>
      </c>
      <c r="AB159" s="1">
        <v>1.3661833160000001</v>
      </c>
      <c r="AD159" s="1">
        <v>0.90150220264317205</v>
      </c>
      <c r="AF159" s="1">
        <v>1.3661833160000001</v>
      </c>
      <c r="AG159" s="1">
        <v>0.81979184599999999</v>
      </c>
      <c r="AW159" s="1">
        <v>4.2565327999999999E-2</v>
      </c>
      <c r="BA159" s="1">
        <v>0.133425932</v>
      </c>
      <c r="BD159" s="1">
        <v>4.0109635999999997E-2</v>
      </c>
      <c r="BG159" s="1">
        <v>4.0109635999999997E-2</v>
      </c>
      <c r="BI159" s="1">
        <v>3.3151842000000001E-2</v>
      </c>
      <c r="BK159" s="1">
        <v>6.5485120000000003E-3</v>
      </c>
      <c r="BL159" s="1">
        <v>6.5485120000000003E-3</v>
      </c>
      <c r="BM159" s="1">
        <v>1.3097024000000001E-2</v>
      </c>
      <c r="CA159" s="1">
        <v>6.5485120000000003E-3</v>
      </c>
      <c r="CQ159" s="1">
        <v>7.3261478000000005E-2</v>
      </c>
      <c r="CZ159" s="1">
        <v>4.0109635999999997E-2</v>
      </c>
      <c r="DD159" s="1">
        <v>1.3097024000000001E-2</v>
      </c>
      <c r="DH159" s="1">
        <v>6.5485120000000003E-3</v>
      </c>
      <c r="DJ159" s="1">
        <v>0.97818397999999995</v>
      </c>
      <c r="DN159" s="1">
        <v>0.67531529999999995</v>
      </c>
      <c r="DR159" s="1">
        <v>0.32005852400000001</v>
      </c>
      <c r="DT159" s="1">
        <v>6.5485120000000003E-3</v>
      </c>
      <c r="DZ159" s="1">
        <v>6.5485120000000003E-3</v>
      </c>
      <c r="EA159" s="1">
        <v>0.25334555800000003</v>
      </c>
      <c r="ED159" s="1">
        <v>7.9809989999999997E-2</v>
      </c>
      <c r="EH159" s="1">
        <v>9.9864807999999999E-2</v>
      </c>
      <c r="EK159" s="1">
        <v>1.3506305999999999E-2</v>
      </c>
      <c r="EL159" s="1">
        <v>8.6767784000000001E-2</v>
      </c>
      <c r="EQ159" s="1">
        <v>6.5485120000000003E-3</v>
      </c>
      <c r="ER159" s="1">
        <v>0.139974444</v>
      </c>
      <c r="ET159" s="1">
        <v>4.0109635999999997E-2</v>
      </c>
      <c r="EX159" s="1">
        <v>1.3506305999999999E-2</v>
      </c>
      <c r="EY159" s="1">
        <v>6.5485120000000003E-3</v>
      </c>
      <c r="FA159" s="1">
        <v>6.5485120000000003E-3</v>
      </c>
      <c r="FE159" s="1">
        <v>0.19318110399999999</v>
      </c>
      <c r="FG159" s="1">
        <v>6.5485120000000003E-3</v>
      </c>
      <c r="FI159" s="1">
        <v>2.0054817999999999E-2</v>
      </c>
      <c r="FJ159" s="1">
        <v>7.9809989999999997E-2</v>
      </c>
      <c r="FM159" s="1">
        <v>0.59345890000000001</v>
      </c>
    </row>
    <row r="160" spans="1:169" x14ac:dyDescent="0.2">
      <c r="A160" s="1" t="s">
        <v>2047</v>
      </c>
      <c r="B160" s="1" t="s">
        <v>55</v>
      </c>
      <c r="C160" s="1" t="s">
        <v>1989</v>
      </c>
      <c r="E160" s="1">
        <v>37</v>
      </c>
      <c r="F160" s="1" t="s">
        <v>2048</v>
      </c>
      <c r="G160" s="1" t="s">
        <v>2049</v>
      </c>
      <c r="H160" s="1" t="s">
        <v>2050</v>
      </c>
      <c r="I160" s="1" t="s">
        <v>7</v>
      </c>
      <c r="J160" s="1" t="s">
        <v>2051</v>
      </c>
      <c r="K160" s="1" t="s">
        <v>2052</v>
      </c>
      <c r="L160" s="1" t="s">
        <v>2053</v>
      </c>
      <c r="P160" s="1" t="s">
        <v>1269</v>
      </c>
      <c r="Q160" s="1">
        <v>2001</v>
      </c>
      <c r="R160" s="1" t="s">
        <v>1996</v>
      </c>
      <c r="S160" s="1" t="s">
        <v>27</v>
      </c>
      <c r="T160" s="38">
        <v>1</v>
      </c>
      <c r="V160" s="1">
        <v>5.77</v>
      </c>
      <c r="Y160" s="1">
        <v>0.41346834900000001</v>
      </c>
      <c r="Z160" s="1">
        <v>0.29870337000000002</v>
      </c>
      <c r="AB160" s="1">
        <v>1.691080307</v>
      </c>
      <c r="AD160" s="1">
        <v>0.90821663778162898</v>
      </c>
      <c r="AF160" s="1">
        <v>2.161669125</v>
      </c>
      <c r="AG160" s="1">
        <v>0.62727707700000002</v>
      </c>
      <c r="AW160" s="1">
        <v>9.5375461999999994E-2</v>
      </c>
      <c r="BA160" s="1">
        <v>0.124721758</v>
      </c>
      <c r="BD160" s="1">
        <v>2.7774172999999999E-2</v>
      </c>
      <c r="BG160" s="1">
        <v>8.3322518999999998E-2</v>
      </c>
      <c r="BI160" s="1">
        <v>1.3625066E-2</v>
      </c>
      <c r="BK160" s="1">
        <v>1.3625066E-2</v>
      </c>
      <c r="BL160" s="1">
        <v>1.3625066E-2</v>
      </c>
      <c r="BM160" s="1">
        <v>4.1399238999999997E-2</v>
      </c>
      <c r="CA160" s="1">
        <v>0.122625594</v>
      </c>
      <c r="CQ160" s="1">
        <v>0.13467853699999999</v>
      </c>
      <c r="CZ160" s="1">
        <v>1.3625066E-2</v>
      </c>
      <c r="DD160" s="1">
        <v>2.7774172999999999E-2</v>
      </c>
      <c r="DJ160" s="1">
        <v>1.01139913</v>
      </c>
      <c r="DN160" s="1">
        <v>0.47582922799999999</v>
      </c>
      <c r="DR160" s="1">
        <v>0.52928140999999995</v>
      </c>
      <c r="DT160" s="1">
        <v>2.7250132E-2</v>
      </c>
      <c r="EA160" s="1">
        <v>0.22166934299999999</v>
      </c>
      <c r="ED160" s="1">
        <v>4.1399238999999997E-2</v>
      </c>
      <c r="EH160" s="1">
        <v>4.1399238999999997E-2</v>
      </c>
      <c r="EK160" s="1">
        <v>1.3625066E-2</v>
      </c>
      <c r="EL160" s="1">
        <v>0.124721758</v>
      </c>
      <c r="EQ160" s="1">
        <v>1.3625066E-2</v>
      </c>
      <c r="ER160" s="1">
        <v>0.13887086500000001</v>
      </c>
      <c r="ET160" s="1">
        <v>1.3625066E-2</v>
      </c>
      <c r="EU160" s="1">
        <v>1.3625066E-2</v>
      </c>
      <c r="EX160" s="1">
        <v>1.3625066E-2</v>
      </c>
      <c r="EY160" s="1">
        <v>1.3625066E-2</v>
      </c>
      <c r="FA160" s="1">
        <v>2.7774172999999999E-2</v>
      </c>
      <c r="FE160" s="1">
        <v>0.208044277</v>
      </c>
      <c r="FI160" s="1">
        <v>2.7774172999999999E-2</v>
      </c>
      <c r="FJ160" s="1">
        <v>9.6947585000000003E-2</v>
      </c>
      <c r="FM160" s="1">
        <v>1.4306319300000001</v>
      </c>
    </row>
    <row r="161" spans="1:174" x14ac:dyDescent="0.2">
      <c r="A161" s="1" t="s">
        <v>2054</v>
      </c>
      <c r="B161" s="1" t="s">
        <v>55</v>
      </c>
      <c r="C161" s="1" t="s">
        <v>2055</v>
      </c>
      <c r="D161" s="1" t="s">
        <v>2</v>
      </c>
      <c r="E161" s="1">
        <v>23</v>
      </c>
      <c r="F161" s="1" t="s">
        <v>1471</v>
      </c>
      <c r="H161" s="1" t="s">
        <v>2056</v>
      </c>
      <c r="I161" s="1" t="s">
        <v>7</v>
      </c>
      <c r="J161" s="1" t="s">
        <v>1473</v>
      </c>
      <c r="K161" s="1" t="s">
        <v>1474</v>
      </c>
      <c r="L161" s="1" t="s">
        <v>1473</v>
      </c>
      <c r="M161" s="1" t="s">
        <v>2057</v>
      </c>
      <c r="N161" s="1" t="s">
        <v>2058</v>
      </c>
      <c r="O161" s="1">
        <v>2</v>
      </c>
      <c r="P161" s="1" t="s">
        <v>2059</v>
      </c>
      <c r="Q161" s="1">
        <v>1999</v>
      </c>
      <c r="R161" s="1" t="s">
        <v>2060</v>
      </c>
      <c r="S161" s="1" t="s">
        <v>27</v>
      </c>
      <c r="T161" s="38">
        <v>1</v>
      </c>
      <c r="Y161" s="1">
        <v>2.0367999999999999</v>
      </c>
      <c r="AE161" s="1">
        <v>6.7</v>
      </c>
      <c r="AF161" s="1">
        <v>1.5343</v>
      </c>
      <c r="AG161" s="1">
        <v>1.5343</v>
      </c>
      <c r="AN161" s="1">
        <v>1.7084999999999999</v>
      </c>
      <c r="AW161" s="1">
        <v>0.13400000000000001</v>
      </c>
      <c r="BA161" s="1">
        <v>1.5544</v>
      </c>
      <c r="BG161" s="1">
        <v>0.30149999999999999</v>
      </c>
      <c r="BI161" s="1">
        <v>4.02E-2</v>
      </c>
      <c r="BK161" s="1">
        <v>1.34E-2</v>
      </c>
      <c r="BZ161" s="1">
        <v>0.26800000000000002</v>
      </c>
      <c r="CK161" s="1">
        <v>0.88439999999999996</v>
      </c>
      <c r="CM161" s="1">
        <v>0.13400000000000001</v>
      </c>
      <c r="CV161" s="1">
        <v>0.1206</v>
      </c>
      <c r="DE161" s="1">
        <v>2.01E-2</v>
      </c>
      <c r="DN161" s="1">
        <v>1.3533999999999999</v>
      </c>
      <c r="DT161" s="1">
        <v>0.1072</v>
      </c>
      <c r="EH161" s="1">
        <v>5.0250000000000003E-2</v>
      </c>
      <c r="EL161" s="1">
        <v>9.3799999999999994E-2</v>
      </c>
      <c r="ET161" s="1">
        <v>2.3449999999999999E-2</v>
      </c>
      <c r="FA161" s="1">
        <v>7.3700000000000002E-2</v>
      </c>
      <c r="FE161" s="1">
        <v>0.1608</v>
      </c>
      <c r="FJ161" s="1">
        <v>4.6899999999999997E-2</v>
      </c>
      <c r="FM161" s="1">
        <v>1.1456999999999999</v>
      </c>
      <c r="FR161" s="1">
        <v>0.21440000000000001</v>
      </c>
    </row>
    <row r="162" spans="1:174" x14ac:dyDescent="0.2">
      <c r="A162" s="1" t="s">
        <v>2061</v>
      </c>
      <c r="B162" s="1" t="s">
        <v>55</v>
      </c>
      <c r="C162" s="1" t="s">
        <v>2062</v>
      </c>
      <c r="D162" s="1" t="s">
        <v>2</v>
      </c>
      <c r="E162" s="1">
        <v>36</v>
      </c>
      <c r="F162" s="1" t="s">
        <v>2063</v>
      </c>
      <c r="H162" s="1" t="s">
        <v>2064</v>
      </c>
      <c r="I162" s="1" t="s">
        <v>7</v>
      </c>
      <c r="J162" s="1" t="s">
        <v>2065</v>
      </c>
      <c r="K162" s="1" t="s">
        <v>2066</v>
      </c>
      <c r="L162" s="1" t="s">
        <v>2065</v>
      </c>
      <c r="M162" s="1" t="s">
        <v>748</v>
      </c>
      <c r="N162" s="1" t="s">
        <v>2067</v>
      </c>
      <c r="O162" s="1">
        <v>3</v>
      </c>
      <c r="P162" s="1" t="s">
        <v>1269</v>
      </c>
      <c r="Q162" s="1">
        <v>2007</v>
      </c>
      <c r="R162" s="1" t="s">
        <v>2068</v>
      </c>
      <c r="S162" s="1" t="s">
        <v>27</v>
      </c>
      <c r="T162" s="38">
        <v>1</v>
      </c>
      <c r="U162" s="1">
        <v>55.3</v>
      </c>
      <c r="W162" s="1">
        <v>23</v>
      </c>
      <c r="Y162" s="1">
        <v>6.5866439999999997</v>
      </c>
      <c r="Z162" s="1">
        <v>6.4161159999999997</v>
      </c>
      <c r="AA162" s="1">
        <v>7.2474400000000001</v>
      </c>
      <c r="AD162" s="1">
        <v>0.92678260869565199</v>
      </c>
      <c r="AW162" s="1">
        <v>0.59684800000000005</v>
      </c>
      <c r="AY162" s="1">
        <v>0.10657999999999999</v>
      </c>
      <c r="BA162" s="1">
        <v>3.2400319999999998</v>
      </c>
      <c r="BD162" s="1">
        <v>0.29842400000000002</v>
      </c>
      <c r="BG162" s="1">
        <v>1.470804</v>
      </c>
      <c r="BI162" s="1">
        <v>0.89527199999999996</v>
      </c>
      <c r="CA162" s="1">
        <v>1.0231680000000001</v>
      </c>
      <c r="CF162" s="1">
        <v>0.12789600000000001</v>
      </c>
      <c r="CQ162" s="1">
        <v>4.5189919999999999</v>
      </c>
      <c r="CZ162" s="1">
        <v>0.14921200000000001</v>
      </c>
      <c r="DD162" s="1">
        <v>0.63948000000000005</v>
      </c>
      <c r="DN162" s="1">
        <v>0.23447599999999999</v>
      </c>
      <c r="DT162" s="1">
        <v>4.2632000000000003E-2</v>
      </c>
      <c r="EH162" s="1">
        <v>0.19184399999999999</v>
      </c>
      <c r="EK162" s="1">
        <v>2.1316000000000002E-2</v>
      </c>
      <c r="EX162" s="1">
        <v>0.40500399999999998</v>
      </c>
      <c r="FA162" s="1">
        <v>0.21315999999999999</v>
      </c>
      <c r="FE162" s="1">
        <v>1.556068</v>
      </c>
      <c r="FJ162" s="1">
        <v>0.44763599999999998</v>
      </c>
      <c r="FM162" s="1">
        <v>4.1353039999999996</v>
      </c>
    </row>
    <row r="163" spans="1:174" x14ac:dyDescent="0.2">
      <c r="A163" s="1" t="s">
        <v>2069</v>
      </c>
      <c r="B163" s="1" t="s">
        <v>55</v>
      </c>
      <c r="C163" s="1" t="s">
        <v>2055</v>
      </c>
      <c r="D163" s="1" t="s">
        <v>2</v>
      </c>
      <c r="E163" s="1">
        <v>33</v>
      </c>
      <c r="F163" s="1" t="s">
        <v>1304</v>
      </c>
      <c r="H163" s="1" t="s">
        <v>1305</v>
      </c>
      <c r="I163" s="1" t="s">
        <v>7</v>
      </c>
      <c r="J163" s="1" t="s">
        <v>1306</v>
      </c>
      <c r="K163" s="1" t="s">
        <v>1307</v>
      </c>
      <c r="L163" s="1" t="s">
        <v>1306</v>
      </c>
      <c r="M163" s="1" t="s">
        <v>2070</v>
      </c>
      <c r="N163" s="1" t="s">
        <v>2071</v>
      </c>
      <c r="O163" s="1">
        <v>1</v>
      </c>
      <c r="P163" s="1" t="s">
        <v>1269</v>
      </c>
      <c r="Q163" s="1">
        <v>2010</v>
      </c>
      <c r="R163" s="1" t="s">
        <v>2072</v>
      </c>
      <c r="S163" s="1" t="s">
        <v>27</v>
      </c>
      <c r="T163" s="38">
        <v>1</v>
      </c>
      <c r="U163" s="1">
        <v>72.44</v>
      </c>
      <c r="V163" s="1">
        <v>4.05</v>
      </c>
      <c r="Y163" s="1">
        <v>1.235757435</v>
      </c>
      <c r="Z163" s="1">
        <v>1.2383023900000001</v>
      </c>
      <c r="AA163" s="1">
        <v>1.10669186</v>
      </c>
      <c r="AB163" s="1">
        <v>2.0359639999999999E-3</v>
      </c>
      <c r="AD163" s="1">
        <v>0.89769135802469102</v>
      </c>
      <c r="AF163" s="1">
        <v>0.90454972</v>
      </c>
      <c r="AG163" s="1">
        <v>0.18796310499999999</v>
      </c>
      <c r="AU163" s="1">
        <v>2.5449549999999998E-3</v>
      </c>
      <c r="AV163" s="1">
        <v>3.2720850000000001E-3</v>
      </c>
      <c r="AW163" s="1">
        <v>0.187235975</v>
      </c>
      <c r="AY163" s="1">
        <v>3.7083629999999999E-2</v>
      </c>
      <c r="BA163" s="1">
        <v>0.71076957500000004</v>
      </c>
      <c r="BD163" s="1">
        <v>6.0715354999999999E-2</v>
      </c>
      <c r="BG163" s="1">
        <v>0.16942129</v>
      </c>
      <c r="BI163" s="1">
        <v>1.7451120000000001E-2</v>
      </c>
      <c r="BJ163" s="1">
        <v>5.4534750000000002E-3</v>
      </c>
      <c r="BK163" s="1">
        <v>2.254103E-2</v>
      </c>
      <c r="BL163" s="1">
        <v>3.6356499999999998E-3</v>
      </c>
      <c r="BM163" s="1">
        <v>1.5633294999999998E-2</v>
      </c>
      <c r="BS163" s="1">
        <v>8.3619950000000005E-3</v>
      </c>
      <c r="BV163" s="1">
        <v>1.45426E-3</v>
      </c>
      <c r="CA163" s="1">
        <v>0.243952115</v>
      </c>
      <c r="CF163" s="1">
        <v>2.8721634999999999E-2</v>
      </c>
      <c r="CI163" s="1">
        <v>0.69986262499999996</v>
      </c>
      <c r="CJ163" s="1">
        <v>3.9992150000000004E-3</v>
      </c>
      <c r="CV163" s="1">
        <v>0.116704365</v>
      </c>
      <c r="DB163" s="1">
        <v>3.4538674999999998E-2</v>
      </c>
      <c r="DE163" s="1">
        <v>0.101434635</v>
      </c>
      <c r="DK163" s="1">
        <v>0.17014841999999999</v>
      </c>
      <c r="DM163" s="1">
        <v>1.308834E-2</v>
      </c>
      <c r="DU163" s="1">
        <v>1.4179035E-2</v>
      </c>
      <c r="DX163" s="1">
        <v>0</v>
      </c>
      <c r="ED163" s="1">
        <v>4.7263449999999999E-3</v>
      </c>
      <c r="EH163" s="1">
        <v>3.2720850000000003E-2</v>
      </c>
      <c r="EL163" s="1">
        <v>3.2720850000000001E-3</v>
      </c>
      <c r="FE163" s="1">
        <v>0.17851041500000001</v>
      </c>
      <c r="FM163" s="1">
        <v>0.69004637000000002</v>
      </c>
    </row>
    <row r="164" spans="1:174" x14ac:dyDescent="0.2">
      <c r="A164" s="1" t="s">
        <v>2073</v>
      </c>
      <c r="B164" s="1" t="s">
        <v>55</v>
      </c>
      <c r="C164" s="1" t="s">
        <v>2055</v>
      </c>
      <c r="D164" s="1" t="s">
        <v>2</v>
      </c>
      <c r="E164" s="1">
        <v>33</v>
      </c>
      <c r="F164" s="1" t="s">
        <v>2074</v>
      </c>
      <c r="H164" s="1" t="s">
        <v>2075</v>
      </c>
      <c r="I164" s="1" t="s">
        <v>7</v>
      </c>
      <c r="J164" s="1" t="s">
        <v>2076</v>
      </c>
      <c r="K164" s="1" t="s">
        <v>2077</v>
      </c>
      <c r="L164" s="1" t="s">
        <v>2076</v>
      </c>
      <c r="M164" s="1" t="s">
        <v>2070</v>
      </c>
      <c r="N164" s="1" t="s">
        <v>2078</v>
      </c>
      <c r="O164" s="1">
        <v>1</v>
      </c>
      <c r="P164" s="1" t="s">
        <v>1269</v>
      </c>
      <c r="Q164" s="1">
        <v>2010</v>
      </c>
      <c r="R164" s="1" t="s">
        <v>2072</v>
      </c>
      <c r="S164" s="1" t="s">
        <v>27</v>
      </c>
      <c r="T164" s="38">
        <v>1</v>
      </c>
      <c r="U164" s="1">
        <v>75.02</v>
      </c>
      <c r="V164" s="1">
        <v>3.12</v>
      </c>
      <c r="Y164" s="1">
        <v>1.1052464280000001</v>
      </c>
      <c r="Z164" s="1">
        <v>1.1171486559999999</v>
      </c>
      <c r="AA164" s="1">
        <v>0.54528812000000004</v>
      </c>
      <c r="AB164" s="1">
        <v>0</v>
      </c>
      <c r="AD164" s="1">
        <v>0.88716666666666699</v>
      </c>
      <c r="AF164" s="1">
        <v>0.30918113200000003</v>
      </c>
      <c r="AG164" s="1">
        <v>0.23112466000000001</v>
      </c>
      <c r="AU164" s="1">
        <v>3.3215520000000002E-3</v>
      </c>
      <c r="AV164" s="1">
        <v>1.6607760000000001E-3</v>
      </c>
      <c r="AW164" s="1">
        <v>0.14808586000000001</v>
      </c>
      <c r="AY164" s="1">
        <v>2.3250864E-2</v>
      </c>
      <c r="BA164" s="1">
        <v>0.68590048800000003</v>
      </c>
      <c r="BD164" s="1">
        <v>3.9858624000000002E-2</v>
      </c>
      <c r="BG164" s="1">
        <v>0.12455819999999999</v>
      </c>
      <c r="BI164" s="1">
        <v>3.1001152000000001E-2</v>
      </c>
      <c r="BJ164" s="1">
        <v>1.3286208000000001E-2</v>
      </c>
      <c r="BK164" s="1">
        <v>1.4946984E-2</v>
      </c>
      <c r="BL164" s="1">
        <v>9.1342679999999992E-3</v>
      </c>
      <c r="BM164" s="1">
        <v>9.9646560000000006E-3</v>
      </c>
      <c r="BS164" s="1">
        <v>5.2591239999999996E-3</v>
      </c>
      <c r="BV164" s="1">
        <v>4.9823280000000003E-3</v>
      </c>
      <c r="CA164" s="1">
        <v>0.22143679999999999</v>
      </c>
      <c r="CF164" s="1">
        <v>2.3527659999999999E-2</v>
      </c>
      <c r="CI164" s="1">
        <v>0.69254359200000004</v>
      </c>
      <c r="CJ164" s="1">
        <v>1.3839799999999999E-3</v>
      </c>
      <c r="CV164" s="1">
        <v>6.7538223999999994E-2</v>
      </c>
      <c r="DB164" s="1">
        <v>4.2626584000000002E-2</v>
      </c>
      <c r="DE164" s="1">
        <v>5.7573567999999999E-2</v>
      </c>
      <c r="DK164" s="1">
        <v>0.22143679999999999</v>
      </c>
      <c r="DM164" s="1">
        <v>5.8127159999999999E-3</v>
      </c>
      <c r="DU164" s="1">
        <v>5.5359199999999999E-4</v>
      </c>
      <c r="DX164" s="1">
        <v>4.7055320000000001E-3</v>
      </c>
      <c r="ED164" s="1">
        <v>3.8751440000000001E-3</v>
      </c>
      <c r="EH164" s="1">
        <v>3.9858624000000002E-2</v>
      </c>
      <c r="EL164" s="1">
        <v>2.214368E-3</v>
      </c>
      <c r="FE164" s="1">
        <v>8.8851516000000005E-2</v>
      </c>
      <c r="FM164" s="1">
        <v>0.17853342</v>
      </c>
    </row>
    <row r="165" spans="1:174" x14ac:dyDescent="0.2">
      <c r="A165" s="1" t="s">
        <v>2079</v>
      </c>
      <c r="B165" s="1" t="s">
        <v>55</v>
      </c>
      <c r="C165" s="1" t="s">
        <v>2055</v>
      </c>
      <c r="D165" s="1" t="s">
        <v>2</v>
      </c>
      <c r="E165" s="1">
        <v>33</v>
      </c>
      <c r="F165" s="1" t="s">
        <v>2080</v>
      </c>
      <c r="H165" s="1" t="s">
        <v>2081</v>
      </c>
      <c r="I165" s="1" t="s">
        <v>7</v>
      </c>
      <c r="J165" s="1" t="s">
        <v>2082</v>
      </c>
      <c r="K165" s="1" t="s">
        <v>2083</v>
      </c>
      <c r="L165" s="1" t="s">
        <v>2082</v>
      </c>
      <c r="M165" s="1" t="s">
        <v>2070</v>
      </c>
      <c r="N165" s="1" t="s">
        <v>2084</v>
      </c>
      <c r="O165" s="1">
        <v>1</v>
      </c>
      <c r="P165" s="1" t="s">
        <v>1269</v>
      </c>
      <c r="Q165" s="1">
        <v>2010</v>
      </c>
      <c r="R165" s="1" t="s">
        <v>2072</v>
      </c>
      <c r="S165" s="1" t="s">
        <v>27</v>
      </c>
      <c r="T165" s="38">
        <v>1</v>
      </c>
      <c r="U165" s="1">
        <v>74.48</v>
      </c>
      <c r="V165" s="1">
        <v>3.84</v>
      </c>
      <c r="Y165" s="1">
        <v>1.197710504</v>
      </c>
      <c r="Z165" s="1">
        <v>1.5045335280000001</v>
      </c>
      <c r="AA165" s="1">
        <v>0.73747596800000004</v>
      </c>
      <c r="AB165" s="1">
        <v>0</v>
      </c>
      <c r="AD165" s="1">
        <v>0.89576041666666695</v>
      </c>
      <c r="AF165" s="1">
        <v>0.45369906799999998</v>
      </c>
      <c r="AG165" s="1">
        <v>0.264514468</v>
      </c>
      <c r="AU165" s="1">
        <v>3.0957480000000002E-3</v>
      </c>
      <c r="AV165" s="1">
        <v>9.2872440000000001E-3</v>
      </c>
      <c r="AW165" s="1">
        <v>0.17989735600000001</v>
      </c>
      <c r="AY165" s="1">
        <v>2.7173788000000001E-2</v>
      </c>
      <c r="BA165" s="1">
        <v>0.73300433200000004</v>
      </c>
      <c r="BD165" s="1">
        <v>3.1301452E-2</v>
      </c>
      <c r="BG165" s="1">
        <v>0.10594337600000001</v>
      </c>
      <c r="BI165" s="1">
        <v>4.5060332000000002E-2</v>
      </c>
      <c r="BJ165" s="1">
        <v>9.6312159999999997E-3</v>
      </c>
      <c r="BK165" s="1">
        <v>1.8918460000000002E-2</v>
      </c>
      <c r="BL165" s="1">
        <v>1.4790796E-2</v>
      </c>
      <c r="BM165" s="1">
        <v>1.9950375999999999E-2</v>
      </c>
      <c r="BS165" s="1">
        <v>6.8794399999999997E-3</v>
      </c>
      <c r="BV165" s="1">
        <v>5.5035520000000001E-3</v>
      </c>
      <c r="CA165" s="1">
        <v>0.27380171199999997</v>
      </c>
      <c r="CF165" s="1">
        <v>3.1301452E-2</v>
      </c>
      <c r="CI165" s="1">
        <v>0.98204005999999999</v>
      </c>
      <c r="CJ165" s="1">
        <v>1.7198599999999999E-3</v>
      </c>
      <c r="CV165" s="1">
        <v>9.7344076000000002E-2</v>
      </c>
      <c r="DB165" s="1">
        <v>4.0932667999999998E-2</v>
      </c>
      <c r="DE165" s="1">
        <v>6.5354679999999998E-2</v>
      </c>
      <c r="DK165" s="1">
        <v>0.25006764399999998</v>
      </c>
      <c r="DM165" s="1">
        <v>6.8794399999999997E-3</v>
      </c>
      <c r="DU165" s="1">
        <v>1.547874E-2</v>
      </c>
      <c r="DX165" s="1">
        <v>0.130365388</v>
      </c>
      <c r="ED165" s="1">
        <v>7.5673839999999999E-3</v>
      </c>
      <c r="EH165" s="1">
        <v>3.4397199999999998E-3</v>
      </c>
      <c r="EL165" s="1">
        <v>3.4397199999999998E-3</v>
      </c>
      <c r="FE165" s="1">
        <v>4.4716360000000002E-3</v>
      </c>
      <c r="FM165" s="1">
        <v>0.31542232399999998</v>
      </c>
    </row>
    <row r="166" spans="1:174" x14ac:dyDescent="0.2">
      <c r="A166" s="1" t="s">
        <v>2085</v>
      </c>
      <c r="B166" s="1" t="s">
        <v>55</v>
      </c>
      <c r="C166" s="1" t="s">
        <v>2086</v>
      </c>
      <c r="D166" s="1" t="s">
        <v>2</v>
      </c>
      <c r="E166" s="1">
        <v>13</v>
      </c>
      <c r="F166" s="1" t="s">
        <v>2087</v>
      </c>
      <c r="H166" s="1" t="s">
        <v>2088</v>
      </c>
      <c r="I166" s="1" t="s">
        <v>7</v>
      </c>
      <c r="J166" s="1" t="s">
        <v>2089</v>
      </c>
      <c r="K166" s="1" t="s">
        <v>2090</v>
      </c>
      <c r="L166" s="1" t="s">
        <v>2091</v>
      </c>
      <c r="N166" s="1" t="s">
        <v>2092</v>
      </c>
      <c r="O166" s="1">
        <v>1</v>
      </c>
      <c r="P166" s="1" t="s">
        <v>1269</v>
      </c>
      <c r="Q166" s="1">
        <v>2010</v>
      </c>
      <c r="R166" s="1" t="s">
        <v>2093</v>
      </c>
      <c r="S166" s="1" t="s">
        <v>27</v>
      </c>
      <c r="T166" s="38">
        <v>1</v>
      </c>
      <c r="U166" s="1">
        <v>78.88</v>
      </c>
      <c r="W166" s="1">
        <v>0.54</v>
      </c>
      <c r="Y166" s="1">
        <v>0.16433852400000001</v>
      </c>
      <c r="Z166" s="1">
        <v>0.10270249200000001</v>
      </c>
      <c r="AA166" s="1">
        <v>9.6378984000000001E-2</v>
      </c>
      <c r="AD166" s="1">
        <v>0.67300000000000004</v>
      </c>
      <c r="AU166" s="1">
        <v>4.7244600000000001E-4</v>
      </c>
      <c r="AW166" s="1">
        <v>9.4852619999999995E-3</v>
      </c>
      <c r="BA166" s="1">
        <v>0.114768036</v>
      </c>
      <c r="BG166" s="1">
        <v>3.6996156000000002E-2</v>
      </c>
      <c r="BI166" s="1">
        <v>1.9624680000000002E-3</v>
      </c>
      <c r="BK166" s="1">
        <v>6.5415600000000003E-4</v>
      </c>
      <c r="BS166" s="1">
        <v>9.4489200000000002E-4</v>
      </c>
      <c r="CA166" s="1">
        <v>5.9237459999999997E-3</v>
      </c>
      <c r="CQ166" s="1">
        <v>8.4386124000000007E-2</v>
      </c>
      <c r="CZ166" s="1">
        <v>1.0975284E-2</v>
      </c>
      <c r="DD166" s="1">
        <v>4.7244600000000001E-4</v>
      </c>
      <c r="DR166" s="1">
        <v>4.2229403999999998E-2</v>
      </c>
      <c r="DV166" s="1">
        <v>3.5978579999999998E-3</v>
      </c>
      <c r="EI166" s="1">
        <v>1.2319938000000001E-2</v>
      </c>
      <c r="EM166" s="1">
        <v>1.3083120000000001E-3</v>
      </c>
      <c r="EZ166" s="1">
        <v>2.4349139999999998E-2</v>
      </c>
      <c r="FE166" s="1">
        <v>1.2574332000000001E-2</v>
      </c>
    </row>
    <row r="167" spans="1:174" x14ac:dyDescent="0.2">
      <c r="A167" s="1" t="s">
        <v>2094</v>
      </c>
      <c r="B167" s="1" t="s">
        <v>55</v>
      </c>
      <c r="C167" s="1" t="s">
        <v>2086</v>
      </c>
      <c r="D167" s="1" t="s">
        <v>2</v>
      </c>
      <c r="E167" s="1">
        <v>13</v>
      </c>
      <c r="F167" s="1" t="s">
        <v>2087</v>
      </c>
      <c r="H167" s="1" t="s">
        <v>2095</v>
      </c>
      <c r="I167" s="1" t="s">
        <v>7</v>
      </c>
      <c r="J167" s="1" t="s">
        <v>2089</v>
      </c>
      <c r="K167" s="1" t="s">
        <v>2090</v>
      </c>
      <c r="L167" s="1" t="s">
        <v>2091</v>
      </c>
      <c r="N167" s="1" t="s">
        <v>2092</v>
      </c>
      <c r="O167" s="1">
        <v>1</v>
      </c>
      <c r="P167" s="1" t="s">
        <v>1269</v>
      </c>
      <c r="Q167" s="1">
        <v>2010</v>
      </c>
      <c r="R167" s="1" t="s">
        <v>2093</v>
      </c>
      <c r="S167" s="1" t="s">
        <v>27</v>
      </c>
      <c r="T167" s="38">
        <v>1</v>
      </c>
      <c r="U167" s="1">
        <v>81.67</v>
      </c>
      <c r="W167" s="1">
        <v>4.21</v>
      </c>
      <c r="Y167" s="1">
        <v>1.7138163040000001</v>
      </c>
      <c r="Z167" s="1">
        <v>1.4004240999999999</v>
      </c>
      <c r="AA167" s="1">
        <v>0.670689596</v>
      </c>
      <c r="AD167" s="1">
        <v>0.89903325415677005</v>
      </c>
      <c r="AU167" s="1">
        <v>5.2989020000000003E-3</v>
      </c>
      <c r="AW167" s="1">
        <v>0.12679515499999999</v>
      </c>
      <c r="BA167" s="1">
        <v>1.172949807</v>
      </c>
      <c r="BG167" s="1">
        <v>0.383034916</v>
      </c>
      <c r="BI167" s="1">
        <v>1.8924650000000001E-2</v>
      </c>
      <c r="BK167" s="1">
        <v>6.812874E-3</v>
      </c>
      <c r="BS167" s="1">
        <v>8.3268460000000006E-3</v>
      </c>
      <c r="CA167" s="1">
        <v>7.3427642000000001E-2</v>
      </c>
      <c r="CQ167" s="1">
        <v>1.157431594</v>
      </c>
      <c r="CZ167" s="1">
        <v>0.153668158</v>
      </c>
      <c r="DD167" s="1">
        <v>7.5698600000000003E-3</v>
      </c>
      <c r="DR167" s="1">
        <v>0.436023936</v>
      </c>
      <c r="DV167" s="1">
        <v>3.3685877000000003E-2</v>
      </c>
      <c r="EI167" s="1">
        <v>7.5698600000000005E-2</v>
      </c>
      <c r="EM167" s="1">
        <v>8.7053389999999994E-3</v>
      </c>
      <c r="EZ167" s="1">
        <v>6.0180387000000002E-2</v>
      </c>
      <c r="FE167" s="1">
        <v>5.6395457000000003E-2</v>
      </c>
    </row>
    <row r="168" spans="1:174" x14ac:dyDescent="0.2">
      <c r="A168" s="1" t="s">
        <v>2096</v>
      </c>
      <c r="B168" s="1" t="s">
        <v>55</v>
      </c>
      <c r="C168" s="1" t="s">
        <v>2097</v>
      </c>
      <c r="D168" s="1" t="s">
        <v>2</v>
      </c>
      <c r="E168" s="1">
        <v>33</v>
      </c>
      <c r="F168" s="1" t="s">
        <v>2080</v>
      </c>
      <c r="H168" s="1" t="s">
        <v>2098</v>
      </c>
      <c r="I168" s="1" t="s">
        <v>7</v>
      </c>
      <c r="J168" s="1" t="s">
        <v>2082</v>
      </c>
      <c r="K168" s="1" t="s">
        <v>2083</v>
      </c>
      <c r="L168" s="1" t="s">
        <v>2082</v>
      </c>
      <c r="M168" s="1" t="s">
        <v>2099</v>
      </c>
      <c r="N168" s="1" t="s">
        <v>2100</v>
      </c>
      <c r="O168" s="1">
        <v>5</v>
      </c>
      <c r="P168" s="1" t="s">
        <v>1269</v>
      </c>
      <c r="Q168" s="1">
        <v>2001</v>
      </c>
      <c r="R168" s="1" t="s">
        <v>2101</v>
      </c>
      <c r="S168" s="1" t="s">
        <v>27</v>
      </c>
      <c r="T168" s="38">
        <v>1</v>
      </c>
      <c r="V168" s="1">
        <v>7.59</v>
      </c>
      <c r="Y168" s="1">
        <v>1.9191808020000001</v>
      </c>
      <c r="Z168" s="1">
        <v>2.5637646649999999</v>
      </c>
      <c r="AA168" s="1">
        <v>2.4555245330000002</v>
      </c>
      <c r="AD168" s="1">
        <v>0.91415942028985497</v>
      </c>
      <c r="AF168" s="1">
        <v>1.987871655</v>
      </c>
      <c r="AG168" s="1">
        <v>0.46765287799999999</v>
      </c>
      <c r="AH168" s="1">
        <v>2.0746025299999999</v>
      </c>
      <c r="AW168" s="1">
        <v>0.301129598</v>
      </c>
      <c r="AY168" s="1">
        <v>2.0121562999999999E-2</v>
      </c>
      <c r="BA168" s="1">
        <v>1.352307803</v>
      </c>
      <c r="BG168" s="1">
        <v>0.23868336800000001</v>
      </c>
      <c r="BZ168" s="1">
        <v>0.489162135</v>
      </c>
      <c r="CK168" s="1">
        <v>1.8005329649999999</v>
      </c>
      <c r="CV168" s="1">
        <v>0.102689356</v>
      </c>
      <c r="DB168" s="1">
        <v>0.134606318</v>
      </c>
      <c r="DE168" s="1">
        <v>3.6773891000000003E-2</v>
      </c>
      <c r="DN168" s="1">
        <v>0.29557882200000002</v>
      </c>
      <c r="DT168" s="1">
        <v>3.5386197000000001E-2</v>
      </c>
      <c r="ED168" s="1">
        <v>7.6323169999999996E-3</v>
      </c>
      <c r="EH168" s="1">
        <v>6.8690852999999996E-2</v>
      </c>
      <c r="EK168" s="1">
        <v>1.4570787E-2</v>
      </c>
      <c r="ET168" s="1">
        <v>0.17623713799999999</v>
      </c>
      <c r="EX168" s="1">
        <v>7.0772394000000002E-2</v>
      </c>
      <c r="FA168" s="1">
        <v>4.3712360999999998E-2</v>
      </c>
      <c r="FE168" s="1">
        <v>0.70009162300000005</v>
      </c>
      <c r="FJ168" s="1">
        <v>0.293497281</v>
      </c>
      <c r="FM168" s="1">
        <v>0.74866091300000004</v>
      </c>
    </row>
    <row r="169" spans="1:174" x14ac:dyDescent="0.2">
      <c r="A169" s="1" t="s">
        <v>2102</v>
      </c>
      <c r="B169" s="1" t="s">
        <v>55</v>
      </c>
      <c r="C169" s="1" t="s">
        <v>2103</v>
      </c>
      <c r="E169" s="1">
        <v>36</v>
      </c>
      <c r="F169" s="1" t="s">
        <v>2104</v>
      </c>
      <c r="G169" s="1" t="s">
        <v>2105</v>
      </c>
      <c r="H169" s="1" t="s">
        <v>2106</v>
      </c>
      <c r="I169" s="1" t="s">
        <v>7</v>
      </c>
      <c r="J169" s="1" t="s">
        <v>2107</v>
      </c>
      <c r="K169" s="1" t="s">
        <v>2108</v>
      </c>
      <c r="O169" s="1">
        <v>1</v>
      </c>
      <c r="P169" s="1" t="s">
        <v>1269</v>
      </c>
      <c r="Q169" s="1">
        <v>2009</v>
      </c>
      <c r="R169" s="1" t="s">
        <v>2109</v>
      </c>
      <c r="S169" s="1" t="s">
        <v>27</v>
      </c>
      <c r="T169" s="38">
        <v>1</v>
      </c>
      <c r="U169" s="1">
        <v>73.77</v>
      </c>
      <c r="W169" s="1">
        <v>4.0999999999999996</v>
      </c>
      <c r="Y169" s="1">
        <v>1.5392014000000001</v>
      </c>
      <c r="Z169" s="1">
        <v>1.3230503899999999</v>
      </c>
      <c r="AA169" s="1">
        <v>0.82004821000000006</v>
      </c>
      <c r="AD169" s="1">
        <v>0.89812195121951199</v>
      </c>
      <c r="AF169" s="1">
        <v>0.56928358000000001</v>
      </c>
      <c r="AG169" s="1">
        <v>0.10199970999999999</v>
      </c>
      <c r="AQ169" s="1">
        <v>3.6822999999999999E-4</v>
      </c>
      <c r="AR169" s="1">
        <v>7.3645999999999998E-4</v>
      </c>
      <c r="AS169" s="1">
        <v>3.6822999999999999E-4</v>
      </c>
      <c r="AT169" s="1">
        <v>0</v>
      </c>
      <c r="AU169" s="1">
        <v>6.99637E-3</v>
      </c>
      <c r="AV169" s="1">
        <v>3.6822999999999999E-3</v>
      </c>
      <c r="AW169" s="1">
        <v>0.2025265</v>
      </c>
      <c r="AY169" s="1">
        <v>4.78699E-2</v>
      </c>
      <c r="BA169" s="1">
        <v>0.87822855</v>
      </c>
      <c r="BD169" s="1">
        <v>7.9537679999999999E-2</v>
      </c>
      <c r="BG169" s="1">
        <v>0.28979701000000002</v>
      </c>
      <c r="BI169" s="1">
        <v>1.7306809999999999E-2</v>
      </c>
      <c r="BM169" s="1">
        <v>1.178336E-2</v>
      </c>
      <c r="BS169" s="1">
        <v>6.6281400000000002E-3</v>
      </c>
      <c r="BZ169" s="1">
        <v>0.24855525000000001</v>
      </c>
      <c r="CK169" s="1">
        <v>0.68453956999999999</v>
      </c>
      <c r="CM169" s="1">
        <v>0.17527748000000001</v>
      </c>
      <c r="CV169" s="1">
        <v>9.9422099999999999E-2</v>
      </c>
      <c r="DB169" s="1">
        <v>4.4555829999999998E-2</v>
      </c>
      <c r="DE169" s="1">
        <v>6.4072019999999993E-2</v>
      </c>
      <c r="DN169" s="1">
        <v>2.9458399999999999E-2</v>
      </c>
      <c r="DR169" s="1">
        <v>9.6108029999999997E-2</v>
      </c>
      <c r="DT169" s="1">
        <v>4.41876E-2</v>
      </c>
      <c r="DY169" s="1">
        <v>4.3451139999999999E-2</v>
      </c>
      <c r="EH169" s="1">
        <v>4.7133439999999999E-2</v>
      </c>
      <c r="EK169" s="1">
        <v>5.1552200000000003E-3</v>
      </c>
      <c r="EY169" s="1">
        <v>5.4498039999999998E-2</v>
      </c>
      <c r="FC169" s="1">
        <v>9.2057500000000004E-3</v>
      </c>
      <c r="FE169" s="1">
        <v>0.11525599</v>
      </c>
      <c r="FI169" s="1">
        <v>2.3198489999999999E-2</v>
      </c>
      <c r="FM169" s="1">
        <v>0.35239610999999998</v>
      </c>
    </row>
    <row r="170" spans="1:174" x14ac:dyDescent="0.2">
      <c r="A170" s="1" t="s">
        <v>2110</v>
      </c>
      <c r="B170" s="1" t="s">
        <v>55</v>
      </c>
      <c r="C170" s="1" t="s">
        <v>2103</v>
      </c>
      <c r="E170" s="1">
        <v>33</v>
      </c>
      <c r="F170" s="1" t="s">
        <v>2111</v>
      </c>
      <c r="G170" s="1" t="s">
        <v>2112</v>
      </c>
      <c r="H170" s="1" t="s">
        <v>2113</v>
      </c>
      <c r="I170" s="1" t="s">
        <v>7</v>
      </c>
      <c r="J170" s="1" t="s">
        <v>2114</v>
      </c>
      <c r="K170" s="1" t="s">
        <v>2115</v>
      </c>
      <c r="L170" s="1" t="s">
        <v>2114</v>
      </c>
      <c r="O170" s="1">
        <v>1</v>
      </c>
      <c r="P170" s="1" t="s">
        <v>1269</v>
      </c>
      <c r="Q170" s="1">
        <v>2009</v>
      </c>
      <c r="R170" s="1" t="s">
        <v>2109</v>
      </c>
      <c r="S170" s="1" t="s">
        <v>27</v>
      </c>
      <c r="T170" s="38">
        <v>1</v>
      </c>
      <c r="U170" s="1">
        <v>78.23</v>
      </c>
      <c r="W170" s="1">
        <v>0.75</v>
      </c>
      <c r="Y170" s="1">
        <v>0.25465745000000001</v>
      </c>
      <c r="Z170" s="1">
        <v>0.19096525</v>
      </c>
      <c r="AA170" s="1">
        <v>0.1111273</v>
      </c>
      <c r="AD170" s="1">
        <v>0.74233333333333296</v>
      </c>
      <c r="AF170" s="1">
        <v>5.3058275000000002E-2</v>
      </c>
      <c r="AG170" s="1">
        <v>2.5888874999999999E-2</v>
      </c>
      <c r="AQ170" s="1">
        <v>1.6702500000000001E-4</v>
      </c>
      <c r="AR170" s="1">
        <v>3.3405000000000002E-4</v>
      </c>
      <c r="AS170" s="1">
        <v>3.3405000000000002E-4</v>
      </c>
      <c r="AT170" s="1">
        <v>5.5674999999999998E-5</v>
      </c>
      <c r="AU170" s="1">
        <v>4.1756249999999996E-3</v>
      </c>
      <c r="AV170" s="1">
        <v>1.22485E-3</v>
      </c>
      <c r="AW170" s="1">
        <v>5.2278825000000001E-2</v>
      </c>
      <c r="AY170" s="1">
        <v>1.525495E-2</v>
      </c>
      <c r="BA170" s="1">
        <v>0.1146905</v>
      </c>
      <c r="BD170" s="1">
        <v>9.2977249999999997E-3</v>
      </c>
      <c r="BG170" s="1">
        <v>5.3893400000000001E-2</v>
      </c>
      <c r="BI170" s="1">
        <v>2.4497E-3</v>
      </c>
      <c r="BM170" s="1">
        <v>8.9079999999999997E-4</v>
      </c>
      <c r="BS170" s="1">
        <v>8.3512500000000004E-4</v>
      </c>
      <c r="BZ170" s="1">
        <v>5.9349550000000001E-2</v>
      </c>
      <c r="CK170" s="1">
        <v>7.8947149999999994E-2</v>
      </c>
      <c r="CM170" s="1">
        <v>2.9507749999999999E-2</v>
      </c>
      <c r="CV170" s="1">
        <v>1.2749575000000001E-2</v>
      </c>
      <c r="DB170" s="1">
        <v>6.0685749999999997E-3</v>
      </c>
      <c r="DE170" s="1">
        <v>3.5075250000000001E-3</v>
      </c>
      <c r="DN170" s="1">
        <v>8.2398999999999997E-3</v>
      </c>
      <c r="DR170" s="1">
        <v>1.9096525E-2</v>
      </c>
      <c r="DT170" s="1">
        <v>7.6274749999999999E-3</v>
      </c>
      <c r="DY170" s="1">
        <v>6.4026250000000003E-3</v>
      </c>
      <c r="EH170" s="1">
        <v>8.9079999999999993E-3</v>
      </c>
      <c r="EK170" s="1">
        <v>2.0043000000000001E-3</v>
      </c>
      <c r="EY170" s="1">
        <v>1.1413375E-2</v>
      </c>
      <c r="FC170" s="1">
        <v>6.6810000000000003E-3</v>
      </c>
      <c r="FE170" s="1">
        <v>7.7945000000000002E-3</v>
      </c>
      <c r="FI170" s="1">
        <v>8.0172000000000004E-3</v>
      </c>
      <c r="FM170" s="1">
        <v>2.49424E-2</v>
      </c>
    </row>
    <row r="171" spans="1:174" x14ac:dyDescent="0.2">
      <c r="A171" s="1" t="s">
        <v>2116</v>
      </c>
      <c r="B171" s="1" t="s">
        <v>55</v>
      </c>
      <c r="C171" s="1" t="s">
        <v>2103</v>
      </c>
      <c r="E171" s="1">
        <v>37</v>
      </c>
      <c r="F171" s="1" t="s">
        <v>2117</v>
      </c>
      <c r="G171" s="1" t="s">
        <v>2118</v>
      </c>
      <c r="H171" s="1" t="s">
        <v>2119</v>
      </c>
      <c r="I171" s="1" t="s">
        <v>7</v>
      </c>
      <c r="J171" s="1" t="s">
        <v>2120</v>
      </c>
      <c r="K171" s="1" t="s">
        <v>2121</v>
      </c>
      <c r="O171" s="1">
        <v>1</v>
      </c>
      <c r="P171" s="1" t="s">
        <v>1269</v>
      </c>
      <c r="Q171" s="1">
        <v>2009</v>
      </c>
      <c r="R171" s="1" t="s">
        <v>2109</v>
      </c>
      <c r="S171" s="1" t="s">
        <v>27</v>
      </c>
      <c r="T171" s="38">
        <v>1</v>
      </c>
      <c r="U171" s="1">
        <v>77.819999999999993</v>
      </c>
      <c r="W171" s="1">
        <v>0.24</v>
      </c>
      <c r="Y171" s="1">
        <v>6.6368568000000003E-2</v>
      </c>
      <c r="Z171" s="1">
        <v>3.3531551999999999E-2</v>
      </c>
      <c r="AA171" s="1">
        <v>6.1619880000000002E-2</v>
      </c>
      <c r="AD171" s="1">
        <v>0.67300000000000004</v>
      </c>
      <c r="AF171" s="1">
        <v>4.7519183999999999E-2</v>
      </c>
      <c r="AG171" s="1">
        <v>6.4284959999999997E-3</v>
      </c>
      <c r="AQ171" s="1">
        <v>8.0760000000000006E-5</v>
      </c>
      <c r="AR171" s="1">
        <v>4.038E-4</v>
      </c>
      <c r="AS171" s="1">
        <v>1.13064E-4</v>
      </c>
      <c r="AT171" s="1">
        <v>3.2304000000000001E-5</v>
      </c>
      <c r="AU171" s="1">
        <v>3.7149600000000002E-4</v>
      </c>
      <c r="AV171" s="1">
        <v>9.6911999999999996E-5</v>
      </c>
      <c r="AW171" s="1">
        <v>7.7529599999999997E-3</v>
      </c>
      <c r="AY171" s="1">
        <v>1.3083120000000001E-3</v>
      </c>
      <c r="BA171" s="1">
        <v>3.1334880000000002E-2</v>
      </c>
      <c r="BD171" s="1">
        <v>3.1334879999999998E-3</v>
      </c>
      <c r="BG171" s="1">
        <v>2.0868384E-2</v>
      </c>
      <c r="BI171" s="1">
        <v>4.1995200000000002E-4</v>
      </c>
      <c r="BM171" s="1">
        <v>6.1377600000000001E-4</v>
      </c>
      <c r="BS171" s="1">
        <v>8.0760000000000006E-5</v>
      </c>
      <c r="BZ171" s="1">
        <v>4.3287359999999997E-3</v>
      </c>
      <c r="CK171" s="1">
        <v>1.7605679999999999E-2</v>
      </c>
      <c r="CM171" s="1">
        <v>4.7971439999999997E-3</v>
      </c>
      <c r="CV171" s="1">
        <v>1.8574799999999999E-3</v>
      </c>
      <c r="DB171" s="1">
        <v>1.728264E-3</v>
      </c>
      <c r="DE171" s="1">
        <v>3.1334879999999998E-3</v>
      </c>
      <c r="DN171" s="1">
        <v>1.6636559999999999E-3</v>
      </c>
      <c r="DR171" s="1">
        <v>4.8132959999999999E-3</v>
      </c>
      <c r="DT171" s="1">
        <v>1.7444159999999999E-3</v>
      </c>
      <c r="DY171" s="1">
        <v>2.4228000000000001E-3</v>
      </c>
      <c r="EH171" s="1">
        <v>1.8574799999999999E-3</v>
      </c>
      <c r="EK171" s="1">
        <v>2.0997600000000001E-4</v>
      </c>
      <c r="EY171" s="1">
        <v>3.1011839999999999E-3</v>
      </c>
      <c r="FC171" s="1">
        <v>4.3610399999999998E-4</v>
      </c>
      <c r="FE171" s="1">
        <v>9.804264E-3</v>
      </c>
      <c r="FI171" s="1">
        <v>2.8104480000000001E-3</v>
      </c>
      <c r="FM171" s="1">
        <v>3.2756255999999997E-2</v>
      </c>
    </row>
    <row r="172" spans="1:174" x14ac:dyDescent="0.2">
      <c r="A172" s="1" t="s">
        <v>2122</v>
      </c>
      <c r="B172" s="1" t="s">
        <v>55</v>
      </c>
      <c r="C172" s="1" t="s">
        <v>445</v>
      </c>
      <c r="D172" s="1" t="s">
        <v>2</v>
      </c>
      <c r="E172" s="1">
        <v>11</v>
      </c>
      <c r="F172" s="1" t="s">
        <v>2123</v>
      </c>
      <c r="G172" s="1" t="s">
        <v>2124</v>
      </c>
      <c r="H172" s="1" t="s">
        <v>2125</v>
      </c>
      <c r="I172" s="1" t="s">
        <v>7</v>
      </c>
      <c r="J172" s="1" t="s">
        <v>2126</v>
      </c>
      <c r="K172" s="1" t="s">
        <v>2127</v>
      </c>
      <c r="L172" s="1" t="s">
        <v>2126</v>
      </c>
      <c r="N172" s="1" t="s">
        <v>2128</v>
      </c>
      <c r="O172" s="1">
        <v>1</v>
      </c>
      <c r="P172" s="1" t="s">
        <v>1670</v>
      </c>
      <c r="Q172" s="1">
        <v>2011</v>
      </c>
      <c r="R172" s="1" t="s">
        <v>2129</v>
      </c>
      <c r="S172" s="1" t="s">
        <v>27</v>
      </c>
      <c r="T172" s="38">
        <v>1</v>
      </c>
      <c r="U172" s="1">
        <v>72.099999999999994</v>
      </c>
      <c r="V172" s="1">
        <v>3.11</v>
      </c>
      <c r="Y172" s="1">
        <v>0.75685641679784299</v>
      </c>
      <c r="Z172" s="1">
        <v>0.93113117363795395</v>
      </c>
      <c r="AA172" s="1">
        <v>1.0613407854399499</v>
      </c>
      <c r="AB172" s="1">
        <v>9.3016241242497993E-3</v>
      </c>
      <c r="AD172" s="1">
        <v>0.88701929260450196</v>
      </c>
      <c r="AF172" s="1">
        <v>0.67267935809467705</v>
      </c>
      <c r="AG172" s="1">
        <v>0.38367688357496099</v>
      </c>
      <c r="AW172" s="1">
        <v>3.2730699877029999E-2</v>
      </c>
      <c r="AY172" s="1">
        <v>5.1997704095000903E-3</v>
      </c>
      <c r="BA172" s="1">
        <v>0.55145736621102504</v>
      </c>
      <c r="BD172" s="1">
        <v>1.1009361014071299E-3</v>
      </c>
      <c r="BG172" s="1">
        <v>0.13519321828605901</v>
      </c>
      <c r="BI172" s="1">
        <v>9.42049128412383E-3</v>
      </c>
      <c r="BM172" s="1">
        <v>2.1753934628698599E-2</v>
      </c>
      <c r="BS172" s="1">
        <v>3.2713989444500399E-3</v>
      </c>
      <c r="BV172" s="1">
        <v>1.36773819073284E-3</v>
      </c>
      <c r="BX172" s="1">
        <v>2.7986934647499101E-2</v>
      </c>
      <c r="BZ172" s="1">
        <v>0.119630426532447</v>
      </c>
      <c r="CF172" s="1">
        <v>4.9523885525736598E-3</v>
      </c>
      <c r="CK172" s="1">
        <v>0.60706386915362798</v>
      </c>
      <c r="CM172" s="1">
        <v>0.108670224646311</v>
      </c>
      <c r="CZ172" s="1">
        <v>5.29063416805289E-2</v>
      </c>
      <c r="DD172" s="1">
        <v>5.2818512897830098E-3</v>
      </c>
      <c r="DN172" s="1">
        <v>0.345201295678215</v>
      </c>
      <c r="DU172" s="1">
        <v>4.9845437703156404E-3</v>
      </c>
      <c r="EF172" s="1">
        <v>4.6029476462656503E-2</v>
      </c>
      <c r="EK172" s="1">
        <v>2.02093604095403E-2</v>
      </c>
      <c r="EX172" s="1">
        <v>1.8266227487206702E-2</v>
      </c>
      <c r="FE172" s="1">
        <v>8.7154353276749502E-2</v>
      </c>
      <c r="FJ172" s="1">
        <v>4.0270089977178E-2</v>
      </c>
      <c r="FM172" s="1">
        <v>0.49922543837809302</v>
      </c>
    </row>
    <row r="173" spans="1:174" x14ac:dyDescent="0.2">
      <c r="A173" s="1" t="s">
        <v>2130</v>
      </c>
      <c r="B173" s="1" t="s">
        <v>55</v>
      </c>
      <c r="C173" s="1" t="s">
        <v>445</v>
      </c>
      <c r="D173" s="1" t="s">
        <v>2</v>
      </c>
      <c r="E173" s="1">
        <v>11</v>
      </c>
      <c r="F173" s="1" t="s">
        <v>2131</v>
      </c>
      <c r="G173" s="1" t="s">
        <v>2132</v>
      </c>
      <c r="H173" s="1" t="s">
        <v>2133</v>
      </c>
      <c r="I173" s="1" t="s">
        <v>7</v>
      </c>
      <c r="J173" s="1" t="s">
        <v>2134</v>
      </c>
      <c r="K173" s="1" t="s">
        <v>2135</v>
      </c>
      <c r="L173" s="1" t="s">
        <v>2134</v>
      </c>
      <c r="N173" s="1" t="s">
        <v>2136</v>
      </c>
      <c r="O173" s="1">
        <v>1</v>
      </c>
      <c r="P173" s="1" t="s">
        <v>1670</v>
      </c>
      <c r="Q173" s="1">
        <v>2011</v>
      </c>
      <c r="R173" s="1" t="s">
        <v>2129</v>
      </c>
      <c r="S173" s="1" t="s">
        <v>27</v>
      </c>
      <c r="T173" s="38">
        <v>1</v>
      </c>
      <c r="U173" s="1">
        <v>74.98</v>
      </c>
      <c r="V173" s="1">
        <v>2.82</v>
      </c>
      <c r="Y173" s="1">
        <v>0.68902964552921198</v>
      </c>
      <c r="Z173" s="1">
        <v>0.85478819819522101</v>
      </c>
      <c r="AA173" s="1">
        <v>0.69319336303163903</v>
      </c>
      <c r="AB173" s="1">
        <v>0.25104879324392798</v>
      </c>
      <c r="AD173" s="1">
        <v>0.88229078014184403</v>
      </c>
      <c r="AF173" s="1">
        <v>0.34636319576437402</v>
      </c>
      <c r="AG173" s="1">
        <v>0.34582971249175198</v>
      </c>
      <c r="AW173" s="1">
        <v>2.6852523489885101E-2</v>
      </c>
      <c r="AY173" s="1">
        <v>2.2246292242518802E-3</v>
      </c>
      <c r="BA173" s="1">
        <v>0.49584571281803302</v>
      </c>
      <c r="BD173" s="1">
        <v>1.7401421361032501E-3</v>
      </c>
      <c r="BG173" s="1">
        <v>0.14453445244573199</v>
      </c>
      <c r="BI173" s="1">
        <v>8.0080942297790104E-3</v>
      </c>
      <c r="BM173" s="1">
        <v>9.82409118542742E-3</v>
      </c>
      <c r="BS173" s="1">
        <v>8.6179678365911408E-3</v>
      </c>
      <c r="BX173" s="1">
        <v>2.5030014263065802E-2</v>
      </c>
      <c r="BZ173" s="1">
        <v>7.1620535861643797E-2</v>
      </c>
      <c r="CF173" s="1">
        <v>5.4670047114820496E-3</v>
      </c>
      <c r="CK173" s="1">
        <v>0.62477901858057705</v>
      </c>
      <c r="CM173" s="1">
        <v>7.4236103483657098E-2</v>
      </c>
      <c r="CZ173" s="1">
        <v>4.3782138975978102E-2</v>
      </c>
      <c r="DD173" s="1">
        <v>1.25541448222577E-3</v>
      </c>
      <c r="DN173" s="1">
        <v>0.30107795012998501</v>
      </c>
      <c r="DU173" s="1">
        <v>1.00045477551314E-3</v>
      </c>
      <c r="EF173" s="1">
        <v>3.4603412170047698E-2</v>
      </c>
      <c r="EK173" s="1">
        <v>2.4254146955218499E-2</v>
      </c>
      <c r="EX173" s="1">
        <v>2.0497615406548299E-2</v>
      </c>
      <c r="FE173" s="1">
        <v>6.2724443035571495E-2</v>
      </c>
      <c r="FJ173" s="1">
        <v>4.6656494290190399E-2</v>
      </c>
      <c r="FM173" s="1">
        <v>0.202378846268565</v>
      </c>
    </row>
    <row r="174" spans="1:174" x14ac:dyDescent="0.2">
      <c r="A174" s="1" t="s">
        <v>2137</v>
      </c>
      <c r="B174" s="1" t="s">
        <v>55</v>
      </c>
      <c r="C174" s="1" t="s">
        <v>445</v>
      </c>
      <c r="D174" s="1" t="s">
        <v>2</v>
      </c>
      <c r="E174" s="1">
        <v>11</v>
      </c>
      <c r="F174" s="1" t="s">
        <v>2138</v>
      </c>
      <c r="G174" s="1" t="s">
        <v>2139</v>
      </c>
      <c r="H174" s="1" t="s">
        <v>2140</v>
      </c>
      <c r="I174" s="1" t="s">
        <v>7</v>
      </c>
      <c r="J174" s="1" t="s">
        <v>2141</v>
      </c>
      <c r="K174" s="1" t="s">
        <v>2142</v>
      </c>
      <c r="L174" s="1" t="s">
        <v>2141</v>
      </c>
      <c r="N174" s="1" t="s">
        <v>2143</v>
      </c>
      <c r="O174" s="1">
        <v>1</v>
      </c>
      <c r="P174" s="1" t="s">
        <v>1670</v>
      </c>
      <c r="Q174" s="1">
        <v>2011</v>
      </c>
      <c r="R174" s="1" t="s">
        <v>2129</v>
      </c>
      <c r="S174" s="1" t="s">
        <v>27</v>
      </c>
      <c r="T174" s="38">
        <v>1</v>
      </c>
      <c r="U174" s="1">
        <v>76.05</v>
      </c>
      <c r="V174" s="1">
        <v>2.82</v>
      </c>
      <c r="Y174" s="1">
        <v>0.79506203620000004</v>
      </c>
      <c r="Z174" s="1">
        <v>0.81610791424649298</v>
      </c>
      <c r="AA174" s="1">
        <v>0.87689004955350802</v>
      </c>
      <c r="AD174" s="1">
        <v>0.88229078014184403</v>
      </c>
      <c r="AF174" s="1">
        <v>0.501019076336786</v>
      </c>
      <c r="AG174" s="1">
        <v>0.37202907795273499</v>
      </c>
      <c r="AW174" s="1">
        <v>0.123693923215727</v>
      </c>
      <c r="AY174" s="1">
        <v>2.6103328092399198E-3</v>
      </c>
      <c r="BA174" s="1">
        <v>0.48412285272407202</v>
      </c>
      <c r="BD174" s="1">
        <v>2.3865731561678499E-4</v>
      </c>
      <c r="BG174" s="1">
        <v>0.163160801791911</v>
      </c>
      <c r="BI174" s="1">
        <v>6.96731205859489E-3</v>
      </c>
      <c r="BM174" s="1">
        <v>1.4268156284838501E-2</v>
      </c>
      <c r="BS174" s="1">
        <v>1.8911016770695301E-3</v>
      </c>
      <c r="BV174" s="1">
        <v>1.6603652637405999E-3</v>
      </c>
      <c r="BX174" s="1">
        <v>2.1412644214460898E-2</v>
      </c>
      <c r="BZ174" s="1">
        <v>7.4944254750613101E-2</v>
      </c>
      <c r="CF174" s="1">
        <v>1.98012646341083E-2</v>
      </c>
      <c r="CK174" s="1">
        <v>0.58259165105921795</v>
      </c>
      <c r="CM174" s="1">
        <v>6.7203716727274307E-2</v>
      </c>
      <c r="CZ174" s="1">
        <v>4.4674524523753499E-2</v>
      </c>
      <c r="DD174" s="1">
        <v>1.92839139625465E-3</v>
      </c>
      <c r="DN174" s="1">
        <v>0.306259696362919</v>
      </c>
      <c r="DU174" s="1">
        <v>3.8418952639867302E-3</v>
      </c>
      <c r="EF174" s="1">
        <v>3.0830594842265299E-2</v>
      </c>
      <c r="EK174" s="1">
        <v>5.0410572926065302E-2</v>
      </c>
      <c r="EX174" s="1">
        <v>1.5358808663750501E-2</v>
      </c>
      <c r="FE174" s="1">
        <v>7.3173023391519196E-2</v>
      </c>
      <c r="FJ174" s="1">
        <v>2.62490581689513E-2</v>
      </c>
      <c r="FM174" s="1">
        <v>0.37076639993404997</v>
      </c>
    </row>
    <row r="175" spans="1:174" x14ac:dyDescent="0.2">
      <c r="A175" s="1" t="s">
        <v>2144</v>
      </c>
      <c r="B175" s="1" t="s">
        <v>55</v>
      </c>
      <c r="C175" s="1" t="s">
        <v>2145</v>
      </c>
      <c r="D175" s="1" t="s">
        <v>2</v>
      </c>
      <c r="E175" s="1">
        <v>33</v>
      </c>
      <c r="F175" s="1" t="s">
        <v>1288</v>
      </c>
      <c r="H175" s="1" t="s">
        <v>2146</v>
      </c>
      <c r="I175" s="1" t="s">
        <v>7</v>
      </c>
      <c r="J175" s="1" t="s">
        <v>1290</v>
      </c>
      <c r="K175" s="1" t="s">
        <v>1291</v>
      </c>
      <c r="L175" s="1" t="s">
        <v>1290</v>
      </c>
      <c r="M175" s="1" t="s">
        <v>2147</v>
      </c>
      <c r="N175" s="1" t="s">
        <v>2148</v>
      </c>
      <c r="P175" s="1" t="s">
        <v>2149</v>
      </c>
      <c r="Q175" s="1">
        <v>2002</v>
      </c>
      <c r="R175" s="1" t="s">
        <v>2150</v>
      </c>
      <c r="S175" s="1" t="s">
        <v>27</v>
      </c>
      <c r="T175" s="38">
        <v>1</v>
      </c>
      <c r="U175" s="1">
        <v>72.2</v>
      </c>
      <c r="V175" s="1">
        <v>5.2</v>
      </c>
      <c r="Y175" s="1">
        <v>1.3749112000000001</v>
      </c>
      <c r="Z175" s="1">
        <v>1.6291755999999999</v>
      </c>
      <c r="AA175" s="1">
        <v>1.6998046</v>
      </c>
      <c r="AD175" s="1">
        <v>0.90549999999999997</v>
      </c>
      <c r="AF175" s="1">
        <v>1.2619047999999999</v>
      </c>
      <c r="AG175" s="1">
        <v>0.43789980000000001</v>
      </c>
      <c r="AW175" s="1">
        <v>0.1459666</v>
      </c>
      <c r="AY175" s="1">
        <v>2.8251600000000002E-2</v>
      </c>
      <c r="BA175" s="1">
        <v>0.96526299999999998</v>
      </c>
      <c r="BG175" s="1">
        <v>0.2165956</v>
      </c>
      <c r="BI175" s="1">
        <v>1.8834400000000001E-2</v>
      </c>
      <c r="BZ175" s="1">
        <v>0.21188699999999999</v>
      </c>
      <c r="CK175" s="1">
        <v>0.98409740000000001</v>
      </c>
      <c r="CV175" s="1">
        <v>0.21188699999999999</v>
      </c>
      <c r="DB175" s="1">
        <v>0.1977612</v>
      </c>
      <c r="DE175" s="1">
        <v>2.3543000000000001E-2</v>
      </c>
      <c r="DN175" s="1">
        <v>0.26839020000000002</v>
      </c>
      <c r="DT175" s="1">
        <v>9.8880599999999999E-2</v>
      </c>
      <c r="EH175" s="1">
        <v>7.5337600000000005E-2</v>
      </c>
      <c r="EK175" s="1">
        <v>1.8834400000000001E-2</v>
      </c>
      <c r="EX175" s="1">
        <v>5.1794600000000003E-2</v>
      </c>
      <c r="FE175" s="1">
        <v>0.28251599999999999</v>
      </c>
      <c r="FJ175" s="1">
        <v>5.1794600000000003E-2</v>
      </c>
      <c r="FM175" s="1">
        <v>0.85225660000000003</v>
      </c>
    </row>
    <row r="176" spans="1:174" x14ac:dyDescent="0.2">
      <c r="A176" s="1" t="s">
        <v>2151</v>
      </c>
      <c r="B176" s="1" t="s">
        <v>55</v>
      </c>
      <c r="C176" s="1" t="s">
        <v>1278</v>
      </c>
      <c r="D176" s="1" t="s">
        <v>2</v>
      </c>
      <c r="E176" s="1">
        <v>11</v>
      </c>
      <c r="F176" s="1" t="s">
        <v>1389</v>
      </c>
      <c r="H176" s="1" t="s">
        <v>2152</v>
      </c>
      <c r="I176" s="1" t="s">
        <v>7</v>
      </c>
      <c r="J176" s="1" t="s">
        <v>1392</v>
      </c>
      <c r="K176" s="1" t="s">
        <v>1393</v>
      </c>
      <c r="L176" s="1" t="s">
        <v>1392</v>
      </c>
      <c r="O176" s="1">
        <v>1</v>
      </c>
      <c r="P176" s="1" t="s">
        <v>1670</v>
      </c>
      <c r="Q176" s="1">
        <v>2011</v>
      </c>
      <c r="R176" s="1" t="s">
        <v>2153</v>
      </c>
      <c r="S176" s="1" t="s">
        <v>27</v>
      </c>
      <c r="T176" s="38">
        <v>1</v>
      </c>
      <c r="U176" s="1">
        <v>77.7</v>
      </c>
      <c r="W176" s="1">
        <v>5.0999999999999996</v>
      </c>
      <c r="Y176" s="1">
        <v>1.24270527139253</v>
      </c>
      <c r="Z176" s="1">
        <v>2.3591865721079799</v>
      </c>
      <c r="AA176" s="1">
        <v>1.0134081564994899</v>
      </c>
      <c r="AD176" s="1">
        <v>0.90496078431372595</v>
      </c>
      <c r="AF176" s="1">
        <v>0.53710427928626703</v>
      </c>
      <c r="AG176" s="1">
        <v>0.47630387721322098</v>
      </c>
      <c r="AW176" s="1">
        <v>5.94048765895447E-2</v>
      </c>
      <c r="AY176" s="1">
        <v>2.2924785007399699E-2</v>
      </c>
      <c r="BA176" s="1">
        <v>0.87375627224347696</v>
      </c>
      <c r="BD176" s="1">
        <v>9.2222484347597496E-3</v>
      </c>
      <c r="BG176" s="1">
        <v>0.26809673190690297</v>
      </c>
      <c r="BI176" s="1">
        <v>4.6419379935823298E-3</v>
      </c>
      <c r="BK176" s="1">
        <v>4.6584192168683198E-3</v>
      </c>
      <c r="BL176" s="1">
        <v>0</v>
      </c>
      <c r="BS176" s="1">
        <v>4.5672729108087503E-3</v>
      </c>
      <c r="CA176" s="1">
        <v>0.45049081171032301</v>
      </c>
      <c r="CI176" s="1">
        <v>1.8252238646622101</v>
      </c>
      <c r="CJ176" s="1">
        <v>4.6208199105372298E-3</v>
      </c>
      <c r="CZ176" s="1">
        <v>6.4969137402091606E-2</v>
      </c>
      <c r="DD176" s="1">
        <v>9.3146655120085308E-3</v>
      </c>
      <c r="DK176" s="1">
        <v>0.33720627539368703</v>
      </c>
      <c r="DT176" s="1">
        <v>5.5672260391293298E-2</v>
      </c>
      <c r="ED176" s="1">
        <v>9.2353691541538496E-3</v>
      </c>
      <c r="EH176" s="1">
        <v>0.27244339004753898</v>
      </c>
      <c r="EK176" s="1">
        <v>9.2760782699037592E-3</v>
      </c>
      <c r="EL176" s="1">
        <v>4.6380391349518796E-3</v>
      </c>
      <c r="ET176" s="1">
        <v>1.38482500810507E-2</v>
      </c>
      <c r="EX176" s="1">
        <v>6.4913894004183195E-2</v>
      </c>
      <c r="FE176" s="1">
        <v>0.10661322154194</v>
      </c>
      <c r="FJ176" s="1">
        <v>4.1875673695916001E-2</v>
      </c>
      <c r="FM176" s="1">
        <v>9.7685704784869598E-2</v>
      </c>
    </row>
    <row r="177" spans="1:169" x14ac:dyDescent="0.2">
      <c r="A177" s="1" t="s">
        <v>2154</v>
      </c>
      <c r="B177" s="1" t="s">
        <v>55</v>
      </c>
      <c r="C177" s="1" t="s">
        <v>1278</v>
      </c>
      <c r="D177" s="1" t="s">
        <v>2</v>
      </c>
      <c r="E177" s="1">
        <v>23</v>
      </c>
      <c r="F177" s="1" t="s">
        <v>1471</v>
      </c>
      <c r="H177" s="1" t="s">
        <v>2155</v>
      </c>
      <c r="I177" s="1" t="s">
        <v>7</v>
      </c>
      <c r="J177" s="1" t="s">
        <v>1473</v>
      </c>
      <c r="K177" s="1" t="s">
        <v>1474</v>
      </c>
      <c r="L177" s="1" t="s">
        <v>1473</v>
      </c>
      <c r="O177" s="1">
        <v>1</v>
      </c>
      <c r="P177" s="1" t="s">
        <v>1670</v>
      </c>
      <c r="Q177" s="1">
        <v>2011</v>
      </c>
      <c r="R177" s="1" t="s">
        <v>2153</v>
      </c>
      <c r="S177" s="1" t="s">
        <v>27</v>
      </c>
      <c r="T177" s="38">
        <v>1</v>
      </c>
      <c r="U177" s="1">
        <v>73</v>
      </c>
      <c r="W177" s="1">
        <v>7.4</v>
      </c>
      <c r="Y177" s="1">
        <v>1.4855618961919499</v>
      </c>
      <c r="Z177" s="1">
        <v>2.1357526122934001</v>
      </c>
      <c r="AA177" s="1">
        <v>3.1398854915146499</v>
      </c>
      <c r="AD177" s="1">
        <v>0.91367567567567598</v>
      </c>
      <c r="AF177" s="1">
        <v>2.5448795843662602</v>
      </c>
      <c r="AG177" s="1">
        <v>0.59500590714839396</v>
      </c>
      <c r="AU177" s="1">
        <v>6.6280349365994903E-3</v>
      </c>
      <c r="AW177" s="1">
        <v>0.28731497877527901</v>
      </c>
      <c r="AY177" s="1">
        <v>2.0112570921103801E-2</v>
      </c>
      <c r="BA177" s="1">
        <v>0.90105763387814197</v>
      </c>
      <c r="BD177" s="1">
        <v>6.7424523878222096E-3</v>
      </c>
      <c r="BG177" s="1">
        <v>0.24331960000196101</v>
      </c>
      <c r="BI177" s="1">
        <v>1.35750174723057E-2</v>
      </c>
      <c r="BK177" s="1">
        <v>6.8116078187323197E-3</v>
      </c>
      <c r="BL177" s="1">
        <v>0</v>
      </c>
      <c r="CA177" s="1">
        <v>0.38985124186372599</v>
      </c>
      <c r="CI177" s="1">
        <v>1.3580825436313</v>
      </c>
      <c r="CZ177" s="1">
        <v>0.11535569843601599</v>
      </c>
      <c r="DD177" s="1">
        <v>0.25197070965906998</v>
      </c>
      <c r="DF177" s="1">
        <v>2.0492418703291701E-2</v>
      </c>
      <c r="DK177" s="1">
        <v>0.43903304662334203</v>
      </c>
      <c r="DT177" s="1">
        <v>0.108539710293332</v>
      </c>
      <c r="ED177" s="1">
        <v>6.7520450404637599E-3</v>
      </c>
      <c r="EH177" s="1">
        <v>0.48614724291339101</v>
      </c>
      <c r="EK177" s="1">
        <v>6.7818077687870999E-3</v>
      </c>
      <c r="EL177" s="1">
        <v>3.39090388439355E-2</v>
      </c>
      <c r="ET177" s="1">
        <v>3.3748518591269802E-2</v>
      </c>
      <c r="EX177" s="1">
        <v>3.3899297422468597E-2</v>
      </c>
      <c r="FE177" s="1">
        <v>0.54223092660363204</v>
      </c>
      <c r="FJ177" s="1">
        <v>0.258531794612474</v>
      </c>
      <c r="FM177" s="1">
        <v>1.19031206280156</v>
      </c>
    </row>
    <row r="178" spans="1:169" x14ac:dyDescent="0.2">
      <c r="A178" s="1" t="s">
        <v>2156</v>
      </c>
      <c r="B178" s="1" t="s">
        <v>55</v>
      </c>
      <c r="C178" s="1" t="s">
        <v>1343</v>
      </c>
      <c r="D178" s="1" t="s">
        <v>2</v>
      </c>
      <c r="E178" s="1">
        <v>13</v>
      </c>
      <c r="F178" s="1" t="s">
        <v>1265</v>
      </c>
      <c r="H178" s="1" t="s">
        <v>2157</v>
      </c>
      <c r="I178" s="1" t="s">
        <v>7</v>
      </c>
      <c r="J178" s="1" t="s">
        <v>1267</v>
      </c>
      <c r="K178" s="1" t="s">
        <v>1268</v>
      </c>
      <c r="L178" s="1" t="s">
        <v>1267</v>
      </c>
      <c r="O178" s="1">
        <v>1</v>
      </c>
      <c r="P178" s="1" t="s">
        <v>1670</v>
      </c>
      <c r="Q178" s="1">
        <v>2011</v>
      </c>
      <c r="R178" s="1" t="s">
        <v>2153</v>
      </c>
      <c r="S178" s="1" t="s">
        <v>27</v>
      </c>
      <c r="T178" s="38">
        <v>1</v>
      </c>
      <c r="U178" s="1">
        <v>84.7</v>
      </c>
      <c r="W178" s="1">
        <v>1.3</v>
      </c>
      <c r="Y178" s="1">
        <v>0.450251290768863</v>
      </c>
      <c r="Z178" s="1">
        <v>0.43076598193721799</v>
      </c>
      <c r="AA178" s="1">
        <v>0.188882727293919</v>
      </c>
      <c r="AD178" s="1">
        <v>0.82299999999999995</v>
      </c>
      <c r="AF178" s="1">
        <v>4.1948552516425298E-2</v>
      </c>
      <c r="AG178" s="1">
        <v>0.14693417477749299</v>
      </c>
      <c r="AU178" s="1">
        <v>6.3073448572998096E-3</v>
      </c>
      <c r="AW178" s="1">
        <v>4.6628669815853098E-2</v>
      </c>
      <c r="AY178" s="1">
        <v>2.1266051783531302E-3</v>
      </c>
      <c r="BA178" s="1">
        <v>0.289019802898766</v>
      </c>
      <c r="BD178" s="1">
        <v>6.4162263477352301E-3</v>
      </c>
      <c r="BG178" s="1">
        <v>9.1117974358852202E-2</v>
      </c>
      <c r="BI178" s="1">
        <v>2.1530342316318199E-3</v>
      </c>
      <c r="BJ178" s="1">
        <v>2.1570138873391802E-3</v>
      </c>
      <c r="BK178" s="1">
        <v>3.24101788511896E-3</v>
      </c>
      <c r="BL178" s="1">
        <v>0</v>
      </c>
      <c r="BM178" s="1">
        <v>1.08360130791453E-3</v>
      </c>
      <c r="CA178" s="1">
        <v>1.1726655077190401E-2</v>
      </c>
      <c r="CI178" s="1">
        <v>0.40935868612103599</v>
      </c>
      <c r="CJ178" s="1">
        <v>2.1432391943509801E-3</v>
      </c>
      <c r="CZ178" s="1">
        <v>6.4573142119744202E-3</v>
      </c>
      <c r="DD178" s="1">
        <v>1.0800873326658701E-3</v>
      </c>
      <c r="DK178" s="1">
        <v>0.101769583622695</v>
      </c>
      <c r="DT178" s="1">
        <v>2.2594280066414299E-2</v>
      </c>
      <c r="ED178" s="1">
        <v>3.2126774352878801E-3</v>
      </c>
      <c r="EH178" s="1">
        <v>1.49924946980101E-2</v>
      </c>
      <c r="EK178" s="1">
        <v>7.5292904895581598E-3</v>
      </c>
      <c r="EL178" s="1">
        <v>1.0756129270797399E-3</v>
      </c>
      <c r="EX178" s="1">
        <v>1.1828343163538001E-2</v>
      </c>
      <c r="FE178" s="1">
        <v>3.2249730492302001E-3</v>
      </c>
      <c r="FJ178" s="1">
        <v>4.3161933688808099E-3</v>
      </c>
      <c r="FM178" s="1">
        <v>1.8339278473224498E-2</v>
      </c>
    </row>
    <row r="179" spans="1:169" x14ac:dyDescent="0.2">
      <c r="A179" s="1" t="s">
        <v>2158</v>
      </c>
      <c r="B179" s="1" t="s">
        <v>55</v>
      </c>
      <c r="C179" s="1" t="s">
        <v>2159</v>
      </c>
      <c r="D179" s="1" t="s">
        <v>2</v>
      </c>
      <c r="E179" s="1">
        <v>12</v>
      </c>
      <c r="F179" s="1" t="s">
        <v>1373</v>
      </c>
      <c r="H179" s="1" t="s">
        <v>2160</v>
      </c>
      <c r="I179" s="1" t="s">
        <v>7</v>
      </c>
      <c r="J179" s="1" t="s">
        <v>1375</v>
      </c>
      <c r="K179" s="1" t="s">
        <v>1376</v>
      </c>
      <c r="L179" s="1" t="s">
        <v>1375</v>
      </c>
      <c r="O179" s="1">
        <v>1</v>
      </c>
      <c r="P179" s="1" t="s">
        <v>1670</v>
      </c>
      <c r="Q179" s="1">
        <v>2011</v>
      </c>
      <c r="R179" s="1" t="s">
        <v>2153</v>
      </c>
      <c r="S179" s="1" t="s">
        <v>27</v>
      </c>
      <c r="T179" s="38">
        <v>1</v>
      </c>
      <c r="U179" s="1">
        <v>81.2</v>
      </c>
      <c r="W179" s="1">
        <v>2</v>
      </c>
      <c r="Y179" s="1">
        <v>0.60803339541166801</v>
      </c>
      <c r="Z179" s="1">
        <v>0.57071466302795104</v>
      </c>
      <c r="AA179" s="1">
        <v>0.54425194156038104</v>
      </c>
      <c r="AD179" s="1">
        <v>0.86150000000000004</v>
      </c>
      <c r="AF179" s="1">
        <v>0.171362466819727</v>
      </c>
      <c r="AG179" s="1">
        <v>0.37288947474065298</v>
      </c>
      <c r="AU179" s="1">
        <v>3.3844059745637201E-3</v>
      </c>
      <c r="AW179" s="1">
        <v>5.1177460943260297E-2</v>
      </c>
      <c r="AY179" s="1">
        <v>6.84658483148583E-3</v>
      </c>
      <c r="BA179" s="1">
        <v>0.42404543649127302</v>
      </c>
      <c r="BD179" s="1">
        <v>6.8856595847288397E-3</v>
      </c>
      <c r="BG179" s="1">
        <v>0.103536507659285</v>
      </c>
      <c r="BI179" s="1">
        <v>5.1987546849348804E-3</v>
      </c>
      <c r="BJ179" s="1">
        <v>1.7361213440895201E-3</v>
      </c>
      <c r="BK179" s="1">
        <v>3.4781419257168401E-3</v>
      </c>
      <c r="BL179" s="1">
        <v>0</v>
      </c>
      <c r="BM179" s="1">
        <v>1.7443219723303699E-3</v>
      </c>
      <c r="BS179" s="1">
        <v>1.70504442148017E-3</v>
      </c>
      <c r="CA179" s="1">
        <v>7.8939873946199002E-2</v>
      </c>
      <c r="CI179" s="1">
        <v>0.45885916937431598</v>
      </c>
      <c r="CJ179" s="1">
        <v>5.17510341399604E-3</v>
      </c>
      <c r="CZ179" s="1">
        <v>1.3859507157499701E-2</v>
      </c>
      <c r="DD179" s="1">
        <v>1.04319922058642E-2</v>
      </c>
      <c r="DF179" s="1">
        <v>1.74397250859655E-3</v>
      </c>
      <c r="DK179" s="1">
        <v>0.25694359229123698</v>
      </c>
      <c r="DT179" s="1">
        <v>5.5422526813450203E-2</v>
      </c>
      <c r="ED179" s="1">
        <v>1.55147759589765E-2</v>
      </c>
      <c r="EH179" s="1">
        <v>6.7230695822231498E-2</v>
      </c>
      <c r="EK179" s="1">
        <v>1.21202390040215E-2</v>
      </c>
      <c r="EL179" s="1">
        <v>8.6573135743010492E-3</v>
      </c>
      <c r="ET179" s="1">
        <v>1.7232662326847701E-3</v>
      </c>
      <c r="EX179" s="1">
        <v>3.2888340672968197E-2</v>
      </c>
      <c r="FE179" s="1">
        <v>8.6523079858156597E-3</v>
      </c>
      <c r="FJ179" s="1">
        <v>2.9528878582459998E-2</v>
      </c>
      <c r="FM179" s="1">
        <v>5.5570004622234402E-2</v>
      </c>
    </row>
    <row r="180" spans="1:169" x14ac:dyDescent="0.2">
      <c r="A180" s="1" t="s">
        <v>2161</v>
      </c>
      <c r="B180" s="1" t="s">
        <v>55</v>
      </c>
      <c r="C180" s="1" t="s">
        <v>2162</v>
      </c>
      <c r="E180" s="1">
        <v>11</v>
      </c>
      <c r="F180" s="1" t="s">
        <v>2123</v>
      </c>
      <c r="H180" s="1" t="s">
        <v>2163</v>
      </c>
      <c r="I180" s="1" t="s">
        <v>7</v>
      </c>
      <c r="J180" s="1" t="s">
        <v>2164</v>
      </c>
      <c r="K180" s="1" t="s">
        <v>2127</v>
      </c>
      <c r="L180" s="1" t="s">
        <v>2164</v>
      </c>
      <c r="M180" s="1" t="s">
        <v>2165</v>
      </c>
      <c r="O180" s="1">
        <v>1</v>
      </c>
      <c r="P180" s="1" t="s">
        <v>1269</v>
      </c>
      <c r="Q180" s="1">
        <v>2010</v>
      </c>
      <c r="R180" s="1" t="s">
        <v>2166</v>
      </c>
      <c r="S180" s="1" t="s">
        <v>27</v>
      </c>
      <c r="T180" s="38">
        <v>1</v>
      </c>
      <c r="V180" s="1">
        <v>2.9</v>
      </c>
      <c r="Y180" s="1">
        <v>0.79327420000000004</v>
      </c>
      <c r="Z180" s="1">
        <v>0.77034720000000001</v>
      </c>
      <c r="AA180" s="1">
        <v>0.57546770000000003</v>
      </c>
      <c r="AD180" s="1">
        <v>0.79058620689655201</v>
      </c>
      <c r="AW180" s="1">
        <v>4.8146700000000001E-2</v>
      </c>
      <c r="AY180" s="1">
        <v>2.5219700000000001E-2</v>
      </c>
      <c r="BA180" s="1">
        <v>0.55483340000000003</v>
      </c>
      <c r="BG180" s="1">
        <v>0.12380579999999999</v>
      </c>
      <c r="BI180" s="1">
        <v>4.1268600000000003E-2</v>
      </c>
      <c r="CA180" s="1">
        <v>9.8586099999999996E-2</v>
      </c>
      <c r="CK180" s="1">
        <v>0.62132169999999998</v>
      </c>
      <c r="CM180" s="1">
        <v>5.0439400000000002E-2</v>
      </c>
      <c r="DN180" s="1">
        <v>0.3255634</v>
      </c>
      <c r="EH180" s="1">
        <v>6.64883E-2</v>
      </c>
      <c r="FE180" s="1">
        <v>3.6683199999999999E-2</v>
      </c>
      <c r="FJ180" s="1">
        <v>2.2926999999999999E-2</v>
      </c>
      <c r="FM180" s="1">
        <v>0.12380579999999999</v>
      </c>
    </row>
    <row r="181" spans="1:169" x14ac:dyDescent="0.2">
      <c r="A181" s="1" t="s">
        <v>2167</v>
      </c>
      <c r="B181" s="1" t="s">
        <v>55</v>
      </c>
      <c r="C181" s="1" t="s">
        <v>2162</v>
      </c>
      <c r="E181" s="1">
        <v>11</v>
      </c>
      <c r="F181" s="1" t="s">
        <v>2138</v>
      </c>
      <c r="H181" s="1" t="s">
        <v>2168</v>
      </c>
      <c r="I181" s="1" t="s">
        <v>7</v>
      </c>
      <c r="J181" s="1" t="s">
        <v>2141</v>
      </c>
      <c r="K181" s="1" t="s">
        <v>2142</v>
      </c>
      <c r="L181" s="1" t="s">
        <v>2141</v>
      </c>
      <c r="M181" s="1" t="s">
        <v>2165</v>
      </c>
      <c r="O181" s="1">
        <v>1</v>
      </c>
      <c r="P181" s="1" t="s">
        <v>1269</v>
      </c>
      <c r="Q181" s="1">
        <v>2010</v>
      </c>
      <c r="R181" s="1" t="s">
        <v>2166</v>
      </c>
      <c r="S181" s="1" t="s">
        <v>27</v>
      </c>
      <c r="T181" s="38">
        <v>1</v>
      </c>
      <c r="V181" s="1">
        <v>1.2</v>
      </c>
      <c r="Y181" s="1">
        <v>0.27204099999999998</v>
      </c>
      <c r="Z181" s="1">
        <v>0.16181139999999999</v>
      </c>
      <c r="AA181" s="1">
        <v>0.166051</v>
      </c>
      <c r="AD181" s="1">
        <v>0.58883333333333299</v>
      </c>
      <c r="AW181" s="1">
        <v>2.5437600000000001E-2</v>
      </c>
      <c r="AY181" s="1">
        <v>3.3210200000000002E-2</v>
      </c>
      <c r="BA181" s="1">
        <v>0.17029059999999999</v>
      </c>
      <c r="BG181" s="1">
        <v>4.3102599999999998E-2</v>
      </c>
      <c r="CA181" s="1">
        <v>5.1581799999999997E-2</v>
      </c>
      <c r="CK181" s="1">
        <v>9.0444800000000006E-2</v>
      </c>
      <c r="CM181" s="1">
        <v>1.9784800000000002E-2</v>
      </c>
      <c r="DN181" s="1">
        <v>3.0383799999999999E-2</v>
      </c>
      <c r="EH181" s="1">
        <v>3.9569600000000003E-2</v>
      </c>
      <c r="FE181" s="1">
        <v>3.7449799999999998E-2</v>
      </c>
      <c r="FJ181" s="1">
        <v>1.4132E-2</v>
      </c>
      <c r="FM181" s="1">
        <v>4.4515800000000001E-2</v>
      </c>
    </row>
    <row r="182" spans="1:169" x14ac:dyDescent="0.2">
      <c r="A182" s="1" t="s">
        <v>2169</v>
      </c>
      <c r="B182" s="1" t="s">
        <v>55</v>
      </c>
      <c r="C182" s="1" t="s">
        <v>2162</v>
      </c>
      <c r="E182" s="1">
        <v>11</v>
      </c>
      <c r="F182" s="1" t="s">
        <v>2131</v>
      </c>
      <c r="H182" s="1" t="s">
        <v>2170</v>
      </c>
      <c r="I182" s="1" t="s">
        <v>7</v>
      </c>
      <c r="J182" s="1" t="s">
        <v>2134</v>
      </c>
      <c r="K182" s="1" t="s">
        <v>2135</v>
      </c>
      <c r="L182" s="1" t="s">
        <v>2134</v>
      </c>
      <c r="M182" s="1" t="s">
        <v>2165</v>
      </c>
      <c r="O182" s="1">
        <v>1</v>
      </c>
      <c r="P182" s="1" t="s">
        <v>1269</v>
      </c>
      <c r="Q182" s="1">
        <v>2010</v>
      </c>
      <c r="R182" s="1" t="s">
        <v>2166</v>
      </c>
      <c r="S182" s="1" t="s">
        <v>27</v>
      </c>
      <c r="T182" s="38">
        <v>1</v>
      </c>
      <c r="V182" s="1">
        <v>1.8</v>
      </c>
      <c r="Y182" s="1">
        <v>0.49896160000000001</v>
      </c>
      <c r="Z182" s="1">
        <v>0.43944080000000002</v>
      </c>
      <c r="AA182" s="1">
        <v>0.15323439999999999</v>
      </c>
      <c r="AD182" s="1">
        <v>0.70355555555555604</v>
      </c>
      <c r="AW182" s="1">
        <v>6.20536E-2</v>
      </c>
      <c r="AY182" s="1">
        <v>4.8123199999999998E-2</v>
      </c>
      <c r="BA182" s="1">
        <v>0.322932</v>
      </c>
      <c r="BG182" s="1">
        <v>4.6856799999999997E-2</v>
      </c>
      <c r="BI182" s="1">
        <v>1.8995999999999999E-2</v>
      </c>
      <c r="CA182" s="1">
        <v>0.1570336</v>
      </c>
      <c r="CK182" s="1">
        <v>0.2013576</v>
      </c>
      <c r="CM182" s="1">
        <v>8.1049599999999999E-2</v>
      </c>
      <c r="DN182" s="1">
        <v>3.03936E-2</v>
      </c>
      <c r="EH182" s="1">
        <v>4.05248E-2</v>
      </c>
      <c r="FE182" s="1">
        <v>2.6594400000000001E-2</v>
      </c>
      <c r="FJ182" s="1">
        <v>1.6463200000000001E-2</v>
      </c>
      <c r="FM182" s="1">
        <v>3.9258399999999999E-2</v>
      </c>
    </row>
    <row r="183" spans="1:169" x14ac:dyDescent="0.2">
      <c r="A183" s="1" t="s">
        <v>2171</v>
      </c>
      <c r="B183" s="1" t="s">
        <v>55</v>
      </c>
      <c r="C183" s="1" t="s">
        <v>2162</v>
      </c>
      <c r="E183" s="1">
        <v>12</v>
      </c>
      <c r="F183" s="1" t="s">
        <v>1550</v>
      </c>
      <c r="H183" s="1" t="s">
        <v>2172</v>
      </c>
      <c r="I183" s="1" t="s">
        <v>7</v>
      </c>
      <c r="J183" s="1" t="s">
        <v>1552</v>
      </c>
      <c r="K183" s="1" t="s">
        <v>1553</v>
      </c>
      <c r="L183" s="1" t="s">
        <v>1552</v>
      </c>
      <c r="M183" s="1" t="s">
        <v>2165</v>
      </c>
      <c r="O183" s="1">
        <v>1</v>
      </c>
      <c r="P183" s="1" t="s">
        <v>1269</v>
      </c>
      <c r="Q183" s="1">
        <v>2010</v>
      </c>
      <c r="R183" s="1" t="s">
        <v>2166</v>
      </c>
      <c r="S183" s="1" t="s">
        <v>27</v>
      </c>
      <c r="T183" s="38">
        <v>1</v>
      </c>
      <c r="V183" s="1">
        <v>0.8</v>
      </c>
      <c r="Y183" s="1">
        <v>0.11669</v>
      </c>
      <c r="Z183" s="1">
        <v>6.6680000000000003E-2</v>
      </c>
      <c r="AA183" s="1">
        <v>0.118357</v>
      </c>
      <c r="AD183" s="1">
        <v>0.41675000000000001</v>
      </c>
      <c r="AW183" s="1">
        <v>1.3336000000000001E-2</v>
      </c>
      <c r="BA183" s="1">
        <v>8.8350999999999999E-2</v>
      </c>
      <c r="BG183" s="1">
        <v>1.5003000000000001E-2</v>
      </c>
      <c r="CA183" s="1">
        <v>4.7676200000000002E-2</v>
      </c>
      <c r="CK183" s="1">
        <v>9.0018000000000008E-3</v>
      </c>
      <c r="CM183" s="1">
        <v>1.0002E-2</v>
      </c>
      <c r="DN183" s="1">
        <v>1.6003199999999999E-2</v>
      </c>
      <c r="EH183" s="1">
        <v>4.0674799999999997E-2</v>
      </c>
      <c r="FE183" s="1">
        <v>1.7003399999999998E-2</v>
      </c>
      <c r="FJ183" s="1">
        <v>2.1337600000000002E-2</v>
      </c>
      <c r="FM183" s="1">
        <v>2.3338000000000001E-2</v>
      </c>
    </row>
    <row r="184" spans="1:169" x14ac:dyDescent="0.2">
      <c r="A184" s="1" t="s">
        <v>2173</v>
      </c>
      <c r="B184" s="1" t="s">
        <v>55</v>
      </c>
      <c r="C184" s="1" t="s">
        <v>2162</v>
      </c>
      <c r="E184" s="1">
        <v>11</v>
      </c>
      <c r="F184" s="1" t="s">
        <v>1389</v>
      </c>
      <c r="H184" s="1" t="s">
        <v>2174</v>
      </c>
      <c r="I184" s="1" t="s">
        <v>7</v>
      </c>
      <c r="J184" s="1" t="s">
        <v>1392</v>
      </c>
      <c r="K184" s="1" t="s">
        <v>1393</v>
      </c>
      <c r="L184" s="1" t="s">
        <v>1392</v>
      </c>
      <c r="M184" s="1" t="s">
        <v>2165</v>
      </c>
      <c r="O184" s="1">
        <v>1</v>
      </c>
      <c r="P184" s="1" t="s">
        <v>1269</v>
      </c>
      <c r="Q184" s="1">
        <v>2010</v>
      </c>
      <c r="R184" s="1" t="s">
        <v>2166</v>
      </c>
      <c r="S184" s="1" t="s">
        <v>27</v>
      </c>
      <c r="T184" s="38">
        <v>1</v>
      </c>
      <c r="V184" s="1">
        <v>3.8</v>
      </c>
      <c r="Y184" s="1">
        <v>0.72984919999999998</v>
      </c>
      <c r="Z184" s="1">
        <v>0.58262639999999999</v>
      </c>
      <c r="AA184" s="1">
        <v>1.1965768000000001</v>
      </c>
      <c r="AD184" s="1">
        <v>0.824315789473684</v>
      </c>
      <c r="BA184" s="1">
        <v>0.5043164</v>
      </c>
      <c r="BG184" s="1">
        <v>0.2224004</v>
      </c>
      <c r="CA184" s="1">
        <v>8.4574800000000006E-2</v>
      </c>
      <c r="CK184" s="1">
        <v>0.4009472</v>
      </c>
      <c r="CM184" s="1">
        <v>9.7104399999999993E-2</v>
      </c>
      <c r="DN184" s="1">
        <v>0.30384280000000002</v>
      </c>
      <c r="EH184" s="1">
        <v>0.40407959999999998</v>
      </c>
      <c r="FE184" s="1">
        <v>0.15975239999999999</v>
      </c>
      <c r="FJ184" s="1">
        <v>9.0839600000000006E-2</v>
      </c>
      <c r="FM184" s="1">
        <v>0.23806240000000001</v>
      </c>
    </row>
    <row r="185" spans="1:169" x14ac:dyDescent="0.2">
      <c r="A185" s="1" t="s">
        <v>2175</v>
      </c>
      <c r="B185" s="1" t="s">
        <v>55</v>
      </c>
      <c r="C185" s="1" t="s">
        <v>2176</v>
      </c>
      <c r="D185" s="1" t="s">
        <v>2</v>
      </c>
      <c r="E185" s="1">
        <v>33</v>
      </c>
      <c r="F185" s="1" t="s">
        <v>2177</v>
      </c>
      <c r="H185" s="1" t="s">
        <v>2178</v>
      </c>
      <c r="I185" s="1" t="s">
        <v>7</v>
      </c>
      <c r="J185" s="1" t="s">
        <v>2179</v>
      </c>
      <c r="K185" s="1" t="s">
        <v>2180</v>
      </c>
      <c r="L185" s="1" t="s">
        <v>2179</v>
      </c>
      <c r="N185" s="1" t="s">
        <v>2181</v>
      </c>
      <c r="O185" s="1">
        <v>6</v>
      </c>
      <c r="Q185" s="1">
        <v>2009</v>
      </c>
      <c r="R185" s="1" t="s">
        <v>2182</v>
      </c>
      <c r="S185" s="1" t="s">
        <v>27</v>
      </c>
      <c r="T185" s="38">
        <v>1</v>
      </c>
      <c r="U185" s="1">
        <v>74.92</v>
      </c>
      <c r="V185" s="1">
        <v>1.23</v>
      </c>
      <c r="Y185" s="1">
        <v>0.373</v>
      </c>
      <c r="Z185" s="1">
        <v>0.30399999999999999</v>
      </c>
      <c r="AA185" s="1">
        <v>0.53300000000000003</v>
      </c>
      <c r="AW185" s="1">
        <v>5.2999999999999999E-2</v>
      </c>
      <c r="AY185" s="1">
        <v>4.0000000000000001E-3</v>
      </c>
      <c r="BA185" s="1">
        <v>0.22700000000000001</v>
      </c>
      <c r="BD185" s="1">
        <v>7.0000000000000001E-3</v>
      </c>
      <c r="BG185" s="1">
        <v>7.5999999999999998E-2</v>
      </c>
      <c r="BM185" s="1">
        <v>6.0000000000000001E-3</v>
      </c>
      <c r="BZ185" s="1">
        <v>5.3999999999999999E-2</v>
      </c>
      <c r="CK185" s="1">
        <v>0.183</v>
      </c>
      <c r="CM185" s="1">
        <v>3.5000000000000003E-2</v>
      </c>
      <c r="CV185" s="1">
        <v>1.9E-2</v>
      </c>
      <c r="DA185" s="1">
        <v>8.0000000000000002E-3</v>
      </c>
      <c r="DB185" s="1">
        <v>5.0000000000000001E-3</v>
      </c>
      <c r="DN185" s="1">
        <v>0.13</v>
      </c>
      <c r="DT185" s="1">
        <v>7.0000000000000001E-3</v>
      </c>
      <c r="EH185" s="1">
        <v>2.3E-2</v>
      </c>
      <c r="ET185" s="1">
        <v>0.01</v>
      </c>
      <c r="EX185" s="1">
        <v>1.2E-2</v>
      </c>
      <c r="FE185" s="1">
        <v>8.3000000000000004E-2</v>
      </c>
      <c r="FJ185" s="1">
        <v>6.2E-2</v>
      </c>
      <c r="FM185" s="1">
        <v>0.20799999999999999</v>
      </c>
    </row>
    <row r="186" spans="1:169" x14ac:dyDescent="0.2">
      <c r="A186" s="1" t="s">
        <v>2183</v>
      </c>
      <c r="B186" s="1" t="s">
        <v>55</v>
      </c>
      <c r="C186" s="1" t="s">
        <v>2176</v>
      </c>
      <c r="D186" s="1" t="s">
        <v>2</v>
      </c>
      <c r="E186" s="1">
        <v>33</v>
      </c>
      <c r="F186" s="1" t="s">
        <v>2177</v>
      </c>
      <c r="H186" s="1" t="s">
        <v>2184</v>
      </c>
      <c r="I186" s="1" t="s">
        <v>7</v>
      </c>
      <c r="J186" s="1" t="s">
        <v>2179</v>
      </c>
      <c r="K186" s="1" t="s">
        <v>2180</v>
      </c>
      <c r="L186" s="1" t="s">
        <v>2179</v>
      </c>
      <c r="N186" s="1" t="s">
        <v>2181</v>
      </c>
      <c r="O186" s="1">
        <v>6</v>
      </c>
      <c r="Q186" s="1">
        <v>2009</v>
      </c>
      <c r="R186" s="1" t="s">
        <v>2182</v>
      </c>
      <c r="S186" s="1" t="s">
        <v>27</v>
      </c>
      <c r="T186" s="38">
        <v>1</v>
      </c>
      <c r="U186" s="1">
        <v>73.97</v>
      </c>
      <c r="V186" s="1">
        <v>1.53</v>
      </c>
      <c r="Y186" s="1">
        <v>0.47</v>
      </c>
      <c r="Z186" s="1">
        <v>0.38500000000000001</v>
      </c>
      <c r="AA186" s="1">
        <v>0.65400000000000003</v>
      </c>
      <c r="AW186" s="1">
        <v>6.5000000000000002E-2</v>
      </c>
      <c r="AY186" s="1">
        <v>5.0000000000000001E-3</v>
      </c>
      <c r="BA186" s="1">
        <v>0.28499999999999998</v>
      </c>
      <c r="BD186" s="1">
        <v>0.01</v>
      </c>
      <c r="BG186" s="1">
        <v>9.6000000000000002E-2</v>
      </c>
      <c r="BM186" s="1">
        <v>8.9999999999999993E-3</v>
      </c>
      <c r="BZ186" s="1">
        <v>6.7000000000000004E-2</v>
      </c>
      <c r="CK186" s="1">
        <v>0.23499999999999999</v>
      </c>
      <c r="CM186" s="1">
        <v>4.2999999999999997E-2</v>
      </c>
      <c r="CV186" s="1">
        <v>2.4E-2</v>
      </c>
      <c r="DA186" s="1">
        <v>0.01</v>
      </c>
      <c r="DB186" s="1">
        <v>6.0000000000000001E-3</v>
      </c>
      <c r="DN186" s="1">
        <v>0.14899999999999999</v>
      </c>
      <c r="DT186" s="1">
        <v>8.0000000000000002E-3</v>
      </c>
      <c r="EH186" s="1">
        <v>2.4E-2</v>
      </c>
      <c r="ET186" s="1">
        <v>1.2E-2</v>
      </c>
      <c r="EX186" s="1">
        <v>1.9E-2</v>
      </c>
      <c r="FE186" s="1">
        <v>0.10100000000000001</v>
      </c>
      <c r="FJ186" s="1">
        <v>7.2999999999999995E-2</v>
      </c>
      <c r="FM186" s="1">
        <v>0.26800000000000002</v>
      </c>
    </row>
    <row r="187" spans="1:169" x14ac:dyDescent="0.2">
      <c r="A187" s="1" t="s">
        <v>2185</v>
      </c>
      <c r="B187" s="1" t="s">
        <v>55</v>
      </c>
      <c r="C187" s="1" t="s">
        <v>2176</v>
      </c>
      <c r="D187" s="1" t="s">
        <v>2</v>
      </c>
      <c r="E187" s="1">
        <v>33</v>
      </c>
      <c r="F187" s="1" t="s">
        <v>2177</v>
      </c>
      <c r="H187" s="1" t="s">
        <v>2186</v>
      </c>
      <c r="I187" s="1" t="s">
        <v>7</v>
      </c>
      <c r="J187" s="1" t="s">
        <v>2179</v>
      </c>
      <c r="K187" s="1" t="s">
        <v>2180</v>
      </c>
      <c r="L187" s="1" t="s">
        <v>2179</v>
      </c>
      <c r="N187" s="1" t="s">
        <v>2181</v>
      </c>
      <c r="O187" s="1">
        <v>6</v>
      </c>
      <c r="Q187" s="1">
        <v>2009</v>
      </c>
      <c r="R187" s="1" t="s">
        <v>2182</v>
      </c>
      <c r="S187" s="1" t="s">
        <v>27</v>
      </c>
      <c r="T187" s="38">
        <v>1</v>
      </c>
      <c r="U187" s="1">
        <v>75.72</v>
      </c>
      <c r="V187" s="1">
        <v>1.1599999999999999</v>
      </c>
      <c r="Y187" s="1">
        <v>0.35099999999999998</v>
      </c>
      <c r="Z187" s="1">
        <v>0.27200000000000002</v>
      </c>
      <c r="AA187" s="1">
        <v>0.51600000000000001</v>
      </c>
      <c r="AW187" s="1">
        <v>4.5999999999999999E-2</v>
      </c>
      <c r="AY187" s="1">
        <v>4.0000000000000001E-3</v>
      </c>
      <c r="BA187" s="1">
        <v>0.219</v>
      </c>
      <c r="BD187" s="1">
        <v>6.0000000000000001E-3</v>
      </c>
      <c r="BG187" s="1">
        <v>7.0999999999999994E-2</v>
      </c>
      <c r="BM187" s="1">
        <v>5.0000000000000001E-3</v>
      </c>
      <c r="BZ187" s="1">
        <v>4.8000000000000001E-2</v>
      </c>
      <c r="CK187" s="1">
        <v>0.16400000000000001</v>
      </c>
      <c r="CM187" s="1">
        <v>3.2000000000000001E-2</v>
      </c>
      <c r="CV187" s="1">
        <v>1.7000000000000001E-2</v>
      </c>
      <c r="DA187" s="1">
        <v>8.0000000000000002E-3</v>
      </c>
      <c r="DB187" s="1">
        <v>4.0000000000000001E-3</v>
      </c>
      <c r="DN187" s="1">
        <v>0.11700000000000001</v>
      </c>
      <c r="DT187" s="1">
        <v>6.0000000000000001E-3</v>
      </c>
      <c r="EH187" s="1">
        <v>1.9E-2</v>
      </c>
      <c r="ET187" s="1">
        <v>8.0000000000000002E-3</v>
      </c>
      <c r="EX187" s="1">
        <v>1.2999999999999999E-2</v>
      </c>
      <c r="FE187" s="1">
        <v>0.08</v>
      </c>
      <c r="FJ187" s="1">
        <v>5.6000000000000001E-2</v>
      </c>
      <c r="FM187" s="1">
        <v>0.216</v>
      </c>
    </row>
    <row r="188" spans="1:169" x14ac:dyDescent="0.2">
      <c r="A188" s="1" t="s">
        <v>2187</v>
      </c>
      <c r="B188" s="1" t="s">
        <v>55</v>
      </c>
      <c r="C188" s="1" t="s">
        <v>2188</v>
      </c>
      <c r="D188" s="1" t="s">
        <v>2</v>
      </c>
      <c r="E188" s="1">
        <v>31</v>
      </c>
      <c r="F188" s="1" t="s">
        <v>2189</v>
      </c>
      <c r="H188" s="1" t="s">
        <v>2190</v>
      </c>
      <c r="I188" s="1" t="s">
        <v>7</v>
      </c>
      <c r="J188" s="1" t="s">
        <v>2191</v>
      </c>
      <c r="K188" s="1" t="s">
        <v>2192</v>
      </c>
      <c r="L188" s="1" t="s">
        <v>2191</v>
      </c>
      <c r="M188" s="1" t="s">
        <v>480</v>
      </c>
      <c r="N188" s="1" t="s">
        <v>2193</v>
      </c>
      <c r="P188" s="1" t="s">
        <v>2194</v>
      </c>
      <c r="Q188" s="1">
        <v>2003</v>
      </c>
      <c r="R188" s="1" t="s">
        <v>2195</v>
      </c>
      <c r="S188" s="1" t="s">
        <v>27</v>
      </c>
      <c r="T188" s="38">
        <v>1</v>
      </c>
      <c r="U188" s="1">
        <v>76.099999999999994</v>
      </c>
      <c r="W188" s="1">
        <v>3.9</v>
      </c>
      <c r="AA188" s="1">
        <v>1.18</v>
      </c>
      <c r="AF188" s="1">
        <v>0.83</v>
      </c>
      <c r="AG188" s="1">
        <v>0.35</v>
      </c>
      <c r="AW188" s="1">
        <v>0.16</v>
      </c>
      <c r="BA188" s="1">
        <v>0.53</v>
      </c>
      <c r="BG188" s="1">
        <v>0.1</v>
      </c>
      <c r="BZ188" s="1">
        <v>0.2</v>
      </c>
      <c r="CK188" s="1">
        <v>0.64</v>
      </c>
      <c r="CM188" s="1">
        <v>0.11</v>
      </c>
      <c r="CZ188" s="1">
        <v>0.28999999999999998</v>
      </c>
      <c r="DD188" s="1">
        <v>0.32</v>
      </c>
      <c r="DN188" s="1">
        <v>0.34</v>
      </c>
      <c r="EH188" s="1">
        <v>7.0000000000000007E-2</v>
      </c>
      <c r="ET188" s="1">
        <v>7.0000000000000007E-2</v>
      </c>
      <c r="EX188" s="1">
        <v>0.02</v>
      </c>
      <c r="FE188" s="1">
        <v>0.22</v>
      </c>
      <c r="FJ188" s="1">
        <v>0.04</v>
      </c>
      <c r="FM188" s="1">
        <v>0.43</v>
      </c>
    </row>
    <row r="189" spans="1:169" x14ac:dyDescent="0.2">
      <c r="A189" s="1" t="s">
        <v>2196</v>
      </c>
      <c r="B189" s="1" t="s">
        <v>55</v>
      </c>
      <c r="C189" s="1" t="s">
        <v>1701</v>
      </c>
      <c r="D189" s="1" t="s">
        <v>2</v>
      </c>
      <c r="E189" s="1">
        <v>23</v>
      </c>
      <c r="F189" s="1" t="s">
        <v>1710</v>
      </c>
      <c r="H189" s="1" t="s">
        <v>2197</v>
      </c>
      <c r="I189" s="1" t="s">
        <v>7</v>
      </c>
      <c r="J189" s="1" t="s">
        <v>1712</v>
      </c>
      <c r="K189" s="1" t="s">
        <v>1713</v>
      </c>
      <c r="L189" s="1" t="s">
        <v>1712</v>
      </c>
      <c r="M189" s="1" t="s">
        <v>2198</v>
      </c>
      <c r="P189" s="1" t="s">
        <v>1269</v>
      </c>
      <c r="Q189" s="1">
        <v>2010</v>
      </c>
      <c r="R189" s="1" t="s">
        <v>2199</v>
      </c>
      <c r="S189" s="1" t="s">
        <v>27</v>
      </c>
      <c r="T189" s="38">
        <v>1</v>
      </c>
      <c r="U189" s="1">
        <v>63.86</v>
      </c>
      <c r="V189" s="1">
        <v>21.61</v>
      </c>
      <c r="Y189" s="1">
        <v>5.5993506609999999</v>
      </c>
      <c r="Z189" s="1">
        <v>8.7683789399999998</v>
      </c>
      <c r="AA189" s="1">
        <v>5.6514003989999999</v>
      </c>
      <c r="AD189" s="1">
        <v>0.92638269319759403</v>
      </c>
      <c r="AW189" s="1">
        <v>0.74871546200000005</v>
      </c>
      <c r="AY189" s="1">
        <v>5.0047824999999997E-2</v>
      </c>
      <c r="BA189" s="1">
        <v>3.5834242700000001</v>
      </c>
      <c r="BD189" s="1">
        <v>6.4061216000000004E-2</v>
      </c>
      <c r="BG189" s="1">
        <v>1.053006238</v>
      </c>
      <c r="BI189" s="1">
        <v>7.0066955E-2</v>
      </c>
      <c r="BJ189" s="1">
        <v>1.2011478000000001E-2</v>
      </c>
      <c r="BK189" s="1">
        <v>2.8026782E-2</v>
      </c>
      <c r="BM189" s="1">
        <v>4.0038260000000003E-3</v>
      </c>
      <c r="BS189" s="1">
        <v>2.6024868999999999E-2</v>
      </c>
      <c r="BV189" s="1">
        <v>1.0009565E-2</v>
      </c>
      <c r="CA189" s="1">
        <v>1.395333361</v>
      </c>
      <c r="CF189" s="1">
        <v>0.106101389</v>
      </c>
      <c r="CM189" s="1">
        <v>0.45643616399999998</v>
      </c>
      <c r="CQ189" s="1">
        <v>6.4781904680000002</v>
      </c>
      <c r="CZ189" s="1">
        <v>0.234223821</v>
      </c>
      <c r="DD189" s="1">
        <v>2.8026782E-2</v>
      </c>
      <c r="DF189" s="1">
        <v>3.6034433999999997E-2</v>
      </c>
      <c r="DK189" s="1">
        <v>1.909825002</v>
      </c>
      <c r="DM189" s="1">
        <v>1.8017216999999999E-2</v>
      </c>
      <c r="DT189" s="1">
        <v>5.8055477000000001E-2</v>
      </c>
      <c r="DY189" s="1">
        <v>8.0076520000000005E-3</v>
      </c>
      <c r="ED189" s="1">
        <v>9.2087998000000004E-2</v>
      </c>
      <c r="EH189" s="1">
        <v>0.19018173499999999</v>
      </c>
      <c r="EK189" s="1">
        <v>5.6053564E-2</v>
      </c>
      <c r="EL189" s="1">
        <v>1.2011478000000001E-2</v>
      </c>
      <c r="EX189" s="1">
        <v>0.13813199700000001</v>
      </c>
      <c r="FE189" s="1">
        <v>1.1410904100000001</v>
      </c>
      <c r="FJ189" s="1">
        <v>0.55853372700000004</v>
      </c>
      <c r="FM189" s="1">
        <v>1.4734079680000001</v>
      </c>
    </row>
    <row r="190" spans="1:169" x14ac:dyDescent="0.2">
      <c r="A190" s="1" t="s">
        <v>2200</v>
      </c>
      <c r="B190" s="1" t="s">
        <v>55</v>
      </c>
      <c r="C190" s="1" t="s">
        <v>1701</v>
      </c>
      <c r="D190" s="1" t="s">
        <v>2</v>
      </c>
      <c r="E190" s="1">
        <v>23</v>
      </c>
      <c r="F190" s="1" t="s">
        <v>1710</v>
      </c>
      <c r="H190" s="1" t="s">
        <v>2201</v>
      </c>
      <c r="I190" s="1" t="s">
        <v>11</v>
      </c>
      <c r="J190" s="1" t="s">
        <v>1712</v>
      </c>
      <c r="K190" s="1" t="s">
        <v>1713</v>
      </c>
      <c r="L190" s="1" t="s">
        <v>1712</v>
      </c>
      <c r="M190" s="1" t="s">
        <v>2198</v>
      </c>
      <c r="N190" s="1" t="s">
        <v>2202</v>
      </c>
      <c r="P190" s="1" t="s">
        <v>1269</v>
      </c>
      <c r="Q190" s="1">
        <v>2010</v>
      </c>
      <c r="R190" s="1" t="s">
        <v>2199</v>
      </c>
      <c r="S190" s="1" t="s">
        <v>27</v>
      </c>
      <c r="T190" s="38">
        <v>1</v>
      </c>
      <c r="U190" s="1">
        <v>63.36</v>
      </c>
      <c r="V190" s="1">
        <v>18.02</v>
      </c>
      <c r="Y190" s="1">
        <v>4.6091609900000003</v>
      </c>
      <c r="Z190" s="1">
        <v>7.314646808</v>
      </c>
      <c r="AA190" s="1">
        <v>4.7475191680000002</v>
      </c>
      <c r="AD190" s="1">
        <v>0.92506437291897903</v>
      </c>
      <c r="AW190" s="1">
        <v>0.63011314799999996</v>
      </c>
      <c r="AY190" s="1">
        <v>4.167415E-2</v>
      </c>
      <c r="BA190" s="1">
        <v>2.9405280239999998</v>
      </c>
      <c r="BD190" s="1">
        <v>5.3342911999999999E-2</v>
      </c>
      <c r="BG190" s="1">
        <v>0.86348838800000005</v>
      </c>
      <c r="BI190" s="1">
        <v>2.6671456E-2</v>
      </c>
      <c r="BJ190" s="1">
        <v>8.3348299999999997E-3</v>
      </c>
      <c r="BK190" s="1">
        <v>1.5002694E-2</v>
      </c>
      <c r="BM190" s="1">
        <v>1.0001796E-2</v>
      </c>
      <c r="BS190" s="1">
        <v>2.0003592000000001E-2</v>
      </c>
      <c r="BV190" s="1">
        <v>8.3348299999999997E-3</v>
      </c>
      <c r="CA190" s="1">
        <v>1.151873506</v>
      </c>
      <c r="CF190" s="1">
        <v>8.8349198000000004E-2</v>
      </c>
      <c r="CM190" s="1">
        <v>0.37340038399999997</v>
      </c>
      <c r="CQ190" s="1">
        <v>5.3309572679999997</v>
      </c>
      <c r="CZ190" s="1">
        <v>0.29005208399999999</v>
      </c>
      <c r="DD190" s="1">
        <v>2.3337523999999998E-2</v>
      </c>
      <c r="DF190" s="1">
        <v>2.5004490000000001E-2</v>
      </c>
      <c r="DK190" s="1">
        <v>1.606955224</v>
      </c>
      <c r="DM190" s="1">
        <v>2.6671456E-2</v>
      </c>
      <c r="DT190" s="1">
        <v>4.8342014000000003E-2</v>
      </c>
      <c r="DY190" s="1">
        <v>3.1672354E-2</v>
      </c>
      <c r="ED190" s="1">
        <v>7.8347401999999997E-2</v>
      </c>
      <c r="EH190" s="1">
        <v>0.173364464</v>
      </c>
      <c r="EK190" s="1">
        <v>4.6675047999999997E-2</v>
      </c>
      <c r="EL190" s="1">
        <v>8.3348299999999997E-3</v>
      </c>
      <c r="EX190" s="1">
        <v>0.118354586</v>
      </c>
      <c r="FE190" s="1">
        <v>0.93016702799999995</v>
      </c>
      <c r="FJ190" s="1">
        <v>0.44007902399999999</v>
      </c>
      <c r="FM190" s="1">
        <v>7.5013469999999999E-2</v>
      </c>
    </row>
    <row r="191" spans="1:169" x14ac:dyDescent="0.2">
      <c r="A191" s="1" t="s">
        <v>2203</v>
      </c>
      <c r="B191" s="1" t="s">
        <v>55</v>
      </c>
      <c r="C191" s="1" t="s">
        <v>1701</v>
      </c>
      <c r="D191" s="1" t="s">
        <v>2</v>
      </c>
      <c r="E191" s="1">
        <v>23</v>
      </c>
      <c r="F191" s="1" t="s">
        <v>1710</v>
      </c>
      <c r="H191" s="1" t="s">
        <v>2204</v>
      </c>
      <c r="I191" s="1" t="s">
        <v>11</v>
      </c>
      <c r="J191" s="1" t="s">
        <v>1712</v>
      </c>
      <c r="K191" s="1" t="s">
        <v>1713</v>
      </c>
      <c r="L191" s="1" t="s">
        <v>1712</v>
      </c>
      <c r="M191" s="1" t="s">
        <v>2198</v>
      </c>
      <c r="N191" s="1" t="s">
        <v>2205</v>
      </c>
      <c r="P191" s="1" t="s">
        <v>1269</v>
      </c>
      <c r="Q191" s="1">
        <v>2010</v>
      </c>
      <c r="R191" s="1" t="s">
        <v>2199</v>
      </c>
      <c r="S191" s="1" t="s">
        <v>27</v>
      </c>
      <c r="T191" s="38">
        <v>1</v>
      </c>
      <c r="U191" s="1">
        <v>60.71</v>
      </c>
      <c r="V191" s="1">
        <v>21.2</v>
      </c>
      <c r="Y191" s="1">
        <v>5.3391915399999998</v>
      </c>
      <c r="Z191" s="1">
        <v>8.7481053000000006</v>
      </c>
      <c r="AA191" s="1">
        <v>5.5473394999999996</v>
      </c>
      <c r="AD191" s="1">
        <v>0.92625471698113204</v>
      </c>
      <c r="AW191" s="1">
        <v>0.73048152</v>
      </c>
      <c r="AY191" s="1">
        <v>4.7127839999999997E-2</v>
      </c>
      <c r="BA191" s="1">
        <v>3.3971317999999999</v>
      </c>
      <c r="BD191" s="1">
        <v>6.0873459999999997E-2</v>
      </c>
      <c r="BG191" s="1">
        <v>1.0132485600000001</v>
      </c>
      <c r="BI191" s="1">
        <v>2.9454899999999999E-2</v>
      </c>
      <c r="BJ191" s="1">
        <v>1.1781959999999999E-2</v>
      </c>
      <c r="BK191" s="1">
        <v>1.9636600000000001E-2</v>
      </c>
      <c r="BM191" s="1">
        <v>1.9636599999999999E-3</v>
      </c>
      <c r="BS191" s="1">
        <v>2.749124E-2</v>
      </c>
      <c r="BV191" s="1">
        <v>9.8183000000000003E-3</v>
      </c>
      <c r="CA191" s="1">
        <v>1.3608163799999999</v>
      </c>
      <c r="CF191" s="1">
        <v>0.10407398</v>
      </c>
      <c r="CM191" s="1">
        <v>0.44378716000000001</v>
      </c>
      <c r="CQ191" s="1">
        <v>6.3524400999999999</v>
      </c>
      <c r="CZ191" s="1">
        <v>0.38487736</v>
      </c>
      <c r="DD191" s="1">
        <v>3.1418559999999998E-2</v>
      </c>
      <c r="DF191" s="1">
        <v>3.5345880000000003E-2</v>
      </c>
      <c r="DK191" s="1">
        <v>1.87922262</v>
      </c>
      <c r="DM191" s="1">
        <v>2.749124E-2</v>
      </c>
      <c r="DT191" s="1">
        <v>6.4800780000000002E-2</v>
      </c>
      <c r="DY191" s="1">
        <v>3.3382219999999997E-2</v>
      </c>
      <c r="ED191" s="1">
        <v>9.2292020000000002E-2</v>
      </c>
      <c r="EH191" s="1">
        <v>0.20422064000000001</v>
      </c>
      <c r="EK191" s="1">
        <v>6.0873459999999997E-2</v>
      </c>
      <c r="EL191" s="1">
        <v>9.8183000000000003E-3</v>
      </c>
      <c r="EX191" s="1">
        <v>0.15316547999999999</v>
      </c>
      <c r="FE191" s="1">
        <v>1.1016132599999999</v>
      </c>
      <c r="FJ191" s="1">
        <v>0.5301882</v>
      </c>
      <c r="FM191" s="1">
        <v>1.3941986</v>
      </c>
    </row>
    <row r="192" spans="1:169" x14ac:dyDescent="0.2">
      <c r="A192" s="1" t="s">
        <v>2206</v>
      </c>
      <c r="B192" s="1" t="s">
        <v>55</v>
      </c>
      <c r="C192" s="1" t="s">
        <v>1701</v>
      </c>
      <c r="D192" s="1" t="s">
        <v>2</v>
      </c>
      <c r="E192" s="1">
        <v>23</v>
      </c>
      <c r="F192" s="1" t="s">
        <v>1710</v>
      </c>
      <c r="H192" s="1" t="s">
        <v>2207</v>
      </c>
      <c r="I192" s="1" t="s">
        <v>11</v>
      </c>
      <c r="J192" s="1" t="s">
        <v>1712</v>
      </c>
      <c r="K192" s="1" t="s">
        <v>1713</v>
      </c>
      <c r="L192" s="1" t="s">
        <v>1712</v>
      </c>
      <c r="M192" s="1" t="s">
        <v>2198</v>
      </c>
      <c r="N192" s="1" t="s">
        <v>2208</v>
      </c>
      <c r="P192" s="1" t="s">
        <v>1269</v>
      </c>
      <c r="Q192" s="1">
        <v>2010</v>
      </c>
      <c r="R192" s="1" t="s">
        <v>2199</v>
      </c>
      <c r="S192" s="1" t="s">
        <v>27</v>
      </c>
      <c r="T192" s="38">
        <v>1</v>
      </c>
      <c r="U192" s="1">
        <v>58.84</v>
      </c>
      <c r="V192" s="1">
        <v>18.32</v>
      </c>
      <c r="Y192" s="1">
        <v>4.6221450119999998</v>
      </c>
      <c r="Z192" s="1">
        <v>7.5256046400000001</v>
      </c>
      <c r="AA192" s="1">
        <v>4.8018103480000001</v>
      </c>
      <c r="AD192" s="1">
        <v>0.92519432314410499</v>
      </c>
      <c r="AW192" s="1">
        <v>0.633913544</v>
      </c>
      <c r="AY192" s="1">
        <v>4.2373899999999999E-2</v>
      </c>
      <c r="BA192" s="1">
        <v>3.027191416</v>
      </c>
      <c r="BD192" s="1">
        <v>5.084868E-2</v>
      </c>
      <c r="BG192" s="1">
        <v>0.76951002400000001</v>
      </c>
      <c r="BI192" s="1">
        <v>2.3729383999999999E-2</v>
      </c>
      <c r="BJ192" s="1">
        <v>8.4747799999999995E-3</v>
      </c>
      <c r="BK192" s="1">
        <v>3.0509207999999999E-2</v>
      </c>
      <c r="BM192" s="1">
        <v>1.1864692E-2</v>
      </c>
      <c r="BS192" s="1">
        <v>2.2034428000000002E-2</v>
      </c>
      <c r="BV192" s="1">
        <v>8.4747799999999995E-3</v>
      </c>
      <c r="CA192" s="1">
        <v>1.2085036280000001</v>
      </c>
      <c r="CF192" s="1">
        <v>9.3222579999999999E-2</v>
      </c>
      <c r="CM192" s="1">
        <v>0.388144924</v>
      </c>
      <c r="CQ192" s="1">
        <v>5.4645381439999996</v>
      </c>
      <c r="CZ192" s="1">
        <v>0.294922344</v>
      </c>
      <c r="DD192" s="1">
        <v>2.3729383999999999E-2</v>
      </c>
      <c r="DF192" s="1">
        <v>2.2034428000000002E-2</v>
      </c>
      <c r="DK192" s="1">
        <v>1.6339375840000001</v>
      </c>
      <c r="DM192" s="1">
        <v>2.7119296000000001E-2</v>
      </c>
      <c r="DT192" s="1">
        <v>5.2543635999999998E-2</v>
      </c>
      <c r="DY192" s="1">
        <v>2.7119296000000001E-2</v>
      </c>
      <c r="ED192" s="1">
        <v>8.6442755999999996E-2</v>
      </c>
      <c r="EH192" s="1">
        <v>0.17458046799999999</v>
      </c>
      <c r="EK192" s="1">
        <v>5.7628503999999997E-2</v>
      </c>
      <c r="EL192" s="1">
        <v>2.7119296000000001E-2</v>
      </c>
      <c r="EX192" s="1">
        <v>0.13559647999999999</v>
      </c>
      <c r="FE192" s="1">
        <v>0.925445976</v>
      </c>
      <c r="FJ192" s="1">
        <v>0.41356926399999999</v>
      </c>
      <c r="FM192" s="1">
        <v>1.2424027479999999</v>
      </c>
    </row>
    <row r="193" spans="1:169" x14ac:dyDescent="0.2">
      <c r="A193" s="1" t="s">
        <v>2209</v>
      </c>
      <c r="B193" s="1" t="s">
        <v>55</v>
      </c>
      <c r="C193" s="1" t="s">
        <v>1701</v>
      </c>
      <c r="D193" s="1" t="s">
        <v>2</v>
      </c>
      <c r="E193" s="1">
        <v>23</v>
      </c>
      <c r="F193" s="1" t="s">
        <v>1710</v>
      </c>
      <c r="H193" s="1" t="s">
        <v>2210</v>
      </c>
      <c r="I193" s="1" t="s">
        <v>11</v>
      </c>
      <c r="J193" s="1" t="s">
        <v>1712</v>
      </c>
      <c r="K193" s="1" t="s">
        <v>1713</v>
      </c>
      <c r="L193" s="1" t="s">
        <v>1712</v>
      </c>
      <c r="M193" s="1" t="s">
        <v>2198</v>
      </c>
      <c r="N193" s="1" t="s">
        <v>2211</v>
      </c>
      <c r="P193" s="1" t="s">
        <v>1269</v>
      </c>
      <c r="Q193" s="1">
        <v>2010</v>
      </c>
      <c r="R193" s="1" t="s">
        <v>2199</v>
      </c>
      <c r="S193" s="1" t="s">
        <v>27</v>
      </c>
      <c r="T193" s="38">
        <v>1</v>
      </c>
      <c r="U193" s="1">
        <v>59.43</v>
      </c>
      <c r="V193" s="1">
        <v>24.68</v>
      </c>
      <c r="Y193" s="1">
        <v>6.3707496959999999</v>
      </c>
      <c r="Z193" s="1">
        <v>10.185419144000001</v>
      </c>
      <c r="AA193" s="1">
        <v>6.3272711599999996</v>
      </c>
      <c r="AD193" s="1">
        <v>0.92720583468395501</v>
      </c>
      <c r="AW193" s="1">
        <v>0.87872409600000001</v>
      </c>
      <c r="AY193" s="1">
        <v>5.4920256000000001E-2</v>
      </c>
      <c r="BA193" s="1">
        <v>4.0549455679999999</v>
      </c>
      <c r="BD193" s="1">
        <v>7.3227007999999996E-2</v>
      </c>
      <c r="BG193" s="1">
        <v>1.2013806</v>
      </c>
      <c r="BI193" s="1">
        <v>3.8901848000000003E-2</v>
      </c>
      <c r="BJ193" s="1">
        <v>1.1441720000000001E-2</v>
      </c>
      <c r="BK193" s="1">
        <v>1.8306751999999999E-2</v>
      </c>
      <c r="BM193" s="1">
        <v>2.2883439999999999E-3</v>
      </c>
      <c r="BS193" s="1">
        <v>3.432516E-2</v>
      </c>
      <c r="BV193" s="1">
        <v>1.1441720000000001E-2</v>
      </c>
      <c r="CA193" s="1">
        <v>1.6293009279999999</v>
      </c>
      <c r="CF193" s="1">
        <v>0.12814726400000001</v>
      </c>
      <c r="CM193" s="1">
        <v>0.53089580800000002</v>
      </c>
      <c r="CQ193" s="1">
        <v>7.5584002320000003</v>
      </c>
      <c r="CZ193" s="1">
        <v>0.23112274399999999</v>
      </c>
      <c r="DD193" s="1">
        <v>2.9748472000000001E-2</v>
      </c>
      <c r="DF193" s="1">
        <v>3.6613503999999998E-2</v>
      </c>
      <c r="DK193" s="1">
        <v>2.2563071840000002</v>
      </c>
      <c r="DM193" s="1">
        <v>1.6018408000000001E-2</v>
      </c>
      <c r="DT193" s="1">
        <v>6.6361976000000003E-2</v>
      </c>
      <c r="DY193" s="1">
        <v>3.6613503999999998E-2</v>
      </c>
      <c r="ED193" s="1">
        <v>0.112128856</v>
      </c>
      <c r="EH193" s="1">
        <v>0.24485280800000001</v>
      </c>
      <c r="EK193" s="1">
        <v>6.4073632000000005E-2</v>
      </c>
      <c r="EL193" s="1">
        <v>9.1533759999999995E-3</v>
      </c>
      <c r="EX193" s="1">
        <v>0.135012296</v>
      </c>
      <c r="FE193" s="1">
        <v>1.2540125120000001</v>
      </c>
      <c r="FJ193" s="1">
        <v>0.59496943999999996</v>
      </c>
      <c r="FM193" s="1">
        <v>1.542343856</v>
      </c>
    </row>
    <row r="194" spans="1:169" x14ac:dyDescent="0.2">
      <c r="A194" s="1" t="s">
        <v>2212</v>
      </c>
      <c r="B194" s="1" t="s">
        <v>55</v>
      </c>
      <c r="C194" s="1" t="s">
        <v>1701</v>
      </c>
      <c r="D194" s="1" t="s">
        <v>2</v>
      </c>
      <c r="E194" s="1">
        <v>23</v>
      </c>
      <c r="F194" s="1" t="s">
        <v>1710</v>
      </c>
      <c r="H194" s="1" t="s">
        <v>2213</v>
      </c>
      <c r="I194" s="1" t="s">
        <v>11</v>
      </c>
      <c r="J194" s="1" t="s">
        <v>1712</v>
      </c>
      <c r="K194" s="1" t="s">
        <v>1713</v>
      </c>
      <c r="L194" s="1" t="s">
        <v>1712</v>
      </c>
      <c r="M194" s="1" t="s">
        <v>2198</v>
      </c>
      <c r="N194" s="1" t="s">
        <v>2214</v>
      </c>
      <c r="P194" s="1" t="s">
        <v>1269</v>
      </c>
      <c r="Q194" s="1">
        <v>2010</v>
      </c>
      <c r="R194" s="1" t="s">
        <v>2199</v>
      </c>
      <c r="S194" s="1" t="s">
        <v>27</v>
      </c>
      <c r="T194" s="38">
        <v>1</v>
      </c>
      <c r="U194" s="1">
        <v>56.39</v>
      </c>
      <c r="V194" s="1">
        <v>23.14</v>
      </c>
      <c r="Y194" s="1">
        <v>5.9943302899999997</v>
      </c>
      <c r="Z194" s="1">
        <v>9.6209537320000003</v>
      </c>
      <c r="AA194" s="1">
        <v>5.8313359780000003</v>
      </c>
      <c r="AD194" s="1">
        <v>0.92682022471910097</v>
      </c>
      <c r="AW194" s="1">
        <v>0.817116222</v>
      </c>
      <c r="AY194" s="1">
        <v>5.3616549999999999E-2</v>
      </c>
      <c r="BA194" s="1">
        <v>3.8217876839999998</v>
      </c>
      <c r="BD194" s="1">
        <v>6.8629183999999996E-2</v>
      </c>
      <c r="BG194" s="1">
        <v>1.1366708599999999</v>
      </c>
      <c r="BI194" s="1">
        <v>3.2169929999999999E-2</v>
      </c>
      <c r="BJ194" s="1">
        <v>1.072331E-2</v>
      </c>
      <c r="BK194" s="1">
        <v>1.7157295999999999E-2</v>
      </c>
      <c r="BM194" s="1">
        <v>4.2893239999999997E-3</v>
      </c>
      <c r="BS194" s="1">
        <v>3.0025268000000001E-2</v>
      </c>
      <c r="BV194" s="1">
        <v>1.072331E-2</v>
      </c>
      <c r="CA194" s="1">
        <v>1.520565358</v>
      </c>
      <c r="CF194" s="1">
        <v>0.11581174800000001</v>
      </c>
      <c r="CM194" s="1">
        <v>0.48254894999999998</v>
      </c>
      <c r="CQ194" s="1">
        <v>7.0516486560000002</v>
      </c>
      <c r="CZ194" s="1">
        <v>0.356013892</v>
      </c>
      <c r="DD194" s="1">
        <v>2.144662E-2</v>
      </c>
      <c r="DF194" s="1">
        <v>3.4314591999999998E-2</v>
      </c>
      <c r="DK194" s="1">
        <v>2.1060580839999998</v>
      </c>
      <c r="DM194" s="1">
        <v>3.0025268000000001E-2</v>
      </c>
      <c r="DT194" s="1">
        <v>6.2195198E-2</v>
      </c>
      <c r="DY194" s="1">
        <v>6.433986E-3</v>
      </c>
      <c r="ED194" s="1">
        <v>0.100799114</v>
      </c>
      <c r="EH194" s="1">
        <v>0.227334172</v>
      </c>
      <c r="EK194" s="1">
        <v>5.5761211999999998E-2</v>
      </c>
      <c r="EL194" s="1">
        <v>1.7157295999999999E-2</v>
      </c>
      <c r="EX194" s="1">
        <v>0.141547692</v>
      </c>
      <c r="FE194" s="1">
        <v>1.1280922120000001</v>
      </c>
      <c r="FJ194" s="1">
        <v>0.54259948599999996</v>
      </c>
      <c r="FM194" s="1">
        <v>1.4090429339999999</v>
      </c>
    </row>
    <row r="195" spans="1:169" x14ac:dyDescent="0.2">
      <c r="A195" s="1" t="s">
        <v>2215</v>
      </c>
      <c r="B195" s="1" t="s">
        <v>55</v>
      </c>
      <c r="C195" s="1" t="s">
        <v>1701</v>
      </c>
      <c r="D195" s="1" t="s">
        <v>2</v>
      </c>
      <c r="E195" s="1">
        <v>23</v>
      </c>
      <c r="F195" s="1" t="s">
        <v>1710</v>
      </c>
      <c r="H195" s="1" t="s">
        <v>2216</v>
      </c>
      <c r="I195" s="1" t="s">
        <v>11</v>
      </c>
      <c r="J195" s="1" t="s">
        <v>1712</v>
      </c>
      <c r="K195" s="1" t="s">
        <v>1713</v>
      </c>
      <c r="L195" s="1" t="s">
        <v>1712</v>
      </c>
      <c r="M195" s="1" t="s">
        <v>2198</v>
      </c>
      <c r="N195" s="1" t="s">
        <v>2217</v>
      </c>
      <c r="P195" s="1" t="s">
        <v>1269</v>
      </c>
      <c r="Q195" s="1">
        <v>2010</v>
      </c>
      <c r="R195" s="1" t="s">
        <v>2199</v>
      </c>
      <c r="S195" s="1" t="s">
        <v>27</v>
      </c>
      <c r="T195" s="38">
        <v>1</v>
      </c>
      <c r="U195" s="1">
        <v>50.45</v>
      </c>
      <c r="V195" s="1">
        <v>26.3</v>
      </c>
      <c r="Y195" s="1">
        <v>5.9791899900000001</v>
      </c>
      <c r="Z195" s="1">
        <v>9.8531001099999997</v>
      </c>
      <c r="AA195" s="1">
        <v>8.5626099</v>
      </c>
      <c r="AD195" s="1">
        <v>0.92756273764258601</v>
      </c>
      <c r="AW195" s="1">
        <v>0.72208903999999996</v>
      </c>
      <c r="AY195" s="1">
        <v>4.8789800000000001E-2</v>
      </c>
      <c r="BA195" s="1">
        <v>3.79584644</v>
      </c>
      <c r="BD195" s="1">
        <v>6.3426739999999995E-2</v>
      </c>
      <c r="BG195" s="1">
        <v>1.2026685699999999</v>
      </c>
      <c r="BI195" s="1">
        <v>4.1471330000000001E-2</v>
      </c>
      <c r="BJ195" s="1">
        <v>7.3184699999999997E-3</v>
      </c>
      <c r="BK195" s="1">
        <v>4.6350309999999999E-2</v>
      </c>
      <c r="BM195" s="1">
        <v>1.9515919999999999E-2</v>
      </c>
      <c r="BS195" s="1">
        <v>2.4394900000000001E-2</v>
      </c>
      <c r="BV195" s="1">
        <v>7.3184699999999997E-3</v>
      </c>
      <c r="CA195" s="1">
        <v>1.33928001</v>
      </c>
      <c r="CF195" s="1">
        <v>0.10001909</v>
      </c>
      <c r="CM195" s="1">
        <v>0.46594258999999999</v>
      </c>
      <c r="CQ195" s="1">
        <v>7.4648393999999998</v>
      </c>
      <c r="CZ195" s="1">
        <v>0.32445216999999998</v>
      </c>
      <c r="DD195" s="1">
        <v>9.2700619999999997E-2</v>
      </c>
      <c r="DF195" s="1">
        <v>3.1713369999999998E-2</v>
      </c>
      <c r="DK195" s="1">
        <v>5.1302474699999996</v>
      </c>
      <c r="DM195" s="1">
        <v>3.9031839999999998E-2</v>
      </c>
      <c r="DT195" s="1">
        <v>5.1229289999999997E-2</v>
      </c>
      <c r="DY195" s="1">
        <v>3.6592350000000003E-2</v>
      </c>
      <c r="ED195" s="1">
        <v>8.7821640000000006E-2</v>
      </c>
      <c r="EH195" s="1">
        <v>0.21711461000000001</v>
      </c>
      <c r="EK195" s="1">
        <v>4.8789800000000001E-2</v>
      </c>
      <c r="EL195" s="1">
        <v>3.6592350000000003E-2</v>
      </c>
      <c r="EX195" s="1">
        <v>0.12929297000000001</v>
      </c>
      <c r="FE195" s="1">
        <v>0.99531192000000002</v>
      </c>
      <c r="FJ195" s="1">
        <v>0.48057952999999998</v>
      </c>
      <c r="FM195" s="1">
        <v>1.3148851100000001</v>
      </c>
    </row>
    <row r="196" spans="1:169" x14ac:dyDescent="0.2">
      <c r="A196" s="1" t="s">
        <v>2218</v>
      </c>
      <c r="B196" s="1" t="s">
        <v>55</v>
      </c>
      <c r="C196" s="1" t="s">
        <v>2219</v>
      </c>
      <c r="D196" s="1" t="s">
        <v>2</v>
      </c>
      <c r="E196" s="1">
        <v>31</v>
      </c>
      <c r="F196" s="1" t="s">
        <v>2220</v>
      </c>
      <c r="H196" s="1" t="s">
        <v>2221</v>
      </c>
      <c r="I196" s="1" t="s">
        <v>7</v>
      </c>
      <c r="J196" s="1" t="s">
        <v>2222</v>
      </c>
      <c r="K196" s="1" t="s">
        <v>2223</v>
      </c>
      <c r="L196" s="1" t="s">
        <v>2222</v>
      </c>
      <c r="M196" s="1" t="s">
        <v>2224</v>
      </c>
      <c r="N196" s="1" t="s">
        <v>2225</v>
      </c>
      <c r="O196" s="1">
        <v>36</v>
      </c>
      <c r="P196" s="1" t="s">
        <v>2226</v>
      </c>
      <c r="Q196" s="1">
        <v>2009</v>
      </c>
      <c r="R196" s="1" t="s">
        <v>2227</v>
      </c>
      <c r="S196" s="1" t="s">
        <v>27</v>
      </c>
      <c r="T196" s="38">
        <v>1</v>
      </c>
      <c r="U196" s="1">
        <v>76.400000000000006</v>
      </c>
      <c r="W196" s="1">
        <v>3.5</v>
      </c>
      <c r="Y196" s="1">
        <v>0.83370750000000005</v>
      </c>
      <c r="Z196" s="1">
        <v>0.85556500000000002</v>
      </c>
      <c r="AA196" s="1">
        <v>1.4332275000000001</v>
      </c>
      <c r="AD196" s="1">
        <v>0.89214285714285702</v>
      </c>
      <c r="AF196" s="1">
        <v>1.0772625</v>
      </c>
      <c r="AG196" s="1">
        <v>0.36220999999999998</v>
      </c>
      <c r="AW196" s="1">
        <v>0.19671749999999999</v>
      </c>
      <c r="AY196" s="1">
        <v>1.56125E-2</v>
      </c>
      <c r="BA196" s="1">
        <v>0.49335499999999999</v>
      </c>
      <c r="BD196" s="1">
        <v>1.56125E-2</v>
      </c>
      <c r="BG196" s="1">
        <v>9.3674999999999994E-2</v>
      </c>
      <c r="BZ196" s="1">
        <v>0.17485999999999999</v>
      </c>
      <c r="CK196" s="1">
        <v>0.48086499999999999</v>
      </c>
      <c r="CM196" s="1">
        <v>8.4307499999999994E-2</v>
      </c>
      <c r="CV196" s="1">
        <v>4.9959999999999997E-2</v>
      </c>
      <c r="DA196" s="1">
        <v>3.1224999999999999E-2</v>
      </c>
      <c r="DI196" s="1">
        <v>5.6204999999999998E-2</v>
      </c>
      <c r="DN196" s="1">
        <v>0.29976000000000003</v>
      </c>
      <c r="DT196" s="1">
        <v>1.8735000000000002E-2</v>
      </c>
      <c r="EH196" s="1">
        <v>4.0592499999999997E-2</v>
      </c>
      <c r="ET196" s="1">
        <v>8.7429999999999994E-2</v>
      </c>
      <c r="EX196" s="1">
        <v>3.1224999999999999E-2</v>
      </c>
      <c r="FE196" s="1">
        <v>0.40280250000000001</v>
      </c>
      <c r="FJ196" s="1">
        <v>0.14363500000000001</v>
      </c>
      <c r="FM196" s="1">
        <v>0.37469999999999998</v>
      </c>
    </row>
    <row r="197" spans="1:169" x14ac:dyDescent="0.2">
      <c r="A197" s="1" t="s">
        <v>2228</v>
      </c>
      <c r="B197" s="1" t="s">
        <v>55</v>
      </c>
      <c r="C197" s="1" t="s">
        <v>2229</v>
      </c>
      <c r="D197" s="1" t="s">
        <v>2</v>
      </c>
      <c r="E197" s="1">
        <v>33</v>
      </c>
      <c r="F197" s="1" t="s">
        <v>1977</v>
      </c>
      <c r="H197" s="1" t="s">
        <v>2230</v>
      </c>
      <c r="I197" s="1" t="s">
        <v>7</v>
      </c>
      <c r="J197" s="1" t="s">
        <v>1979</v>
      </c>
      <c r="K197" s="1" t="s">
        <v>1980</v>
      </c>
      <c r="L197" s="1" t="s">
        <v>1981</v>
      </c>
      <c r="O197" s="1">
        <v>1</v>
      </c>
      <c r="P197" s="1" t="s">
        <v>2231</v>
      </c>
      <c r="Q197" s="1">
        <v>2006</v>
      </c>
      <c r="R197" s="1" t="s">
        <v>2232</v>
      </c>
      <c r="S197" s="1" t="s">
        <v>27</v>
      </c>
      <c r="T197" s="38">
        <v>1</v>
      </c>
      <c r="U197" s="1">
        <v>76.52</v>
      </c>
      <c r="X197" s="1">
        <v>2.43018</v>
      </c>
    </row>
    <row r="198" spans="1:169" x14ac:dyDescent="0.2">
      <c r="A198" s="1" t="s">
        <v>2233</v>
      </c>
      <c r="B198" s="1" t="s">
        <v>55</v>
      </c>
      <c r="C198" s="1" t="s">
        <v>2229</v>
      </c>
      <c r="D198" s="1" t="s">
        <v>2</v>
      </c>
      <c r="E198" s="1">
        <v>33</v>
      </c>
      <c r="F198" s="1" t="s">
        <v>2234</v>
      </c>
      <c r="H198" s="1" t="s">
        <v>2235</v>
      </c>
      <c r="I198" s="1" t="s">
        <v>7</v>
      </c>
      <c r="J198" s="1" t="s">
        <v>2236</v>
      </c>
      <c r="K198" s="1" t="s">
        <v>2237</v>
      </c>
      <c r="L198" s="1" t="s">
        <v>2236</v>
      </c>
      <c r="O198" s="1">
        <v>1</v>
      </c>
      <c r="P198" s="1" t="s">
        <v>2231</v>
      </c>
      <c r="Q198" s="1">
        <v>2006</v>
      </c>
      <c r="R198" s="1" t="s">
        <v>2232</v>
      </c>
      <c r="S198" s="1" t="s">
        <v>27</v>
      </c>
      <c r="T198" s="38">
        <v>1</v>
      </c>
      <c r="U198" s="1">
        <v>77.489999999999995</v>
      </c>
      <c r="X198" s="1">
        <v>1.5486880000000001</v>
      </c>
    </row>
    <row r="199" spans="1:169" x14ac:dyDescent="0.2">
      <c r="A199" s="1" t="s">
        <v>2238</v>
      </c>
      <c r="B199" s="1" t="s">
        <v>55</v>
      </c>
      <c r="C199" s="1" t="s">
        <v>2229</v>
      </c>
      <c r="D199" s="1" t="s">
        <v>2</v>
      </c>
      <c r="E199" s="1">
        <v>33</v>
      </c>
      <c r="F199" s="1" t="s">
        <v>2239</v>
      </c>
      <c r="H199" s="1" t="s">
        <v>2240</v>
      </c>
      <c r="I199" s="1" t="s">
        <v>7</v>
      </c>
      <c r="J199" s="1" t="s">
        <v>2241</v>
      </c>
      <c r="K199" s="1" t="s">
        <v>2242</v>
      </c>
      <c r="L199" s="1" t="s">
        <v>2243</v>
      </c>
      <c r="O199" s="1">
        <v>1</v>
      </c>
      <c r="P199" s="1" t="s">
        <v>2231</v>
      </c>
      <c r="Q199" s="1">
        <v>2006</v>
      </c>
      <c r="R199" s="1" t="s">
        <v>2232</v>
      </c>
      <c r="S199" s="1" t="s">
        <v>27</v>
      </c>
      <c r="T199" s="38">
        <v>1</v>
      </c>
      <c r="U199" s="1">
        <v>76.45</v>
      </c>
      <c r="X199" s="1">
        <v>1.6437900000000001</v>
      </c>
    </row>
    <row r="200" spans="1:169" x14ac:dyDescent="0.2">
      <c r="A200" s="1" t="s">
        <v>2244</v>
      </c>
      <c r="B200" s="1" t="s">
        <v>55</v>
      </c>
      <c r="C200" s="1" t="s">
        <v>2229</v>
      </c>
      <c r="D200" s="1" t="s">
        <v>2</v>
      </c>
      <c r="E200" s="1">
        <v>37</v>
      </c>
      <c r="F200" s="1" t="s">
        <v>2245</v>
      </c>
      <c r="H200" s="1" t="s">
        <v>2246</v>
      </c>
      <c r="I200" s="1" t="s">
        <v>7</v>
      </c>
      <c r="J200" s="1" t="s">
        <v>2247</v>
      </c>
      <c r="K200" s="1" t="s">
        <v>2248</v>
      </c>
      <c r="L200" s="1" t="s">
        <v>2247</v>
      </c>
      <c r="O200" s="1">
        <v>1</v>
      </c>
      <c r="P200" s="1" t="s">
        <v>2231</v>
      </c>
      <c r="Q200" s="1">
        <v>2006</v>
      </c>
      <c r="R200" s="1" t="s">
        <v>2232</v>
      </c>
      <c r="S200" s="1" t="s">
        <v>27</v>
      </c>
      <c r="T200" s="38">
        <v>1</v>
      </c>
      <c r="U200" s="1">
        <v>75.12</v>
      </c>
      <c r="X200" s="1">
        <v>2.1595840000000002</v>
      </c>
    </row>
    <row r="201" spans="1:169" x14ac:dyDescent="0.2">
      <c r="A201" s="1" t="s">
        <v>2249</v>
      </c>
      <c r="B201" s="1" t="s">
        <v>55</v>
      </c>
      <c r="C201" s="1" t="s">
        <v>2229</v>
      </c>
      <c r="D201" s="1" t="s">
        <v>2</v>
      </c>
      <c r="E201" s="1">
        <v>33</v>
      </c>
      <c r="F201" s="1" t="s">
        <v>2250</v>
      </c>
      <c r="H201" s="1" t="s">
        <v>2251</v>
      </c>
      <c r="I201" s="1" t="s">
        <v>7</v>
      </c>
      <c r="J201" s="1" t="s">
        <v>2252</v>
      </c>
      <c r="L201" s="1" t="s">
        <v>2253</v>
      </c>
      <c r="O201" s="1">
        <v>1</v>
      </c>
      <c r="P201" s="1" t="s">
        <v>2231</v>
      </c>
      <c r="Q201" s="1">
        <v>2006</v>
      </c>
      <c r="R201" s="1" t="s">
        <v>2232</v>
      </c>
      <c r="S201" s="1" t="s">
        <v>27</v>
      </c>
      <c r="T201" s="38">
        <v>1</v>
      </c>
      <c r="U201" s="1">
        <v>77.180000000000007</v>
      </c>
      <c r="X201" s="1">
        <v>1.6476040000000001</v>
      </c>
    </row>
    <row r="202" spans="1:169" x14ac:dyDescent="0.2">
      <c r="A202" s="1" t="s">
        <v>2254</v>
      </c>
      <c r="B202" s="1" t="s">
        <v>55</v>
      </c>
      <c r="C202" s="1" t="s">
        <v>2255</v>
      </c>
      <c r="D202" s="1" t="s">
        <v>2</v>
      </c>
      <c r="E202" s="1">
        <v>36</v>
      </c>
      <c r="F202" s="1" t="s">
        <v>1814</v>
      </c>
      <c r="H202" s="1" t="s">
        <v>2256</v>
      </c>
      <c r="I202" s="1" t="s">
        <v>7</v>
      </c>
      <c r="J202" s="1" t="s">
        <v>1816</v>
      </c>
      <c r="K202" s="1" t="s">
        <v>1817</v>
      </c>
      <c r="L202" s="1" t="s">
        <v>1816</v>
      </c>
      <c r="M202" s="1" t="s">
        <v>2257</v>
      </c>
      <c r="O202" s="1">
        <v>1</v>
      </c>
      <c r="Q202" s="1">
        <v>2009</v>
      </c>
      <c r="R202" s="1" t="s">
        <v>2258</v>
      </c>
      <c r="S202" s="1" t="s">
        <v>27</v>
      </c>
      <c r="T202" s="38">
        <v>1</v>
      </c>
      <c r="U202" s="1" t="s">
        <v>2259</v>
      </c>
      <c r="W202" s="1" t="s">
        <v>2261</v>
      </c>
    </row>
    <row r="203" spans="1:169" x14ac:dyDescent="0.2">
      <c r="A203" s="1" t="s">
        <v>2263</v>
      </c>
      <c r="B203" s="1" t="s">
        <v>55</v>
      </c>
      <c r="C203" s="1" t="s">
        <v>2255</v>
      </c>
      <c r="D203" s="1" t="s">
        <v>2</v>
      </c>
      <c r="E203" s="1">
        <v>36</v>
      </c>
      <c r="F203" s="1" t="s">
        <v>1814</v>
      </c>
      <c r="H203" s="1" t="s">
        <v>2256</v>
      </c>
      <c r="I203" s="1" t="s">
        <v>7</v>
      </c>
      <c r="J203" s="1" t="s">
        <v>1816</v>
      </c>
      <c r="K203" s="1" t="s">
        <v>1817</v>
      </c>
      <c r="L203" s="1" t="s">
        <v>1816</v>
      </c>
      <c r="M203" s="1" t="s">
        <v>2264</v>
      </c>
      <c r="O203" s="1">
        <v>1</v>
      </c>
      <c r="Q203" s="1">
        <v>2009</v>
      </c>
      <c r="R203" s="1" t="s">
        <v>2258</v>
      </c>
      <c r="S203" s="1" t="s">
        <v>27</v>
      </c>
      <c r="T203" s="38">
        <v>1</v>
      </c>
      <c r="U203" s="1" t="s">
        <v>2265</v>
      </c>
      <c r="W203" s="1" t="s">
        <v>2267</v>
      </c>
    </row>
    <row r="204" spans="1:169" x14ac:dyDescent="0.2">
      <c r="A204" s="1" t="s">
        <v>2269</v>
      </c>
      <c r="B204" s="1" t="s">
        <v>55</v>
      </c>
      <c r="C204" s="1" t="s">
        <v>2255</v>
      </c>
      <c r="D204" s="1" t="s">
        <v>2</v>
      </c>
      <c r="E204" s="1">
        <v>36</v>
      </c>
      <c r="F204" s="1" t="s">
        <v>1814</v>
      </c>
      <c r="H204" s="1" t="s">
        <v>2256</v>
      </c>
      <c r="I204" s="1" t="s">
        <v>7</v>
      </c>
      <c r="J204" s="1" t="s">
        <v>1816</v>
      </c>
      <c r="K204" s="1" t="s">
        <v>1817</v>
      </c>
      <c r="L204" s="1" t="s">
        <v>1816</v>
      </c>
      <c r="M204" s="1" t="s">
        <v>2270</v>
      </c>
      <c r="O204" s="1">
        <v>1</v>
      </c>
      <c r="Q204" s="1">
        <v>2009</v>
      </c>
      <c r="R204" s="1" t="s">
        <v>2258</v>
      </c>
      <c r="S204" s="1" t="s">
        <v>27</v>
      </c>
      <c r="T204" s="38">
        <v>1</v>
      </c>
      <c r="U204" s="1">
        <v>60</v>
      </c>
      <c r="W204" s="1">
        <v>16.55</v>
      </c>
    </row>
    <row r="205" spans="1:169" x14ac:dyDescent="0.2">
      <c r="A205" s="1" t="s">
        <v>2271</v>
      </c>
      <c r="B205" s="1" t="s">
        <v>55</v>
      </c>
      <c r="C205" s="1" t="s">
        <v>2272</v>
      </c>
      <c r="E205" s="1">
        <v>31</v>
      </c>
      <c r="F205" s="1" t="s">
        <v>1804</v>
      </c>
      <c r="H205" s="1" t="s">
        <v>2273</v>
      </c>
      <c r="I205" s="1" t="s">
        <v>7</v>
      </c>
      <c r="J205" s="1" t="s">
        <v>1806</v>
      </c>
      <c r="K205" s="1" t="s">
        <v>1807</v>
      </c>
      <c r="L205" s="1" t="s">
        <v>1806</v>
      </c>
      <c r="M205" s="1" t="s">
        <v>2274</v>
      </c>
      <c r="O205" s="1">
        <v>1</v>
      </c>
      <c r="Q205" s="1">
        <v>2010</v>
      </c>
      <c r="R205" s="1" t="s">
        <v>2275</v>
      </c>
      <c r="S205" s="1" t="s">
        <v>27</v>
      </c>
      <c r="T205" s="38">
        <v>1</v>
      </c>
      <c r="U205" s="1">
        <v>77.180000000000007</v>
      </c>
      <c r="V205" s="1">
        <v>1.18</v>
      </c>
    </row>
    <row r="206" spans="1:169" x14ac:dyDescent="0.2">
      <c r="A206" s="1" t="s">
        <v>2276</v>
      </c>
      <c r="B206" s="1" t="s">
        <v>55</v>
      </c>
      <c r="C206" s="1" t="s">
        <v>2272</v>
      </c>
      <c r="E206" s="1">
        <v>31</v>
      </c>
      <c r="F206" s="1" t="s">
        <v>1804</v>
      </c>
      <c r="H206" s="1" t="s">
        <v>2273</v>
      </c>
      <c r="I206" s="1" t="s">
        <v>7</v>
      </c>
      <c r="J206" s="1" t="s">
        <v>1806</v>
      </c>
      <c r="K206" s="1" t="s">
        <v>1807</v>
      </c>
      <c r="L206" s="1" t="s">
        <v>1806</v>
      </c>
      <c r="M206" s="1" t="s">
        <v>2277</v>
      </c>
      <c r="O206" s="1">
        <v>1</v>
      </c>
      <c r="Q206" s="1">
        <v>2010</v>
      </c>
      <c r="R206" s="1" t="s">
        <v>2275</v>
      </c>
      <c r="S206" s="1" t="s">
        <v>27</v>
      </c>
      <c r="T206" s="38">
        <v>1</v>
      </c>
      <c r="U206" s="1">
        <v>77.28</v>
      </c>
      <c r="V206" s="1">
        <v>1.62</v>
      </c>
    </row>
    <row r="207" spans="1:169" x14ac:dyDescent="0.2">
      <c r="A207" s="1" t="s">
        <v>2278</v>
      </c>
      <c r="B207" s="1" t="s">
        <v>55</v>
      </c>
      <c r="C207" s="1" t="s">
        <v>2272</v>
      </c>
      <c r="E207" s="1">
        <v>31</v>
      </c>
      <c r="F207" s="1" t="s">
        <v>1804</v>
      </c>
      <c r="H207" s="1" t="s">
        <v>2273</v>
      </c>
      <c r="I207" s="1" t="s">
        <v>7</v>
      </c>
      <c r="J207" s="1" t="s">
        <v>1806</v>
      </c>
      <c r="K207" s="1" t="s">
        <v>1807</v>
      </c>
      <c r="L207" s="1" t="s">
        <v>1806</v>
      </c>
      <c r="M207" s="1" t="s">
        <v>2279</v>
      </c>
      <c r="O207" s="1">
        <v>1</v>
      </c>
      <c r="Q207" s="1">
        <v>2010</v>
      </c>
      <c r="R207" s="1" t="s">
        <v>2275</v>
      </c>
      <c r="S207" s="1" t="s">
        <v>27</v>
      </c>
      <c r="T207" s="38">
        <v>1</v>
      </c>
      <c r="U207" s="1">
        <v>74.760000000000005</v>
      </c>
      <c r="V207" s="1">
        <v>1.88</v>
      </c>
    </row>
    <row r="208" spans="1:169" x14ac:dyDescent="0.2">
      <c r="A208" s="1" t="s">
        <v>2280</v>
      </c>
      <c r="B208" s="1" t="s">
        <v>55</v>
      </c>
      <c r="C208" s="1" t="s">
        <v>2272</v>
      </c>
      <c r="E208" s="1">
        <v>31</v>
      </c>
      <c r="F208" s="1" t="s">
        <v>1804</v>
      </c>
      <c r="H208" s="1" t="s">
        <v>2273</v>
      </c>
      <c r="I208" s="1" t="s">
        <v>7</v>
      </c>
      <c r="J208" s="1" t="s">
        <v>1806</v>
      </c>
      <c r="K208" s="1" t="s">
        <v>1807</v>
      </c>
      <c r="L208" s="1" t="s">
        <v>1806</v>
      </c>
      <c r="M208" s="1" t="s">
        <v>2281</v>
      </c>
      <c r="O208" s="1">
        <v>1</v>
      </c>
      <c r="Q208" s="1">
        <v>2010</v>
      </c>
      <c r="R208" s="1" t="s">
        <v>2275</v>
      </c>
      <c r="S208" s="1" t="s">
        <v>27</v>
      </c>
      <c r="T208" s="38">
        <v>1</v>
      </c>
      <c r="U208" s="1">
        <v>77.8</v>
      </c>
      <c r="V208" s="1">
        <v>1.61</v>
      </c>
    </row>
    <row r="209" spans="1:169" x14ac:dyDescent="0.2">
      <c r="A209" s="1" t="s">
        <v>2282</v>
      </c>
      <c r="B209" s="1" t="s">
        <v>55</v>
      </c>
      <c r="C209" s="1" t="s">
        <v>2272</v>
      </c>
      <c r="E209" s="1">
        <v>33</v>
      </c>
      <c r="F209" s="1" t="s">
        <v>2283</v>
      </c>
      <c r="H209" s="1" t="s">
        <v>2284</v>
      </c>
      <c r="I209" s="1" t="s">
        <v>7</v>
      </c>
      <c r="J209" s="1" t="s">
        <v>2285</v>
      </c>
      <c r="K209" s="1" t="s">
        <v>2286</v>
      </c>
      <c r="L209" s="1" t="s">
        <v>2285</v>
      </c>
      <c r="M209" s="1" t="s">
        <v>2274</v>
      </c>
      <c r="O209" s="1">
        <v>1</v>
      </c>
      <c r="Q209" s="1">
        <v>2010</v>
      </c>
      <c r="R209" s="1" t="s">
        <v>2275</v>
      </c>
      <c r="S209" s="1" t="s">
        <v>27</v>
      </c>
      <c r="T209" s="38">
        <v>1</v>
      </c>
      <c r="U209" s="1">
        <v>64.91</v>
      </c>
      <c r="V209" s="1">
        <v>17.37</v>
      </c>
    </row>
    <row r="210" spans="1:169" x14ac:dyDescent="0.2">
      <c r="A210" s="1" t="s">
        <v>2287</v>
      </c>
      <c r="B210" s="1" t="s">
        <v>55</v>
      </c>
      <c r="C210" s="1" t="s">
        <v>2272</v>
      </c>
      <c r="E210" s="1">
        <v>33</v>
      </c>
      <c r="F210" s="1" t="s">
        <v>2283</v>
      </c>
      <c r="H210" s="1" t="s">
        <v>2284</v>
      </c>
      <c r="I210" s="1" t="s">
        <v>7</v>
      </c>
      <c r="J210" s="1" t="s">
        <v>2285</v>
      </c>
      <c r="K210" s="1" t="s">
        <v>2286</v>
      </c>
      <c r="L210" s="1" t="s">
        <v>2285</v>
      </c>
      <c r="M210" s="1" t="s">
        <v>2277</v>
      </c>
      <c r="O210" s="1">
        <v>1</v>
      </c>
      <c r="Q210" s="1">
        <v>2010</v>
      </c>
      <c r="R210" s="1" t="s">
        <v>2275</v>
      </c>
      <c r="S210" s="1" t="s">
        <v>27</v>
      </c>
      <c r="T210" s="38">
        <v>1</v>
      </c>
      <c r="U210" s="1">
        <v>70.88</v>
      </c>
      <c r="V210" s="1">
        <v>9.7100000000000009</v>
      </c>
    </row>
    <row r="211" spans="1:169" x14ac:dyDescent="0.2">
      <c r="A211" s="1" t="s">
        <v>2288</v>
      </c>
      <c r="B211" s="1" t="s">
        <v>55</v>
      </c>
      <c r="C211" s="1" t="s">
        <v>2272</v>
      </c>
      <c r="E211" s="1">
        <v>33</v>
      </c>
      <c r="F211" s="1" t="s">
        <v>2283</v>
      </c>
      <c r="H211" s="1" t="s">
        <v>2284</v>
      </c>
      <c r="I211" s="1" t="s">
        <v>7</v>
      </c>
      <c r="J211" s="1" t="s">
        <v>2285</v>
      </c>
      <c r="K211" s="1" t="s">
        <v>2286</v>
      </c>
      <c r="L211" s="1" t="s">
        <v>2285</v>
      </c>
      <c r="M211" s="1" t="s">
        <v>2279</v>
      </c>
      <c r="O211" s="1">
        <v>1</v>
      </c>
      <c r="Q211" s="1">
        <v>2010</v>
      </c>
      <c r="R211" s="1" t="s">
        <v>2275</v>
      </c>
      <c r="S211" s="1" t="s">
        <v>27</v>
      </c>
      <c r="T211" s="38">
        <v>1</v>
      </c>
      <c r="U211" s="1">
        <v>76.25</v>
      </c>
      <c r="V211" s="1">
        <v>2.06</v>
      </c>
    </row>
    <row r="212" spans="1:169" x14ac:dyDescent="0.2">
      <c r="A212" s="1" t="s">
        <v>2289</v>
      </c>
      <c r="B212" s="1" t="s">
        <v>55</v>
      </c>
      <c r="C212" s="1" t="s">
        <v>2272</v>
      </c>
      <c r="E212" s="1">
        <v>33</v>
      </c>
      <c r="F212" s="1" t="s">
        <v>2283</v>
      </c>
      <c r="H212" s="1" t="s">
        <v>2284</v>
      </c>
      <c r="I212" s="1" t="s">
        <v>7</v>
      </c>
      <c r="J212" s="1" t="s">
        <v>2285</v>
      </c>
      <c r="K212" s="1" t="s">
        <v>2286</v>
      </c>
      <c r="L212" s="1" t="s">
        <v>2285</v>
      </c>
      <c r="M212" s="1" t="s">
        <v>2281</v>
      </c>
      <c r="O212" s="1">
        <v>1</v>
      </c>
      <c r="Q212" s="1">
        <v>2010</v>
      </c>
      <c r="R212" s="1" t="s">
        <v>2275</v>
      </c>
      <c r="S212" s="1" t="s">
        <v>27</v>
      </c>
      <c r="T212" s="38">
        <v>1</v>
      </c>
      <c r="U212" s="1">
        <v>67.02</v>
      </c>
      <c r="V212" s="1">
        <v>12.28</v>
      </c>
    </row>
    <row r="213" spans="1:169" x14ac:dyDescent="0.2">
      <c r="A213" s="1" t="s">
        <v>2290</v>
      </c>
      <c r="B213" s="1" t="s">
        <v>55</v>
      </c>
      <c r="C213" s="1" t="s">
        <v>2272</v>
      </c>
      <c r="E213" s="1">
        <v>32</v>
      </c>
      <c r="F213" s="1" t="s">
        <v>1595</v>
      </c>
      <c r="H213" s="1" t="s">
        <v>2291</v>
      </c>
      <c r="I213" s="1" t="s">
        <v>7</v>
      </c>
      <c r="J213" s="1" t="s">
        <v>1597</v>
      </c>
      <c r="K213" s="1" t="s">
        <v>1598</v>
      </c>
      <c r="L213" s="1" t="s">
        <v>1597</v>
      </c>
      <c r="M213" s="1" t="s">
        <v>2274</v>
      </c>
      <c r="O213" s="1">
        <v>1</v>
      </c>
      <c r="Q213" s="1">
        <v>2010</v>
      </c>
      <c r="R213" s="1" t="s">
        <v>2275</v>
      </c>
      <c r="S213" s="1" t="s">
        <v>27</v>
      </c>
      <c r="T213" s="38">
        <v>1</v>
      </c>
      <c r="U213" s="1">
        <v>82.93</v>
      </c>
      <c r="V213" s="1">
        <v>1.34</v>
      </c>
    </row>
    <row r="214" spans="1:169" x14ac:dyDescent="0.2">
      <c r="A214" s="1" t="s">
        <v>2292</v>
      </c>
      <c r="B214" s="1" t="s">
        <v>55</v>
      </c>
      <c r="C214" s="1" t="s">
        <v>2272</v>
      </c>
      <c r="E214" s="1">
        <v>32</v>
      </c>
      <c r="F214" s="1" t="s">
        <v>1595</v>
      </c>
      <c r="H214" s="1" t="s">
        <v>2291</v>
      </c>
      <c r="I214" s="1" t="s">
        <v>7</v>
      </c>
      <c r="J214" s="1" t="s">
        <v>1597</v>
      </c>
      <c r="K214" s="1" t="s">
        <v>1598</v>
      </c>
      <c r="L214" s="1" t="s">
        <v>1597</v>
      </c>
      <c r="M214" s="1" t="s">
        <v>2277</v>
      </c>
      <c r="O214" s="1">
        <v>1</v>
      </c>
      <c r="Q214" s="1">
        <v>2010</v>
      </c>
      <c r="R214" s="1" t="s">
        <v>2275</v>
      </c>
      <c r="S214" s="1" t="s">
        <v>27</v>
      </c>
      <c r="T214" s="38">
        <v>1</v>
      </c>
      <c r="U214" s="1">
        <v>82.02</v>
      </c>
      <c r="V214" s="1">
        <v>1.22</v>
      </c>
    </row>
    <row r="215" spans="1:169" x14ac:dyDescent="0.2">
      <c r="A215" s="1" t="s">
        <v>2293</v>
      </c>
      <c r="B215" s="1" t="s">
        <v>55</v>
      </c>
      <c r="C215" s="1" t="s">
        <v>2272</v>
      </c>
      <c r="E215" s="1">
        <v>32</v>
      </c>
      <c r="F215" s="1" t="s">
        <v>1595</v>
      </c>
      <c r="H215" s="1" t="s">
        <v>2291</v>
      </c>
      <c r="I215" s="1" t="s">
        <v>7</v>
      </c>
      <c r="J215" s="1" t="s">
        <v>1597</v>
      </c>
      <c r="K215" s="1" t="s">
        <v>1598</v>
      </c>
      <c r="L215" s="1" t="s">
        <v>1597</v>
      </c>
      <c r="M215" s="1" t="s">
        <v>2279</v>
      </c>
      <c r="O215" s="1">
        <v>1</v>
      </c>
      <c r="Q215" s="1">
        <v>2010</v>
      </c>
      <c r="R215" s="1" t="s">
        <v>2275</v>
      </c>
      <c r="S215" s="1" t="s">
        <v>27</v>
      </c>
      <c r="T215" s="38">
        <v>1</v>
      </c>
      <c r="U215" s="1">
        <v>79.5</v>
      </c>
      <c r="V215" s="1">
        <v>1.48</v>
      </c>
    </row>
    <row r="216" spans="1:169" x14ac:dyDescent="0.2">
      <c r="A216" s="1" t="s">
        <v>2294</v>
      </c>
      <c r="B216" s="1" t="s">
        <v>55</v>
      </c>
      <c r="C216" s="1" t="s">
        <v>2272</v>
      </c>
      <c r="E216" s="1">
        <v>32</v>
      </c>
      <c r="F216" s="1" t="s">
        <v>1595</v>
      </c>
      <c r="H216" s="1" t="s">
        <v>2291</v>
      </c>
      <c r="I216" s="1" t="s">
        <v>7</v>
      </c>
      <c r="J216" s="1" t="s">
        <v>1597</v>
      </c>
      <c r="K216" s="1" t="s">
        <v>1598</v>
      </c>
      <c r="L216" s="1" t="s">
        <v>1597</v>
      </c>
      <c r="M216" s="1" t="s">
        <v>2281</v>
      </c>
      <c r="O216" s="1">
        <v>1</v>
      </c>
      <c r="Q216" s="1">
        <v>2010</v>
      </c>
      <c r="R216" s="1" t="s">
        <v>2275</v>
      </c>
      <c r="S216" s="1" t="s">
        <v>27</v>
      </c>
      <c r="T216" s="38">
        <v>1</v>
      </c>
      <c r="U216" s="1">
        <v>78.790000000000006</v>
      </c>
      <c r="V216" s="1">
        <v>2.37</v>
      </c>
    </row>
    <row r="217" spans="1:169" x14ac:dyDescent="0.2">
      <c r="A217" s="1" t="s">
        <v>2295</v>
      </c>
      <c r="B217" s="1" t="s">
        <v>55</v>
      </c>
      <c r="C217" s="1" t="s">
        <v>2296</v>
      </c>
      <c r="D217" s="1" t="s">
        <v>2</v>
      </c>
      <c r="E217" s="1">
        <v>21</v>
      </c>
      <c r="F217" s="1" t="s">
        <v>2297</v>
      </c>
      <c r="H217" s="1" t="s">
        <v>2298</v>
      </c>
      <c r="I217" s="1" t="s">
        <v>7</v>
      </c>
      <c r="J217" s="1" t="s">
        <v>2299</v>
      </c>
      <c r="K217" s="1" t="s">
        <v>2300</v>
      </c>
      <c r="L217" s="1" t="s">
        <v>2299</v>
      </c>
      <c r="N217" s="1" t="s">
        <v>2301</v>
      </c>
      <c r="P217" s="1" t="s">
        <v>2302</v>
      </c>
      <c r="Q217" s="1">
        <v>2009</v>
      </c>
      <c r="R217" s="1" t="s">
        <v>2303</v>
      </c>
      <c r="S217" s="1" t="s">
        <v>27</v>
      </c>
      <c r="T217" s="38">
        <v>1</v>
      </c>
      <c r="U217" s="1">
        <v>72.5</v>
      </c>
      <c r="W217" s="1">
        <v>7.1775000000000002</v>
      </c>
      <c r="Y217" s="1">
        <v>2.1037080074999999</v>
      </c>
      <c r="Z217" s="1">
        <v>1.9988502875</v>
      </c>
      <c r="AA217" s="1">
        <v>1.67772352</v>
      </c>
      <c r="AB217" s="1">
        <v>0.77332568499999998</v>
      </c>
      <c r="AD217" s="1">
        <v>0.91307662835249004</v>
      </c>
      <c r="AF217" s="1">
        <v>0.98959473249999996</v>
      </c>
      <c r="AG217" s="1">
        <v>0.68812878749999995</v>
      </c>
      <c r="AW217" s="1">
        <v>0.31850532450000002</v>
      </c>
      <c r="BA217" s="1">
        <v>1.3828111825</v>
      </c>
      <c r="BG217" s="1">
        <v>0.40435758275</v>
      </c>
      <c r="BZ217" s="1">
        <v>0.41812015850000001</v>
      </c>
      <c r="CK217" s="1">
        <v>1.585973015</v>
      </c>
      <c r="DN217" s="1">
        <v>0.61145157974999997</v>
      </c>
      <c r="EH217" s="1">
        <v>0.24313883824999999</v>
      </c>
      <c r="EX217" s="1">
        <v>7.4055764750000003E-2</v>
      </c>
      <c r="FE217" s="1">
        <v>8.5852258249999994E-2</v>
      </c>
      <c r="FM217" s="1">
        <v>0.66191435750000005</v>
      </c>
    </row>
    <row r="218" spans="1:169" x14ac:dyDescent="0.2">
      <c r="A218" s="1" t="s">
        <v>2304</v>
      </c>
      <c r="B218" s="1" t="s">
        <v>55</v>
      </c>
      <c r="C218" s="1" t="s">
        <v>2296</v>
      </c>
      <c r="D218" s="1" t="s">
        <v>2</v>
      </c>
      <c r="E218" s="1">
        <v>21</v>
      </c>
      <c r="F218" s="1" t="s">
        <v>2297</v>
      </c>
      <c r="H218" s="1" t="s">
        <v>2305</v>
      </c>
      <c r="I218" s="1" t="s">
        <v>7</v>
      </c>
      <c r="J218" s="1" t="s">
        <v>2299</v>
      </c>
      <c r="K218" s="1" t="s">
        <v>2300</v>
      </c>
      <c r="L218" s="1" t="s">
        <v>2299</v>
      </c>
      <c r="N218" s="1" t="s">
        <v>2306</v>
      </c>
      <c r="P218" s="1" t="s">
        <v>2302</v>
      </c>
      <c r="Q218" s="1">
        <v>2009</v>
      </c>
      <c r="R218" s="1" t="s">
        <v>2303</v>
      </c>
      <c r="S218" s="1" t="s">
        <v>27</v>
      </c>
      <c r="T218" s="38">
        <v>1</v>
      </c>
      <c r="U218" s="1">
        <v>69.599999999999994</v>
      </c>
      <c r="W218" s="1">
        <v>9.6671999999999993</v>
      </c>
      <c r="Y218" s="1">
        <v>2.8049732415999999</v>
      </c>
      <c r="Z218" s="1">
        <v>2.6185667920000002</v>
      </c>
      <c r="AA218" s="1">
        <v>2.4854193279999999</v>
      </c>
      <c r="AB218" s="1">
        <v>0.94978524320000002</v>
      </c>
      <c r="AD218" s="1">
        <v>0.91820771267792101</v>
      </c>
      <c r="AF218" s="1">
        <v>1.287092152</v>
      </c>
      <c r="AG218" s="1">
        <v>1.2072036736</v>
      </c>
      <c r="AW218" s="1">
        <v>0.36216110208000002</v>
      </c>
      <c r="BA218" s="1">
        <v>1.8108055104</v>
      </c>
      <c r="BG218" s="1">
        <v>0.63111897936000005</v>
      </c>
      <c r="BZ218" s="1">
        <v>0.49087031728000002</v>
      </c>
      <c r="CK218" s="1">
        <v>2.1392359216000001</v>
      </c>
      <c r="DN218" s="1">
        <v>1.0740562095999999</v>
      </c>
      <c r="EH218" s="1">
        <v>0.40743123984000001</v>
      </c>
      <c r="EX218" s="1">
        <v>0.13048451472</v>
      </c>
      <c r="FE218" s="1">
        <v>0.20060884575999999</v>
      </c>
      <c r="FM218" s="1">
        <v>0.67550146736000005</v>
      </c>
    </row>
    <row r="219" spans="1:169" x14ac:dyDescent="0.2">
      <c r="A219" s="1" t="s">
        <v>2307</v>
      </c>
      <c r="B219" s="1" t="s">
        <v>55</v>
      </c>
      <c r="C219" s="1" t="s">
        <v>2296</v>
      </c>
      <c r="D219" s="1" t="s">
        <v>2</v>
      </c>
      <c r="E219" s="1">
        <v>21</v>
      </c>
      <c r="F219" s="1" t="s">
        <v>2297</v>
      </c>
      <c r="H219" s="1" t="s">
        <v>2308</v>
      </c>
      <c r="I219" s="1" t="s">
        <v>7</v>
      </c>
      <c r="J219" s="1" t="s">
        <v>2299</v>
      </c>
      <c r="K219" s="1" t="s">
        <v>2300</v>
      </c>
      <c r="L219" s="1" t="s">
        <v>2299</v>
      </c>
      <c r="N219" s="1" t="s">
        <v>2309</v>
      </c>
      <c r="P219" s="1" t="s">
        <v>2302</v>
      </c>
      <c r="Q219" s="1">
        <v>2009</v>
      </c>
      <c r="R219" s="1" t="s">
        <v>2303</v>
      </c>
      <c r="S219" s="1" t="s">
        <v>27</v>
      </c>
      <c r="T219" s="38">
        <v>1</v>
      </c>
      <c r="U219" s="1">
        <v>69.2</v>
      </c>
      <c r="W219" s="1">
        <v>10.194800000000001</v>
      </c>
      <c r="Y219" s="1">
        <v>3.1010557204000002</v>
      </c>
      <c r="Z219" s="1">
        <v>2.4920870744000001</v>
      </c>
      <c r="AA219" s="1">
        <v>2.8480995135999998</v>
      </c>
      <c r="AB219" s="1">
        <v>0.92937984127999995</v>
      </c>
      <c r="AD219" s="1">
        <v>0.91897324126025004</v>
      </c>
      <c r="AF219" s="1">
        <v>1.4053122600000001</v>
      </c>
      <c r="AG219" s="1">
        <v>1.4427872535999999</v>
      </c>
      <c r="AW219" s="1">
        <v>0.30354744816000001</v>
      </c>
      <c r="BA219" s="1">
        <v>2.1360746352</v>
      </c>
      <c r="BG219" s="1">
        <v>0.66143363704000002</v>
      </c>
      <c r="BZ219" s="1">
        <v>0.46281617096</v>
      </c>
      <c r="CK219" s="1">
        <v>2.0236496544000002</v>
      </c>
      <c r="DN219" s="1">
        <v>1.3490997696</v>
      </c>
      <c r="EH219" s="1">
        <v>0.34289619144</v>
      </c>
      <c r="EX219" s="1">
        <v>0.10118248271999999</v>
      </c>
      <c r="FE219" s="1">
        <v>0.21173371384</v>
      </c>
      <c r="FM219" s="1">
        <v>0.84693485536000002</v>
      </c>
    </row>
    <row r="220" spans="1:169" x14ac:dyDescent="0.2">
      <c r="A220" s="1" t="s">
        <v>2310</v>
      </c>
      <c r="B220" s="1" t="s">
        <v>55</v>
      </c>
      <c r="C220" s="1" t="s">
        <v>2296</v>
      </c>
      <c r="D220" s="1" t="s">
        <v>2</v>
      </c>
      <c r="E220" s="1">
        <v>21</v>
      </c>
      <c r="F220" s="1" t="s">
        <v>2297</v>
      </c>
      <c r="H220" s="1" t="s">
        <v>2311</v>
      </c>
      <c r="I220" s="1" t="s">
        <v>7</v>
      </c>
      <c r="J220" s="1" t="s">
        <v>2299</v>
      </c>
      <c r="K220" s="1" t="s">
        <v>2300</v>
      </c>
      <c r="L220" s="1" t="s">
        <v>2299</v>
      </c>
      <c r="N220" s="1" t="s">
        <v>2312</v>
      </c>
      <c r="P220" s="1" t="s">
        <v>2302</v>
      </c>
      <c r="Q220" s="1">
        <v>2009</v>
      </c>
      <c r="R220" s="1" t="s">
        <v>2303</v>
      </c>
      <c r="S220" s="1" t="s">
        <v>27</v>
      </c>
      <c r="T220" s="38">
        <v>1</v>
      </c>
      <c r="U220" s="1">
        <v>68.3</v>
      </c>
      <c r="W220" s="1">
        <v>10.270799999999999</v>
      </c>
      <c r="Y220" s="1">
        <v>3.0112503916</v>
      </c>
      <c r="Z220" s="1">
        <v>2.6053451663999998</v>
      </c>
      <c r="AA220" s="1">
        <v>3.1245262683999999</v>
      </c>
      <c r="AB220" s="1">
        <v>0.69853457360000004</v>
      </c>
      <c r="AD220" s="1">
        <v>0.91907703392140805</v>
      </c>
      <c r="AF220" s="1">
        <v>1.4537070856000001</v>
      </c>
      <c r="AG220" s="1">
        <v>1.6708191828000001</v>
      </c>
      <c r="AW220" s="1">
        <v>9.91163922E-2</v>
      </c>
      <c r="BA220" s="1">
        <v>2.2655175359999999</v>
      </c>
      <c r="BG220" s="1">
        <v>0.64095266955999997</v>
      </c>
      <c r="BZ220" s="1">
        <v>0.42572850363999998</v>
      </c>
      <c r="CK220" s="1">
        <v>2.1805606283999999</v>
      </c>
      <c r="DN220" s="1">
        <v>1.510345024</v>
      </c>
      <c r="EH220" s="1">
        <v>0.33038797399999997</v>
      </c>
      <c r="EX220" s="1">
        <v>0.16330605572000001</v>
      </c>
      <c r="FE220" s="1">
        <v>0.27658193252000002</v>
      </c>
      <c r="FM220" s="1">
        <v>0.84673717908000001</v>
      </c>
    </row>
    <row r="221" spans="1:169" x14ac:dyDescent="0.2">
      <c r="A221" s="1" t="s">
        <v>2313</v>
      </c>
      <c r="B221" s="1" t="s">
        <v>55</v>
      </c>
      <c r="C221" s="1" t="s">
        <v>2296</v>
      </c>
      <c r="D221" s="1" t="s">
        <v>2</v>
      </c>
      <c r="E221" s="1">
        <v>21</v>
      </c>
      <c r="F221" s="1" t="s">
        <v>2297</v>
      </c>
      <c r="H221" s="1" t="s">
        <v>2314</v>
      </c>
      <c r="I221" s="1" t="s">
        <v>7</v>
      </c>
      <c r="J221" s="1" t="s">
        <v>2299</v>
      </c>
      <c r="K221" s="1" t="s">
        <v>2300</v>
      </c>
      <c r="L221" s="1" t="s">
        <v>2299</v>
      </c>
      <c r="N221" s="1" t="s">
        <v>2315</v>
      </c>
      <c r="P221" s="1" t="s">
        <v>2302</v>
      </c>
      <c r="Q221" s="1">
        <v>2009</v>
      </c>
      <c r="R221" s="1" t="s">
        <v>2303</v>
      </c>
      <c r="S221" s="1" t="s">
        <v>27</v>
      </c>
      <c r="T221" s="38">
        <v>1</v>
      </c>
      <c r="U221" s="1">
        <v>69.900000000000006</v>
      </c>
      <c r="W221" s="1">
        <v>9.1805000000000003</v>
      </c>
      <c r="Y221" s="1">
        <v>2.69517008</v>
      </c>
      <c r="Z221" s="1">
        <v>2.3666962265000002</v>
      </c>
      <c r="AA221" s="1">
        <v>2.69517008</v>
      </c>
      <c r="AB221" s="1">
        <v>0.66452787285000003</v>
      </c>
      <c r="AD221" s="1">
        <v>0.91742350634497005</v>
      </c>
      <c r="AF221" s="1">
        <v>1.229671349</v>
      </c>
      <c r="AG221" s="1">
        <v>1.4739211375000001</v>
      </c>
      <c r="AW221" s="1">
        <v>0.12717833814999999</v>
      </c>
      <c r="BA221" s="1">
        <v>2.038222373</v>
      </c>
      <c r="BG221" s="1">
        <v>0.53229609079999995</v>
      </c>
      <c r="BZ221" s="1">
        <v>0.39753758680000001</v>
      </c>
      <c r="CK221" s="1">
        <v>1.9708431209999999</v>
      </c>
      <c r="DN221" s="1">
        <v>1.3138954140000001</v>
      </c>
      <c r="EH221" s="1">
        <v>0.31499800309999998</v>
      </c>
      <c r="EX221" s="1">
        <v>0.1566567609</v>
      </c>
      <c r="FE221" s="1">
        <v>0.20971792184999999</v>
      </c>
      <c r="FM221" s="1">
        <v>0.70074422079999998</v>
      </c>
    </row>
    <row r="222" spans="1:169" x14ac:dyDescent="0.2">
      <c r="A222" s="1" t="s">
        <v>2316</v>
      </c>
      <c r="B222" s="1" t="s">
        <v>55</v>
      </c>
      <c r="C222" s="1" t="s">
        <v>2317</v>
      </c>
      <c r="E222" s="1">
        <v>13</v>
      </c>
      <c r="F222" s="1" t="s">
        <v>1209</v>
      </c>
      <c r="H222" s="1" t="s">
        <v>2318</v>
      </c>
      <c r="I222" s="1" t="s">
        <v>7</v>
      </c>
      <c r="J222" s="1" t="s">
        <v>1211</v>
      </c>
      <c r="K222" s="1" t="s">
        <v>1212</v>
      </c>
      <c r="L222" s="1" t="s">
        <v>1211</v>
      </c>
      <c r="N222" s="1" t="s">
        <v>2319</v>
      </c>
      <c r="O222" s="1">
        <v>1</v>
      </c>
      <c r="P222" s="1" t="s">
        <v>2320</v>
      </c>
      <c r="Q222" s="1">
        <v>2009</v>
      </c>
      <c r="R222" s="1" t="s">
        <v>2321</v>
      </c>
      <c r="S222" s="1" t="s">
        <v>27</v>
      </c>
      <c r="T222" s="38">
        <v>1</v>
      </c>
      <c r="U222" s="1">
        <v>76.8</v>
      </c>
      <c r="V222" s="1">
        <v>5.0199999999999996</v>
      </c>
    </row>
    <row r="223" spans="1:169" x14ac:dyDescent="0.2">
      <c r="A223" s="1" t="s">
        <v>2322</v>
      </c>
      <c r="B223" s="1" t="s">
        <v>55</v>
      </c>
      <c r="C223" s="1" t="s">
        <v>2317</v>
      </c>
      <c r="E223" s="1">
        <v>13</v>
      </c>
      <c r="F223" s="1" t="s">
        <v>1209</v>
      </c>
      <c r="H223" s="1" t="s">
        <v>2323</v>
      </c>
      <c r="I223" s="1" t="s">
        <v>11</v>
      </c>
      <c r="J223" s="1" t="s">
        <v>1211</v>
      </c>
      <c r="K223" s="1" t="s">
        <v>1212</v>
      </c>
      <c r="L223" s="1" t="s">
        <v>1211</v>
      </c>
      <c r="N223" s="1" t="s">
        <v>2324</v>
      </c>
      <c r="O223" s="1">
        <v>1</v>
      </c>
      <c r="P223" s="1" t="s">
        <v>2320</v>
      </c>
      <c r="Q223" s="1">
        <v>2009</v>
      </c>
      <c r="R223" s="1" t="s">
        <v>2321</v>
      </c>
      <c r="S223" s="1" t="s">
        <v>27</v>
      </c>
      <c r="T223" s="38">
        <v>1</v>
      </c>
      <c r="U223" s="1">
        <v>69.400000000000006</v>
      </c>
      <c r="V223" s="1">
        <v>5.85</v>
      </c>
    </row>
    <row r="224" spans="1:169" x14ac:dyDescent="0.2">
      <c r="A224" s="1" t="s">
        <v>2325</v>
      </c>
      <c r="B224" s="1" t="s">
        <v>55</v>
      </c>
      <c r="C224" s="1" t="s">
        <v>2317</v>
      </c>
      <c r="E224" s="1">
        <v>13</v>
      </c>
      <c r="F224" s="1" t="s">
        <v>1209</v>
      </c>
      <c r="H224" s="1" t="s">
        <v>2326</v>
      </c>
      <c r="I224" s="1" t="s">
        <v>11</v>
      </c>
      <c r="J224" s="1" t="s">
        <v>1211</v>
      </c>
      <c r="K224" s="1" t="s">
        <v>1212</v>
      </c>
      <c r="L224" s="1" t="s">
        <v>1211</v>
      </c>
      <c r="N224" s="1" t="s">
        <v>2327</v>
      </c>
      <c r="O224" s="1">
        <v>1</v>
      </c>
      <c r="P224" s="1" t="s">
        <v>2320</v>
      </c>
      <c r="Q224" s="1">
        <v>2009</v>
      </c>
      <c r="R224" s="1" t="s">
        <v>2321</v>
      </c>
      <c r="S224" s="1" t="s">
        <v>27</v>
      </c>
      <c r="T224" s="38">
        <v>1</v>
      </c>
      <c r="U224" s="1">
        <v>72.7</v>
      </c>
      <c r="V224" s="1">
        <v>5.16</v>
      </c>
    </row>
    <row r="225" spans="1:22" x14ac:dyDescent="0.2">
      <c r="A225" s="1" t="s">
        <v>2328</v>
      </c>
      <c r="B225" s="1" t="s">
        <v>55</v>
      </c>
      <c r="C225" s="1" t="s">
        <v>2317</v>
      </c>
      <c r="E225" s="1">
        <v>13</v>
      </c>
      <c r="F225" s="1" t="s">
        <v>1209</v>
      </c>
      <c r="H225" s="1" t="s">
        <v>2329</v>
      </c>
      <c r="I225" s="1" t="s">
        <v>11</v>
      </c>
      <c r="J225" s="1" t="s">
        <v>1211</v>
      </c>
      <c r="K225" s="1" t="s">
        <v>1212</v>
      </c>
      <c r="L225" s="1" t="s">
        <v>1211</v>
      </c>
      <c r="N225" s="1" t="s">
        <v>2330</v>
      </c>
      <c r="O225" s="1">
        <v>1</v>
      </c>
      <c r="P225" s="1" t="s">
        <v>2320</v>
      </c>
      <c r="Q225" s="1">
        <v>2009</v>
      </c>
      <c r="R225" s="1" t="s">
        <v>2321</v>
      </c>
      <c r="S225" s="1" t="s">
        <v>27</v>
      </c>
      <c r="T225" s="38">
        <v>1</v>
      </c>
      <c r="U225" s="1">
        <v>72.7</v>
      </c>
      <c r="V225" s="1">
        <v>5.22</v>
      </c>
    </row>
    <row r="226" spans="1:22" x14ac:dyDescent="0.2">
      <c r="A226" s="1" t="s">
        <v>2331</v>
      </c>
      <c r="B226" s="1" t="s">
        <v>55</v>
      </c>
      <c r="C226" s="1" t="s">
        <v>2317</v>
      </c>
      <c r="E226" s="1">
        <v>13</v>
      </c>
      <c r="F226" s="1" t="s">
        <v>1209</v>
      </c>
      <c r="H226" s="1" t="s">
        <v>2332</v>
      </c>
      <c r="I226" s="1" t="s">
        <v>11</v>
      </c>
      <c r="J226" s="1" t="s">
        <v>1211</v>
      </c>
      <c r="K226" s="1" t="s">
        <v>1212</v>
      </c>
      <c r="L226" s="1" t="s">
        <v>1211</v>
      </c>
      <c r="N226" s="1" t="s">
        <v>2333</v>
      </c>
      <c r="O226" s="1">
        <v>1</v>
      </c>
      <c r="P226" s="1" t="s">
        <v>2320</v>
      </c>
      <c r="Q226" s="1">
        <v>2009</v>
      </c>
      <c r="R226" s="1" t="s">
        <v>2321</v>
      </c>
      <c r="S226" s="1" t="s">
        <v>27</v>
      </c>
      <c r="T226" s="38">
        <v>1</v>
      </c>
      <c r="U226" s="1">
        <v>70.7</v>
      </c>
      <c r="V226" s="1">
        <v>8.02</v>
      </c>
    </row>
    <row r="227" spans="1:22" x14ac:dyDescent="0.2">
      <c r="A227" s="1" t="s">
        <v>2334</v>
      </c>
      <c r="B227" s="1" t="s">
        <v>55</v>
      </c>
      <c r="C227" s="1" t="s">
        <v>2335</v>
      </c>
      <c r="E227" s="1">
        <v>36</v>
      </c>
      <c r="F227" s="1" t="s">
        <v>2336</v>
      </c>
      <c r="H227" s="1" t="s">
        <v>2337</v>
      </c>
      <c r="I227" s="1" t="s">
        <v>7</v>
      </c>
      <c r="J227" s="1" t="s">
        <v>2338</v>
      </c>
      <c r="K227" s="1" t="s">
        <v>2339</v>
      </c>
      <c r="L227" s="1" t="s">
        <v>2338</v>
      </c>
      <c r="M227" s="1" t="s">
        <v>2340</v>
      </c>
      <c r="O227" s="1">
        <v>1</v>
      </c>
      <c r="Q227" s="1">
        <v>1993</v>
      </c>
      <c r="R227" s="1" t="s">
        <v>2341</v>
      </c>
      <c r="S227" s="1" t="s">
        <v>27</v>
      </c>
      <c r="T227" s="38">
        <v>1</v>
      </c>
      <c r="U227" s="1">
        <v>70.099999999999994</v>
      </c>
      <c r="V227" s="1">
        <v>14.7</v>
      </c>
    </row>
    <row r="228" spans="1:22" x14ac:dyDescent="0.2">
      <c r="A228" s="1" t="s">
        <v>2342</v>
      </c>
      <c r="B228" s="1" t="s">
        <v>55</v>
      </c>
      <c r="C228" s="1" t="s">
        <v>2335</v>
      </c>
      <c r="E228" s="1">
        <v>24</v>
      </c>
      <c r="F228" s="1" t="s">
        <v>2343</v>
      </c>
      <c r="H228" s="1" t="s">
        <v>2344</v>
      </c>
      <c r="I228" s="1" t="s">
        <v>7</v>
      </c>
      <c r="J228" s="1" t="s">
        <v>2345</v>
      </c>
      <c r="K228" s="1" t="s">
        <v>2346</v>
      </c>
      <c r="L228" s="1" t="s">
        <v>2347</v>
      </c>
      <c r="M228" s="1" t="s">
        <v>2348</v>
      </c>
      <c r="O228" s="1">
        <v>1</v>
      </c>
      <c r="Q228" s="1">
        <v>1993</v>
      </c>
      <c r="R228" s="1" t="s">
        <v>2341</v>
      </c>
      <c r="S228" s="1" t="s">
        <v>27</v>
      </c>
      <c r="T228" s="38">
        <v>1</v>
      </c>
      <c r="U228" s="1">
        <v>72.7</v>
      </c>
      <c r="V228" s="1">
        <v>7.5</v>
      </c>
    </row>
    <row r="229" spans="1:22" x14ac:dyDescent="0.2">
      <c r="A229" s="1" t="s">
        <v>2349</v>
      </c>
      <c r="B229" s="1" t="s">
        <v>55</v>
      </c>
      <c r="C229" s="1" t="s">
        <v>2335</v>
      </c>
      <c r="E229" s="1">
        <v>35</v>
      </c>
      <c r="F229" s="1" t="s">
        <v>2350</v>
      </c>
      <c r="H229" s="1" t="s">
        <v>2351</v>
      </c>
      <c r="I229" s="1" t="s">
        <v>7</v>
      </c>
      <c r="J229" s="1" t="s">
        <v>2352</v>
      </c>
      <c r="K229" s="1" t="s">
        <v>2353</v>
      </c>
      <c r="L229" s="1" t="s">
        <v>2352</v>
      </c>
      <c r="M229" s="1" t="s">
        <v>2354</v>
      </c>
      <c r="O229" s="1">
        <v>1</v>
      </c>
      <c r="Q229" s="1">
        <v>1993</v>
      </c>
      <c r="R229" s="1" t="s">
        <v>2341</v>
      </c>
      <c r="S229" s="1" t="s">
        <v>27</v>
      </c>
      <c r="T229" s="38">
        <v>1</v>
      </c>
      <c r="U229" s="1">
        <v>81.5</v>
      </c>
      <c r="V229" s="1">
        <v>6.1</v>
      </c>
    </row>
    <row r="230" spans="1:22" x14ac:dyDescent="0.2">
      <c r="A230" s="1" t="s">
        <v>2355</v>
      </c>
      <c r="B230" s="1" t="s">
        <v>55</v>
      </c>
      <c r="C230" s="1" t="s">
        <v>2335</v>
      </c>
      <c r="E230" s="1">
        <v>37</v>
      </c>
      <c r="F230" s="1" t="s">
        <v>2016</v>
      </c>
      <c r="H230" s="1" t="s">
        <v>2356</v>
      </c>
      <c r="I230" s="1" t="s">
        <v>7</v>
      </c>
      <c r="J230" s="1" t="s">
        <v>2357</v>
      </c>
      <c r="K230" s="1" t="s">
        <v>2020</v>
      </c>
      <c r="L230" s="1" t="s">
        <v>2019</v>
      </c>
      <c r="M230" s="1" t="s">
        <v>2358</v>
      </c>
      <c r="O230" s="1">
        <v>1</v>
      </c>
      <c r="Q230" s="1">
        <v>1993</v>
      </c>
      <c r="R230" s="1" t="s">
        <v>2341</v>
      </c>
      <c r="S230" s="1" t="s">
        <v>27</v>
      </c>
      <c r="T230" s="38">
        <v>1</v>
      </c>
      <c r="U230" s="1" t="s">
        <v>2359</v>
      </c>
      <c r="V230" s="1" t="s">
        <v>2361</v>
      </c>
    </row>
    <row r="231" spans="1:22" x14ac:dyDescent="0.2">
      <c r="A231" s="1" t="s">
        <v>2362</v>
      </c>
      <c r="B231" s="1" t="s">
        <v>55</v>
      </c>
      <c r="C231" s="1" t="s">
        <v>2335</v>
      </c>
      <c r="E231" s="1">
        <v>33</v>
      </c>
      <c r="F231" s="1" t="s">
        <v>2363</v>
      </c>
      <c r="H231" s="1" t="s">
        <v>2364</v>
      </c>
      <c r="I231" s="1" t="s">
        <v>7</v>
      </c>
      <c r="J231" s="1" t="s">
        <v>2365</v>
      </c>
      <c r="K231" s="1" t="s">
        <v>2366</v>
      </c>
      <c r="L231" s="1" t="s">
        <v>2367</v>
      </c>
      <c r="M231" s="1" t="s">
        <v>2368</v>
      </c>
      <c r="O231" s="1">
        <v>1</v>
      </c>
      <c r="Q231" s="1">
        <v>1993</v>
      </c>
      <c r="R231" s="1" t="s">
        <v>2341</v>
      </c>
      <c r="S231" s="1" t="s">
        <v>27</v>
      </c>
      <c r="T231" s="38">
        <v>1</v>
      </c>
      <c r="U231" s="1">
        <v>77</v>
      </c>
      <c r="V231" s="1">
        <v>4.9000000000000004</v>
      </c>
    </row>
    <row r="232" spans="1:22" x14ac:dyDescent="0.2">
      <c r="A232" s="1" t="s">
        <v>2369</v>
      </c>
      <c r="B232" s="1" t="s">
        <v>55</v>
      </c>
      <c r="C232" s="1" t="s">
        <v>2335</v>
      </c>
      <c r="E232" s="1">
        <v>33</v>
      </c>
      <c r="F232" s="1" t="s">
        <v>2370</v>
      </c>
      <c r="H232" s="1" t="s">
        <v>2371</v>
      </c>
      <c r="I232" s="1" t="s">
        <v>7</v>
      </c>
      <c r="J232" s="1" t="s">
        <v>2372</v>
      </c>
      <c r="K232" s="1" t="s">
        <v>2373</v>
      </c>
      <c r="L232" s="1" t="s">
        <v>2372</v>
      </c>
      <c r="M232" s="1" t="s">
        <v>2374</v>
      </c>
      <c r="O232" s="1">
        <v>1</v>
      </c>
      <c r="Q232" s="1">
        <v>1993</v>
      </c>
      <c r="R232" s="1" t="s">
        <v>2341</v>
      </c>
      <c r="S232" s="1" t="s">
        <v>27</v>
      </c>
      <c r="T232" s="38">
        <v>1</v>
      </c>
      <c r="U232" s="1">
        <v>79.099999999999994</v>
      </c>
      <c r="V232" s="1">
        <v>2.2000000000000002</v>
      </c>
    </row>
    <row r="233" spans="1:22" x14ac:dyDescent="0.2">
      <c r="A233" s="1" t="s">
        <v>2375</v>
      </c>
      <c r="B233" s="1" t="s">
        <v>55</v>
      </c>
      <c r="C233" s="1" t="s">
        <v>2335</v>
      </c>
      <c r="E233" s="1">
        <v>37</v>
      </c>
      <c r="F233" s="1" t="s">
        <v>2042</v>
      </c>
      <c r="H233" s="1" t="s">
        <v>2376</v>
      </c>
      <c r="I233" s="1" t="s">
        <v>7</v>
      </c>
      <c r="J233" s="1" t="s">
        <v>2045</v>
      </c>
      <c r="K233" s="1" t="s">
        <v>2046</v>
      </c>
      <c r="L233" s="1" t="s">
        <v>2045</v>
      </c>
      <c r="M233" s="1" t="s">
        <v>2377</v>
      </c>
      <c r="O233" s="1">
        <v>1</v>
      </c>
      <c r="Q233" s="1">
        <v>1993</v>
      </c>
      <c r="R233" s="1" t="s">
        <v>2341</v>
      </c>
      <c r="S233" s="1" t="s">
        <v>27</v>
      </c>
      <c r="T233" s="38">
        <v>1</v>
      </c>
      <c r="U233" s="1">
        <v>80</v>
      </c>
      <c r="V233" s="1">
        <v>1.8</v>
      </c>
    </row>
    <row r="234" spans="1:22" x14ac:dyDescent="0.2">
      <c r="A234" s="1" t="s">
        <v>2378</v>
      </c>
      <c r="B234" s="1" t="s">
        <v>55</v>
      </c>
      <c r="C234" s="1" t="s">
        <v>2335</v>
      </c>
      <c r="E234" s="1">
        <v>34</v>
      </c>
      <c r="F234" s="1" t="s">
        <v>2379</v>
      </c>
      <c r="H234" s="1" t="s">
        <v>2380</v>
      </c>
      <c r="I234" s="1" t="s">
        <v>7</v>
      </c>
      <c r="J234" s="1" t="s">
        <v>2381</v>
      </c>
      <c r="K234" s="1" t="s">
        <v>2382</v>
      </c>
      <c r="L234" s="1" t="s">
        <v>2383</v>
      </c>
      <c r="M234" s="1" t="s">
        <v>2384</v>
      </c>
      <c r="O234" s="1">
        <v>1</v>
      </c>
      <c r="Q234" s="1">
        <v>1993</v>
      </c>
      <c r="R234" s="1" t="s">
        <v>2341</v>
      </c>
      <c r="S234" s="1" t="s">
        <v>27</v>
      </c>
      <c r="T234" s="38">
        <v>1</v>
      </c>
      <c r="U234" s="1">
        <v>76</v>
      </c>
      <c r="V234" s="1">
        <v>1.7</v>
      </c>
    </row>
    <row r="235" spans="1:22" x14ac:dyDescent="0.2">
      <c r="A235" s="1" t="s">
        <v>2385</v>
      </c>
      <c r="B235" s="1" t="s">
        <v>55</v>
      </c>
      <c r="C235" s="1" t="s">
        <v>2335</v>
      </c>
      <c r="E235" s="1">
        <v>37</v>
      </c>
      <c r="F235" s="1" t="s">
        <v>2022</v>
      </c>
      <c r="H235" s="1" t="s">
        <v>2386</v>
      </c>
      <c r="I235" s="1" t="s">
        <v>7</v>
      </c>
      <c r="J235" s="1" t="s">
        <v>2025</v>
      </c>
      <c r="K235" s="1" t="s">
        <v>2026</v>
      </c>
      <c r="L235" s="1" t="s">
        <v>2025</v>
      </c>
      <c r="M235" s="1" t="s">
        <v>2387</v>
      </c>
      <c r="O235" s="1">
        <v>1</v>
      </c>
      <c r="Q235" s="1">
        <v>1993</v>
      </c>
      <c r="R235" s="1" t="s">
        <v>2341</v>
      </c>
      <c r="S235" s="1" t="s">
        <v>27</v>
      </c>
      <c r="T235" s="38">
        <v>1</v>
      </c>
      <c r="U235" s="1">
        <v>76.5</v>
      </c>
      <c r="V235" s="1">
        <v>1.7</v>
      </c>
    </row>
    <row r="236" spans="1:22" x14ac:dyDescent="0.2">
      <c r="A236" s="1" t="s">
        <v>2388</v>
      </c>
      <c r="B236" s="1" t="s">
        <v>55</v>
      </c>
      <c r="C236" s="1" t="s">
        <v>2335</v>
      </c>
      <c r="E236" s="1">
        <v>37</v>
      </c>
      <c r="F236" s="1" t="s">
        <v>2389</v>
      </c>
      <c r="H236" s="1" t="s">
        <v>2390</v>
      </c>
      <c r="I236" s="1" t="s">
        <v>7</v>
      </c>
      <c r="J236" s="1" t="s">
        <v>2391</v>
      </c>
      <c r="K236" s="1" t="s">
        <v>2392</v>
      </c>
      <c r="L236" s="1" t="s">
        <v>2393</v>
      </c>
      <c r="M236" s="1" t="s">
        <v>2384</v>
      </c>
      <c r="O236" s="1">
        <v>1</v>
      </c>
      <c r="Q236" s="1">
        <v>1993</v>
      </c>
      <c r="R236" s="1" t="s">
        <v>2341</v>
      </c>
      <c r="S236" s="1" t="s">
        <v>27</v>
      </c>
      <c r="T236" s="38">
        <v>1</v>
      </c>
      <c r="U236" s="1">
        <v>75.3</v>
      </c>
      <c r="V236" s="1">
        <v>1.4</v>
      </c>
    </row>
    <row r="237" spans="1:22" x14ac:dyDescent="0.2">
      <c r="A237" s="1" t="s">
        <v>2394</v>
      </c>
      <c r="B237" s="1" t="s">
        <v>55</v>
      </c>
      <c r="C237" s="1" t="s">
        <v>2335</v>
      </c>
      <c r="E237" s="1">
        <v>33</v>
      </c>
      <c r="F237" s="1" t="s">
        <v>2395</v>
      </c>
      <c r="H237" s="1" t="s">
        <v>2396</v>
      </c>
      <c r="I237" s="1" t="s">
        <v>7</v>
      </c>
      <c r="J237" s="1" t="s">
        <v>2397</v>
      </c>
      <c r="K237" s="1" t="s">
        <v>2398</v>
      </c>
      <c r="L237" s="1" t="s">
        <v>2397</v>
      </c>
      <c r="M237" s="1" t="s">
        <v>2399</v>
      </c>
      <c r="O237" s="1">
        <v>1</v>
      </c>
      <c r="Q237" s="1">
        <v>1993</v>
      </c>
      <c r="R237" s="1" t="s">
        <v>2341</v>
      </c>
      <c r="S237" s="1" t="s">
        <v>27</v>
      </c>
      <c r="T237" s="38">
        <v>1</v>
      </c>
      <c r="U237" s="1">
        <v>79.5</v>
      </c>
      <c r="V237" s="1">
        <v>1.3</v>
      </c>
    </row>
    <row r="238" spans="1:22" x14ac:dyDescent="0.2">
      <c r="A238" s="1" t="s">
        <v>2400</v>
      </c>
      <c r="B238" s="1" t="s">
        <v>55</v>
      </c>
      <c r="C238" s="1" t="s">
        <v>2335</v>
      </c>
      <c r="E238" s="1">
        <v>35</v>
      </c>
      <c r="F238" s="1" t="s">
        <v>2028</v>
      </c>
      <c r="H238" s="1" t="s">
        <v>2401</v>
      </c>
      <c r="I238" s="1" t="s">
        <v>7</v>
      </c>
      <c r="J238" s="1" t="s">
        <v>2033</v>
      </c>
      <c r="K238" s="1" t="s">
        <v>2032</v>
      </c>
      <c r="L238" s="1" t="s">
        <v>2033</v>
      </c>
      <c r="M238" s="1" t="s">
        <v>2402</v>
      </c>
      <c r="O238" s="1">
        <v>1</v>
      </c>
      <c r="Q238" s="1">
        <v>1993</v>
      </c>
      <c r="R238" s="1" t="s">
        <v>2341</v>
      </c>
      <c r="S238" s="1" t="s">
        <v>27</v>
      </c>
      <c r="T238" s="38">
        <v>1</v>
      </c>
      <c r="U238" s="1">
        <v>77.599999999999994</v>
      </c>
      <c r="V238" s="1">
        <v>1.2</v>
      </c>
    </row>
    <row r="239" spans="1:22" x14ac:dyDescent="0.2">
      <c r="A239" s="1" t="s">
        <v>2403</v>
      </c>
      <c r="B239" s="1" t="s">
        <v>55</v>
      </c>
      <c r="C239" s="1" t="s">
        <v>2335</v>
      </c>
      <c r="E239" s="1">
        <v>33</v>
      </c>
      <c r="F239" s="1" t="s">
        <v>2404</v>
      </c>
      <c r="H239" s="1" t="s">
        <v>2405</v>
      </c>
      <c r="I239" s="1" t="s">
        <v>7</v>
      </c>
      <c r="J239" s="1" t="s">
        <v>2406</v>
      </c>
      <c r="K239" s="1" t="s">
        <v>2407</v>
      </c>
      <c r="L239" s="1" t="s">
        <v>2408</v>
      </c>
      <c r="M239" s="1" t="s">
        <v>2409</v>
      </c>
      <c r="O239" s="1">
        <v>1</v>
      </c>
      <c r="Q239" s="1">
        <v>1993</v>
      </c>
      <c r="R239" s="1" t="s">
        <v>2341</v>
      </c>
      <c r="S239" s="1" t="s">
        <v>27</v>
      </c>
      <c r="T239" s="38">
        <v>1</v>
      </c>
      <c r="U239" s="1">
        <v>77.099999999999994</v>
      </c>
      <c r="V239" s="1">
        <v>1.2</v>
      </c>
    </row>
    <row r="240" spans="1:22" x14ac:dyDescent="0.2">
      <c r="A240" s="1" t="s">
        <v>2410</v>
      </c>
      <c r="B240" s="1" t="s">
        <v>55</v>
      </c>
      <c r="C240" s="1" t="s">
        <v>2335</v>
      </c>
      <c r="E240" s="1">
        <v>33</v>
      </c>
      <c r="F240" s="1" t="s">
        <v>2411</v>
      </c>
      <c r="H240" s="1" t="s">
        <v>2412</v>
      </c>
      <c r="I240" s="1" t="s">
        <v>7</v>
      </c>
      <c r="J240" s="1" t="s">
        <v>2413</v>
      </c>
      <c r="K240" s="1" t="s">
        <v>2414</v>
      </c>
      <c r="L240" s="1" t="s">
        <v>2415</v>
      </c>
      <c r="M240" s="1" t="s">
        <v>2416</v>
      </c>
      <c r="O240" s="1">
        <v>1</v>
      </c>
      <c r="Q240" s="1">
        <v>1993</v>
      </c>
      <c r="R240" s="1" t="s">
        <v>2341</v>
      </c>
      <c r="S240" s="1" t="s">
        <v>27</v>
      </c>
      <c r="T240" s="38">
        <v>1</v>
      </c>
      <c r="U240" s="1">
        <v>89.8</v>
      </c>
      <c r="V240" s="1">
        <v>0.8</v>
      </c>
    </row>
    <row r="241" spans="1:169" x14ac:dyDescent="0.2">
      <c r="A241" s="1" t="s">
        <v>2417</v>
      </c>
      <c r="B241" s="1" t="s">
        <v>55</v>
      </c>
      <c r="C241" s="1" t="s">
        <v>2335</v>
      </c>
      <c r="E241" s="1">
        <v>25</v>
      </c>
      <c r="F241" s="1" t="s">
        <v>2418</v>
      </c>
      <c r="H241" s="1" t="s">
        <v>2419</v>
      </c>
      <c r="I241" s="1" t="s">
        <v>7</v>
      </c>
      <c r="J241" s="1" t="s">
        <v>2420</v>
      </c>
      <c r="K241" s="1" t="s">
        <v>2421</v>
      </c>
      <c r="L241" s="1" t="s">
        <v>2420</v>
      </c>
      <c r="M241" s="1" t="s">
        <v>2422</v>
      </c>
      <c r="O241" s="1">
        <v>1</v>
      </c>
      <c r="Q241" s="1">
        <v>1993</v>
      </c>
      <c r="R241" s="1" t="s">
        <v>2341</v>
      </c>
      <c r="S241" s="1" t="s">
        <v>27</v>
      </c>
      <c r="T241" s="38">
        <v>1</v>
      </c>
      <c r="U241" s="1" t="s">
        <v>2423</v>
      </c>
      <c r="V241" s="1" t="s">
        <v>2425</v>
      </c>
    </row>
    <row r="242" spans="1:169" x14ac:dyDescent="0.2">
      <c r="A242" s="1" t="s">
        <v>2426</v>
      </c>
      <c r="B242" s="1" t="s">
        <v>55</v>
      </c>
      <c r="C242" s="1" t="s">
        <v>2335</v>
      </c>
      <c r="E242" s="1">
        <v>38</v>
      </c>
      <c r="F242" s="1" t="s">
        <v>2427</v>
      </c>
      <c r="H242" s="1" t="s">
        <v>2428</v>
      </c>
      <c r="I242" s="1" t="s">
        <v>7</v>
      </c>
      <c r="J242" s="1" t="s">
        <v>2429</v>
      </c>
      <c r="K242" s="1" t="s">
        <v>2430</v>
      </c>
      <c r="L242" s="1" t="s">
        <v>2431</v>
      </c>
      <c r="M242" s="1" t="s">
        <v>2432</v>
      </c>
      <c r="O242" s="1">
        <v>1</v>
      </c>
      <c r="Q242" s="1">
        <v>1993</v>
      </c>
      <c r="R242" s="1" t="s">
        <v>2341</v>
      </c>
      <c r="S242" s="1" t="s">
        <v>27</v>
      </c>
      <c r="T242" s="38">
        <v>1</v>
      </c>
      <c r="U242" s="1">
        <v>79.5</v>
      </c>
      <c r="V242" s="1">
        <v>0.8</v>
      </c>
    </row>
    <row r="243" spans="1:169" x14ac:dyDescent="0.2">
      <c r="A243" s="1" t="s">
        <v>2433</v>
      </c>
      <c r="B243" s="1" t="s">
        <v>55</v>
      </c>
      <c r="C243" s="1" t="s">
        <v>2335</v>
      </c>
      <c r="E243" s="1">
        <v>33</v>
      </c>
      <c r="F243" s="1" t="s">
        <v>2434</v>
      </c>
      <c r="H243" s="1" t="s">
        <v>2435</v>
      </c>
      <c r="I243" s="1" t="s">
        <v>7</v>
      </c>
      <c r="J243" s="1" t="s">
        <v>2436</v>
      </c>
      <c r="L243" s="1" t="s">
        <v>2437</v>
      </c>
      <c r="M243" s="1" t="s">
        <v>2438</v>
      </c>
      <c r="O243" s="1">
        <v>1</v>
      </c>
      <c r="Q243" s="1">
        <v>1993</v>
      </c>
      <c r="R243" s="1" t="s">
        <v>2341</v>
      </c>
      <c r="S243" s="1" t="s">
        <v>27</v>
      </c>
      <c r="T243" s="38">
        <v>1</v>
      </c>
      <c r="U243" s="1">
        <v>75.5</v>
      </c>
      <c r="V243" s="1">
        <v>1.4</v>
      </c>
    </row>
    <row r="244" spans="1:169" x14ac:dyDescent="0.2">
      <c r="A244" s="1" t="s">
        <v>2439</v>
      </c>
      <c r="B244" s="1" t="s">
        <v>55</v>
      </c>
      <c r="C244" s="1" t="s">
        <v>2335</v>
      </c>
      <c r="E244" s="1">
        <v>13</v>
      </c>
      <c r="F244" s="1" t="s">
        <v>2440</v>
      </c>
      <c r="H244" s="1" t="s">
        <v>2441</v>
      </c>
      <c r="I244" s="1" t="s">
        <v>7</v>
      </c>
      <c r="J244" s="1" t="s">
        <v>2442</v>
      </c>
      <c r="K244" s="1" t="s">
        <v>2443</v>
      </c>
      <c r="L244" s="1" t="s">
        <v>2444</v>
      </c>
      <c r="M244" s="1" t="s">
        <v>2445</v>
      </c>
      <c r="O244" s="1">
        <v>1</v>
      </c>
      <c r="Q244" s="1">
        <v>1993</v>
      </c>
      <c r="R244" s="1" t="s">
        <v>2341</v>
      </c>
      <c r="S244" s="1" t="s">
        <v>27</v>
      </c>
      <c r="T244" s="38">
        <v>1</v>
      </c>
      <c r="U244" s="1">
        <v>77.900000000000006</v>
      </c>
      <c r="V244" s="1">
        <v>1.3</v>
      </c>
    </row>
    <row r="245" spans="1:169" x14ac:dyDescent="0.2">
      <c r="A245" s="1" t="s">
        <v>2446</v>
      </c>
      <c r="B245" s="1" t="s">
        <v>55</v>
      </c>
      <c r="C245" s="1" t="s">
        <v>2335</v>
      </c>
      <c r="E245" s="1">
        <v>11</v>
      </c>
      <c r="F245" s="1" t="s">
        <v>2123</v>
      </c>
      <c r="H245" s="1" t="s">
        <v>2447</v>
      </c>
      <c r="I245" s="1" t="s">
        <v>7</v>
      </c>
      <c r="J245" s="1" t="s">
        <v>2164</v>
      </c>
      <c r="K245" s="1" t="s">
        <v>2127</v>
      </c>
      <c r="L245" s="1" t="s">
        <v>2164</v>
      </c>
      <c r="M245" s="1" t="s">
        <v>2448</v>
      </c>
      <c r="O245" s="1">
        <v>1</v>
      </c>
      <c r="Q245" s="1">
        <v>1993</v>
      </c>
      <c r="R245" s="1" t="s">
        <v>2341</v>
      </c>
      <c r="S245" s="1" t="s">
        <v>27</v>
      </c>
      <c r="T245" s="38">
        <v>1</v>
      </c>
      <c r="U245" s="1">
        <v>82.8</v>
      </c>
      <c r="V245" s="1">
        <v>0.6</v>
      </c>
    </row>
    <row r="246" spans="1:169" x14ac:dyDescent="0.2">
      <c r="A246" s="1" t="s">
        <v>2449</v>
      </c>
      <c r="B246" s="1" t="s">
        <v>55</v>
      </c>
      <c r="C246" s="1" t="s">
        <v>2335</v>
      </c>
      <c r="E246" s="1">
        <v>11</v>
      </c>
      <c r="F246" s="1" t="s">
        <v>2138</v>
      </c>
      <c r="H246" s="1" t="s">
        <v>2450</v>
      </c>
      <c r="I246" s="1" t="s">
        <v>7</v>
      </c>
      <c r="J246" s="1" t="s">
        <v>2141</v>
      </c>
      <c r="K246" s="1" t="s">
        <v>2142</v>
      </c>
      <c r="L246" s="1" t="s">
        <v>2141</v>
      </c>
      <c r="M246" s="1" t="s">
        <v>2451</v>
      </c>
      <c r="O246" s="1">
        <v>1</v>
      </c>
      <c r="Q246" s="1">
        <v>1993</v>
      </c>
      <c r="R246" s="1" t="s">
        <v>2341</v>
      </c>
      <c r="S246" s="1" t="s">
        <v>27</v>
      </c>
      <c r="T246" s="38">
        <v>1</v>
      </c>
      <c r="U246" s="1">
        <v>79.7</v>
      </c>
      <c r="V246" s="1">
        <v>1</v>
      </c>
    </row>
    <row r="247" spans="1:169" x14ac:dyDescent="0.2">
      <c r="A247" s="1" t="s">
        <v>2452</v>
      </c>
      <c r="B247" s="1" t="s">
        <v>55</v>
      </c>
      <c r="C247" s="1" t="s">
        <v>2453</v>
      </c>
      <c r="E247" s="1">
        <v>13</v>
      </c>
      <c r="F247" s="1" t="s">
        <v>2454</v>
      </c>
      <c r="G247" s="1" t="s">
        <v>2455</v>
      </c>
      <c r="H247" s="1" t="s">
        <v>2456</v>
      </c>
      <c r="I247" s="1" t="s">
        <v>7</v>
      </c>
      <c r="J247" s="1" t="s">
        <v>2457</v>
      </c>
      <c r="K247" s="1" t="s">
        <v>2458</v>
      </c>
      <c r="L247" s="1" t="s">
        <v>2459</v>
      </c>
      <c r="O247" s="1">
        <v>1</v>
      </c>
      <c r="P247" s="1" t="s">
        <v>1269</v>
      </c>
      <c r="Q247" s="1">
        <v>2000</v>
      </c>
      <c r="R247" s="1" t="s">
        <v>2460</v>
      </c>
      <c r="S247" s="1" t="s">
        <v>27</v>
      </c>
      <c r="T247" s="38">
        <v>1</v>
      </c>
      <c r="U247" s="1">
        <v>70.489999999999995</v>
      </c>
      <c r="V247" s="1">
        <v>2.5299999999999998</v>
      </c>
      <c r="Y247" s="1">
        <v>1.0289153600000001</v>
      </c>
      <c r="Z247" s="1">
        <v>0.64085460999999999</v>
      </c>
      <c r="AA247" s="1">
        <v>0.54772003000000002</v>
      </c>
      <c r="AD247" s="1">
        <v>0.87647826086956504</v>
      </c>
      <c r="AF247" s="1">
        <v>0.35701589</v>
      </c>
      <c r="AG247" s="1">
        <v>0.19070413999999999</v>
      </c>
      <c r="AW247" s="1">
        <v>5.9872229999999999E-2</v>
      </c>
      <c r="BA247" s="1">
        <v>0.92025835</v>
      </c>
      <c r="BG247" s="1">
        <v>4.878478E-2</v>
      </c>
      <c r="CA247" s="1">
        <v>0.16409425999999999</v>
      </c>
      <c r="CK247" s="1">
        <v>0.26388130999999998</v>
      </c>
      <c r="CM247" s="1">
        <v>6.6524700000000006E-2</v>
      </c>
      <c r="CV247" s="1">
        <v>0.14635434</v>
      </c>
      <c r="DN247" s="1">
        <v>0.19070413999999999</v>
      </c>
      <c r="ET247" s="1">
        <v>0.32818851999999998</v>
      </c>
      <c r="FE247" s="1">
        <v>2.8827370000000001E-2</v>
      </c>
    </row>
    <row r="248" spans="1:169" x14ac:dyDescent="0.2">
      <c r="A248" s="1" t="s">
        <v>2461</v>
      </c>
      <c r="B248" s="1" t="s">
        <v>55</v>
      </c>
      <c r="C248" s="1" t="s">
        <v>2453</v>
      </c>
      <c r="E248" s="1">
        <v>13</v>
      </c>
      <c r="F248" s="1" t="s">
        <v>2462</v>
      </c>
      <c r="G248" s="1" t="s">
        <v>2463</v>
      </c>
      <c r="H248" s="1" t="s">
        <v>2464</v>
      </c>
      <c r="I248" s="1" t="s">
        <v>7</v>
      </c>
      <c r="J248" s="1" t="s">
        <v>2465</v>
      </c>
      <c r="K248" s="1" t="s">
        <v>2466</v>
      </c>
      <c r="L248" s="1" t="s">
        <v>2465</v>
      </c>
      <c r="O248" s="1">
        <v>1</v>
      </c>
      <c r="P248" s="1" t="s">
        <v>1269</v>
      </c>
      <c r="Q248" s="1">
        <v>2000</v>
      </c>
      <c r="R248" s="1" t="s">
        <v>2460</v>
      </c>
      <c r="S248" s="1" t="s">
        <v>27</v>
      </c>
      <c r="T248" s="38">
        <v>1</v>
      </c>
      <c r="U248" s="1">
        <v>72.47</v>
      </c>
      <c r="V248" s="1">
        <v>2.17</v>
      </c>
      <c r="Z248" s="1">
        <v>1.3246534400000001</v>
      </c>
      <c r="AA248" s="1">
        <v>0.55695656000000004</v>
      </c>
      <c r="AD248" s="1">
        <v>0.86710138248847901</v>
      </c>
      <c r="AF248" s="1">
        <v>0.39137487999999998</v>
      </c>
      <c r="AG248" s="1">
        <v>0.16558168000000001</v>
      </c>
      <c r="CM248" s="1">
        <v>0.47981055</v>
      </c>
      <c r="CV248" s="1">
        <v>0.84484289000000001</v>
      </c>
      <c r="DN248" s="1">
        <v>0.16558168000000001</v>
      </c>
      <c r="ET248" s="1">
        <v>0.25025413000000002</v>
      </c>
      <c r="FE248" s="1">
        <v>0.14112074999999999</v>
      </c>
    </row>
    <row r="249" spans="1:169" x14ac:dyDescent="0.2">
      <c r="A249" s="1" t="s">
        <v>2467</v>
      </c>
      <c r="B249" s="1" t="s">
        <v>55</v>
      </c>
      <c r="C249" s="1" t="s">
        <v>2453</v>
      </c>
      <c r="E249" s="1">
        <v>13</v>
      </c>
      <c r="F249" s="1" t="s">
        <v>2468</v>
      </c>
      <c r="G249" s="1" t="s">
        <v>2469</v>
      </c>
      <c r="H249" s="1" t="s">
        <v>2470</v>
      </c>
      <c r="I249" s="1" t="s">
        <v>7</v>
      </c>
      <c r="J249" s="1" t="s">
        <v>2471</v>
      </c>
      <c r="K249" s="1" t="s">
        <v>2469</v>
      </c>
      <c r="L249" s="1" t="s">
        <v>2471</v>
      </c>
      <c r="O249" s="1">
        <v>1</v>
      </c>
      <c r="P249" s="1" t="s">
        <v>1269</v>
      </c>
      <c r="Q249" s="1">
        <v>2000</v>
      </c>
      <c r="R249" s="1" t="s">
        <v>2460</v>
      </c>
      <c r="S249" s="1" t="s">
        <v>27</v>
      </c>
      <c r="T249" s="38">
        <v>1</v>
      </c>
      <c r="U249" s="1">
        <v>70.73</v>
      </c>
      <c r="V249" s="1">
        <v>6.15</v>
      </c>
      <c r="Y249" s="1">
        <v>1.7120546999999999</v>
      </c>
      <c r="AA249" s="1">
        <v>3.8884902499999998</v>
      </c>
      <c r="AD249" s="1">
        <v>0.90974796747967501</v>
      </c>
      <c r="AF249" s="1">
        <v>2.0533466499999999</v>
      </c>
      <c r="AG249" s="1">
        <v>1.8351436000000001</v>
      </c>
      <c r="BG249" s="1">
        <v>1.7120546999999999</v>
      </c>
      <c r="DN249" s="1">
        <v>1.8351436000000001</v>
      </c>
      <c r="FE249" s="1">
        <v>1.0966102</v>
      </c>
      <c r="FJ249" s="1">
        <v>0.39724145</v>
      </c>
      <c r="FM249" s="1">
        <v>0.55949499999999996</v>
      </c>
    </row>
    <row r="250" spans="1:169" x14ac:dyDescent="0.2">
      <c r="A250" s="1" t="s">
        <v>2472</v>
      </c>
      <c r="B250" s="1" t="s">
        <v>55</v>
      </c>
      <c r="C250" s="1" t="s">
        <v>2453</v>
      </c>
      <c r="E250" s="1">
        <v>33</v>
      </c>
      <c r="F250" s="1" t="s">
        <v>2473</v>
      </c>
      <c r="G250" s="1" t="s">
        <v>2474</v>
      </c>
      <c r="H250" s="1" t="s">
        <v>2456</v>
      </c>
      <c r="I250" s="1" t="s">
        <v>7</v>
      </c>
      <c r="J250" s="1" t="s">
        <v>2475</v>
      </c>
      <c r="K250" s="1" t="s">
        <v>2476</v>
      </c>
      <c r="L250" s="1" t="s">
        <v>2477</v>
      </c>
      <c r="O250" s="1">
        <v>1</v>
      </c>
      <c r="P250" s="1" t="s">
        <v>1269</v>
      </c>
      <c r="Q250" s="1">
        <v>2000</v>
      </c>
      <c r="R250" s="1" t="s">
        <v>2460</v>
      </c>
      <c r="S250" s="1" t="s">
        <v>27</v>
      </c>
      <c r="T250" s="38">
        <v>1</v>
      </c>
      <c r="U250" s="1">
        <v>73.89</v>
      </c>
      <c r="V250" s="1">
        <v>2.73</v>
      </c>
      <c r="Y250" s="1">
        <v>1.1780041000000001</v>
      </c>
      <c r="AA250" s="1">
        <v>1.22127772</v>
      </c>
      <c r="AD250" s="1">
        <v>0.88061904761904797</v>
      </c>
      <c r="AF250" s="1">
        <v>0.65150839000000005</v>
      </c>
      <c r="AG250" s="1">
        <v>0.57457751000000001</v>
      </c>
      <c r="BG250" s="1">
        <v>1.1780041000000001</v>
      </c>
      <c r="DN250" s="1">
        <v>0.57457751000000001</v>
      </c>
      <c r="ET250" s="1">
        <v>0.31012761</v>
      </c>
      <c r="FE250" s="1">
        <v>0.10577996000000001</v>
      </c>
      <c r="FM250" s="1">
        <v>0.23079263999999999</v>
      </c>
    </row>
    <row r="251" spans="1:169" x14ac:dyDescent="0.2">
      <c r="A251" s="1" t="s">
        <v>2478</v>
      </c>
      <c r="B251" s="1" t="s">
        <v>55</v>
      </c>
      <c r="C251" s="1" t="s">
        <v>2453</v>
      </c>
      <c r="E251" s="1">
        <v>33</v>
      </c>
      <c r="F251" s="1" t="s">
        <v>2479</v>
      </c>
      <c r="G251" s="1" t="s">
        <v>1407</v>
      </c>
      <c r="H251" s="1" t="s">
        <v>2480</v>
      </c>
      <c r="I251" s="1" t="s">
        <v>7</v>
      </c>
      <c r="J251" s="1" t="s">
        <v>2481</v>
      </c>
      <c r="K251" s="1" t="s">
        <v>2482</v>
      </c>
      <c r="L251" s="1" t="s">
        <v>2483</v>
      </c>
      <c r="O251" s="1">
        <v>1</v>
      </c>
      <c r="P251" s="1" t="s">
        <v>1269</v>
      </c>
      <c r="Q251" s="1">
        <v>2000</v>
      </c>
      <c r="R251" s="1" t="s">
        <v>2460</v>
      </c>
      <c r="S251" s="1" t="s">
        <v>27</v>
      </c>
      <c r="T251" s="38">
        <v>1</v>
      </c>
      <c r="U251" s="1">
        <v>76.95</v>
      </c>
      <c r="V251" s="1">
        <v>2.11</v>
      </c>
      <c r="Y251" s="1">
        <v>0.46736127999999999</v>
      </c>
      <c r="Z251" s="1">
        <v>0.49474572999999999</v>
      </c>
      <c r="AA251" s="1">
        <v>0.87995365999999997</v>
      </c>
      <c r="AD251" s="1">
        <v>0.86522748815165895</v>
      </c>
      <c r="AF251" s="1">
        <v>0.77771838000000004</v>
      </c>
      <c r="AG251" s="1">
        <v>0.10223528</v>
      </c>
      <c r="AW251" s="1">
        <v>4.1989489999999997E-2</v>
      </c>
      <c r="BA251" s="1">
        <v>0.42537179000000003</v>
      </c>
      <c r="CA251" s="1">
        <v>8.9455870000000007E-2</v>
      </c>
      <c r="CK251" s="1">
        <v>0.29940331999999997</v>
      </c>
      <c r="CM251" s="1">
        <v>0.10588654</v>
      </c>
      <c r="DN251" s="1">
        <v>0.10223528</v>
      </c>
      <c r="FE251" s="1">
        <v>0.22455248999999999</v>
      </c>
      <c r="FJ251" s="1">
        <v>5.4768900000000002E-2</v>
      </c>
      <c r="FM251" s="1">
        <v>0.49839698999999998</v>
      </c>
    </row>
    <row r="252" spans="1:169" x14ac:dyDescent="0.2">
      <c r="A252" s="1" t="s">
        <v>2484</v>
      </c>
      <c r="B252" s="1" t="s">
        <v>55</v>
      </c>
      <c r="C252" s="1" t="s">
        <v>2453</v>
      </c>
      <c r="E252" s="1">
        <v>33</v>
      </c>
      <c r="F252" s="1" t="s">
        <v>2485</v>
      </c>
      <c r="G252" s="1" t="s">
        <v>2486</v>
      </c>
      <c r="H252" s="1" t="s">
        <v>2487</v>
      </c>
      <c r="I252" s="1" t="s">
        <v>7</v>
      </c>
      <c r="J252" s="1" t="s">
        <v>2488</v>
      </c>
      <c r="K252" s="1" t="s">
        <v>2489</v>
      </c>
      <c r="L252" s="1" t="s">
        <v>2488</v>
      </c>
      <c r="O252" s="1">
        <v>1</v>
      </c>
      <c r="P252" s="1" t="s">
        <v>1269</v>
      </c>
      <c r="Q252" s="1">
        <v>2000</v>
      </c>
      <c r="R252" s="1" t="s">
        <v>2460</v>
      </c>
      <c r="S252" s="1" t="s">
        <v>27</v>
      </c>
      <c r="T252" s="38">
        <v>1</v>
      </c>
      <c r="U252" s="1">
        <v>71.09</v>
      </c>
      <c r="V252" s="1">
        <v>6.03</v>
      </c>
      <c r="Y252" s="1">
        <v>2.7524609799999999</v>
      </c>
      <c r="Z252" s="1">
        <v>1.93549547</v>
      </c>
      <c r="AA252" s="1">
        <v>0.80051654000000005</v>
      </c>
      <c r="AD252" s="1">
        <v>0.909285240464345</v>
      </c>
      <c r="AF252" s="1">
        <v>0.72923766999999995</v>
      </c>
      <c r="AG252" s="1">
        <v>7.1278869999999994E-2</v>
      </c>
      <c r="AW252" s="1">
        <v>0.41122425000000001</v>
      </c>
      <c r="BA252" s="1">
        <v>2.2370599200000001</v>
      </c>
      <c r="BG252" s="1">
        <v>0.10417680999999999</v>
      </c>
      <c r="CA252" s="1">
        <v>0.98145521000000002</v>
      </c>
      <c r="CK252" s="1">
        <v>9.3210829999999995E-2</v>
      </c>
      <c r="CM252" s="1">
        <v>0.81148251999999998</v>
      </c>
      <c r="CV252" s="1">
        <v>4.9346910000000001E-2</v>
      </c>
      <c r="DN252" s="1">
        <v>7.1278869999999994E-2</v>
      </c>
      <c r="ET252" s="1">
        <v>0.20835361999999999</v>
      </c>
      <c r="FE252" s="1">
        <v>0.23576857000000001</v>
      </c>
      <c r="FJ252" s="1">
        <v>0.14255773999999999</v>
      </c>
      <c r="FM252" s="1">
        <v>0.14255773999999999</v>
      </c>
    </row>
    <row r="253" spans="1:169" x14ac:dyDescent="0.2">
      <c r="A253" s="1" t="s">
        <v>2490</v>
      </c>
      <c r="B253" s="1" t="s">
        <v>55</v>
      </c>
      <c r="C253" s="1" t="s">
        <v>2453</v>
      </c>
      <c r="E253" s="1">
        <v>32</v>
      </c>
      <c r="F253" s="1" t="s">
        <v>2491</v>
      </c>
      <c r="G253" s="1" t="s">
        <v>2492</v>
      </c>
      <c r="H253" s="1" t="s">
        <v>2493</v>
      </c>
      <c r="I253" s="1" t="s">
        <v>7</v>
      </c>
      <c r="J253" s="1" t="s">
        <v>2494</v>
      </c>
      <c r="K253" s="1" t="s">
        <v>2495</v>
      </c>
      <c r="L253" s="1" t="s">
        <v>2494</v>
      </c>
      <c r="O253" s="1">
        <v>1</v>
      </c>
      <c r="P253" s="1" t="s">
        <v>1269</v>
      </c>
      <c r="Q253" s="1">
        <v>2000</v>
      </c>
      <c r="R253" s="1" t="s">
        <v>2460</v>
      </c>
      <c r="S253" s="1" t="s">
        <v>27</v>
      </c>
      <c r="T253" s="38">
        <v>1</v>
      </c>
      <c r="U253" s="1">
        <v>77.209999999999994</v>
      </c>
      <c r="V253" s="1">
        <v>1.82</v>
      </c>
      <c r="Y253" s="1">
        <v>0.80396601999999995</v>
      </c>
      <c r="Z253" s="1">
        <v>0.4587427</v>
      </c>
      <c r="AA253" s="1">
        <v>0.28924116</v>
      </c>
      <c r="AD253" s="1">
        <v>0.85442857142857198</v>
      </c>
      <c r="AF253" s="1">
        <v>0.28924116</v>
      </c>
      <c r="AW253" s="1">
        <v>6.5312519999999999E-2</v>
      </c>
      <c r="BA253" s="1">
        <v>0.73865349999999996</v>
      </c>
      <c r="CA253" s="1">
        <v>0.27369056000000003</v>
      </c>
      <c r="CK253" s="1">
        <v>0.18505214</v>
      </c>
      <c r="FJ253" s="1">
        <v>0.28924116</v>
      </c>
    </row>
    <row r="254" spans="1:169" x14ac:dyDescent="0.2">
      <c r="A254" s="1" t="s">
        <v>2496</v>
      </c>
      <c r="B254" s="1" t="s">
        <v>55</v>
      </c>
      <c r="C254" s="1" t="s">
        <v>2453</v>
      </c>
      <c r="E254" s="1">
        <v>33</v>
      </c>
      <c r="F254" s="1" t="s">
        <v>2497</v>
      </c>
      <c r="G254" s="1" t="s">
        <v>2498</v>
      </c>
      <c r="H254" s="1" t="s">
        <v>2499</v>
      </c>
      <c r="I254" s="1" t="s">
        <v>7</v>
      </c>
      <c r="J254" s="1" t="s">
        <v>2500</v>
      </c>
      <c r="K254" s="1" t="s">
        <v>2501</v>
      </c>
      <c r="L254" s="1" t="s">
        <v>2500</v>
      </c>
      <c r="O254" s="1">
        <v>1</v>
      </c>
      <c r="P254" s="1" t="s">
        <v>1269</v>
      </c>
      <c r="Q254" s="1">
        <v>2000</v>
      </c>
      <c r="R254" s="1" t="s">
        <v>2460</v>
      </c>
      <c r="S254" s="1" t="s">
        <v>27</v>
      </c>
      <c r="T254" s="38">
        <v>1</v>
      </c>
      <c r="U254" s="1">
        <v>78.64</v>
      </c>
      <c r="V254" s="1">
        <v>1.68</v>
      </c>
      <c r="Y254" s="1">
        <v>0.56977599999999995</v>
      </c>
      <c r="Z254" s="1">
        <v>0.62390471999999997</v>
      </c>
      <c r="AA254" s="1">
        <v>0.23503260000000001</v>
      </c>
      <c r="AD254" s="1">
        <v>0.84788095238095196</v>
      </c>
      <c r="AF254" s="1">
        <v>0.23503260000000001</v>
      </c>
      <c r="AW254" s="1">
        <v>2.9913240000000001E-2</v>
      </c>
      <c r="BA254" s="1">
        <v>0.50140288</v>
      </c>
      <c r="BG254" s="1">
        <v>3.8459880000000002E-2</v>
      </c>
      <c r="CA254" s="1">
        <v>0.23645704000000001</v>
      </c>
      <c r="CK254" s="1">
        <v>0.12677516</v>
      </c>
      <c r="CM254" s="1">
        <v>0.21509043999999999</v>
      </c>
      <c r="FE254" s="1">
        <v>4.4157639999999998E-2</v>
      </c>
      <c r="FJ254" s="1">
        <v>2.4215480000000001E-2</v>
      </c>
      <c r="FM254" s="1">
        <v>0.16665948</v>
      </c>
    </row>
    <row r="255" spans="1:169" x14ac:dyDescent="0.2">
      <c r="A255" s="1" t="s">
        <v>2502</v>
      </c>
      <c r="B255" s="1" t="s">
        <v>55</v>
      </c>
      <c r="C255" s="1" t="s">
        <v>2453</v>
      </c>
      <c r="E255" s="1">
        <v>33</v>
      </c>
      <c r="F255" s="1" t="s">
        <v>2503</v>
      </c>
      <c r="G255" s="1" t="s">
        <v>2504</v>
      </c>
      <c r="H255" s="1" t="s">
        <v>2505</v>
      </c>
      <c r="I255" s="1" t="s">
        <v>7</v>
      </c>
      <c r="J255" s="1" t="s">
        <v>2506</v>
      </c>
      <c r="K255" s="1" t="s">
        <v>2507</v>
      </c>
      <c r="L255" s="1" t="s">
        <v>2506</v>
      </c>
      <c r="O255" s="1">
        <v>1</v>
      </c>
      <c r="P255" s="1" t="s">
        <v>1269</v>
      </c>
      <c r="Q255" s="1">
        <v>2000</v>
      </c>
      <c r="R255" s="1" t="s">
        <v>2460</v>
      </c>
      <c r="S255" s="1" t="s">
        <v>27</v>
      </c>
      <c r="T255" s="38">
        <v>1</v>
      </c>
      <c r="U255" s="1">
        <v>76.72</v>
      </c>
      <c r="V255" s="1">
        <v>1.1200000000000001</v>
      </c>
      <c r="Y255" s="1">
        <v>0.33462715999999998</v>
      </c>
      <c r="Z255" s="1">
        <v>0.26156839999999998</v>
      </c>
      <c r="AA255" s="1">
        <v>0.30666640000000001</v>
      </c>
      <c r="AD255" s="1">
        <v>0.80532142857142897</v>
      </c>
      <c r="AF255" s="1">
        <v>0.29584287999999997</v>
      </c>
      <c r="AG255" s="1">
        <v>1.082352E-2</v>
      </c>
      <c r="AW255" s="1">
        <v>3.8784279999999997E-2</v>
      </c>
      <c r="BA255" s="1">
        <v>0.26517624000000001</v>
      </c>
      <c r="BG255" s="1">
        <v>3.0666639999999998E-2</v>
      </c>
      <c r="CA255" s="1">
        <v>6.6745040000000005E-2</v>
      </c>
      <c r="CK255" s="1">
        <v>0.15243124</v>
      </c>
      <c r="CM255" s="1">
        <v>4.2392119999999998E-2</v>
      </c>
      <c r="DN255" s="1">
        <v>1.082352E-2</v>
      </c>
      <c r="FE255" s="1">
        <v>5.0509760000000001E-2</v>
      </c>
      <c r="FJ255" s="1">
        <v>3.5176440000000003E-2</v>
      </c>
      <c r="FM255" s="1">
        <v>0.21015668000000001</v>
      </c>
    </row>
    <row r="256" spans="1:169" x14ac:dyDescent="0.2">
      <c r="A256" s="1" t="s">
        <v>2508</v>
      </c>
      <c r="B256" s="1" t="s">
        <v>55</v>
      </c>
      <c r="C256" s="1" t="s">
        <v>2453</v>
      </c>
      <c r="E256" s="1">
        <v>33</v>
      </c>
      <c r="F256" s="1" t="s">
        <v>2509</v>
      </c>
      <c r="G256" s="1" t="s">
        <v>2510</v>
      </c>
      <c r="H256" s="1" t="s">
        <v>2511</v>
      </c>
      <c r="I256" s="1" t="s">
        <v>7</v>
      </c>
      <c r="J256" s="1" t="s">
        <v>2512</v>
      </c>
      <c r="K256" s="1" t="s">
        <v>2513</v>
      </c>
      <c r="L256" s="1" t="s">
        <v>2512</v>
      </c>
      <c r="O256" s="1">
        <v>1</v>
      </c>
      <c r="P256" s="1" t="s">
        <v>1269</v>
      </c>
      <c r="Q256" s="1">
        <v>2000</v>
      </c>
      <c r="R256" s="1" t="s">
        <v>2460</v>
      </c>
      <c r="S256" s="1" t="s">
        <v>27</v>
      </c>
      <c r="T256" s="38">
        <v>1</v>
      </c>
      <c r="U256" s="1">
        <v>77.12</v>
      </c>
      <c r="V256" s="1">
        <v>1.66</v>
      </c>
      <c r="Y256" s="1">
        <v>0.68883220000000001</v>
      </c>
      <c r="Z256" s="1">
        <v>0.37956060000000003</v>
      </c>
      <c r="AA256" s="1">
        <v>0.33316985999999998</v>
      </c>
      <c r="AD256" s="1">
        <v>0.84685542168674699</v>
      </c>
      <c r="AF256" s="1">
        <v>0.27272131999999999</v>
      </c>
      <c r="AG256" s="1">
        <v>6.0448540000000002E-2</v>
      </c>
      <c r="AW256" s="1">
        <v>5.2013860000000002E-2</v>
      </c>
      <c r="BA256" s="1">
        <v>0.58480447999999996</v>
      </c>
      <c r="BG256" s="1">
        <v>5.2013860000000002E-2</v>
      </c>
      <c r="CA256" s="1">
        <v>0.19821498000000001</v>
      </c>
      <c r="CK256" s="1">
        <v>0.18134562000000001</v>
      </c>
      <c r="DN256" s="1">
        <v>6.0448540000000002E-2</v>
      </c>
      <c r="FJ256" s="1">
        <v>0.27272131999999999</v>
      </c>
    </row>
    <row r="257" spans="1:169" x14ac:dyDescent="0.2">
      <c r="A257" s="1" t="s">
        <v>2514</v>
      </c>
      <c r="B257" s="1" t="s">
        <v>55</v>
      </c>
      <c r="C257" s="1" t="s">
        <v>2453</v>
      </c>
      <c r="E257" s="1">
        <v>12</v>
      </c>
      <c r="F257" s="1" t="s">
        <v>2515</v>
      </c>
      <c r="G257" s="1" t="s">
        <v>2516</v>
      </c>
      <c r="H257" s="1" t="s">
        <v>2517</v>
      </c>
      <c r="I257" s="1" t="s">
        <v>7</v>
      </c>
      <c r="J257" s="1" t="s">
        <v>2518</v>
      </c>
      <c r="K257" s="1" t="s">
        <v>2519</v>
      </c>
      <c r="L257" s="1" t="s">
        <v>2520</v>
      </c>
      <c r="O257" s="1">
        <v>1</v>
      </c>
      <c r="P257" s="1" t="s">
        <v>1269</v>
      </c>
      <c r="Q257" s="1">
        <v>2000</v>
      </c>
      <c r="R257" s="1" t="s">
        <v>2460</v>
      </c>
      <c r="S257" s="1" t="s">
        <v>27</v>
      </c>
      <c r="T257" s="38">
        <v>1</v>
      </c>
      <c r="U257" s="1">
        <v>72.36</v>
      </c>
      <c r="V257" s="1">
        <v>2.2599999999999998</v>
      </c>
      <c r="Y257" s="1">
        <v>0.12776270000000001</v>
      </c>
      <c r="Z257" s="1">
        <v>0.27321561999999999</v>
      </c>
      <c r="AA257" s="1">
        <v>1.58032632</v>
      </c>
      <c r="AD257" s="1">
        <v>0.86972566371681403</v>
      </c>
      <c r="AF257" s="1">
        <v>0.64864140000000003</v>
      </c>
      <c r="AG257" s="1">
        <v>0.93758165999999998</v>
      </c>
      <c r="AW257" s="1">
        <v>0.12776270000000001</v>
      </c>
      <c r="CA257" s="1">
        <v>0.27321561999999999</v>
      </c>
      <c r="DN257" s="1">
        <v>0.93168492000000003</v>
      </c>
      <c r="ET257" s="1">
        <v>0.36166672</v>
      </c>
      <c r="FE257" s="1">
        <v>0.10614132</v>
      </c>
      <c r="FJ257" s="1">
        <v>8.2554359999999993E-2</v>
      </c>
      <c r="FM257" s="1">
        <v>9.8279000000000005E-2</v>
      </c>
    </row>
    <row r="258" spans="1:169" x14ac:dyDescent="0.2">
      <c r="A258" s="1" t="s">
        <v>2521</v>
      </c>
      <c r="B258" s="1" t="s">
        <v>55</v>
      </c>
      <c r="C258" s="1" t="s">
        <v>2453</v>
      </c>
      <c r="E258" s="1">
        <v>23</v>
      </c>
      <c r="F258" s="1" t="s">
        <v>1471</v>
      </c>
      <c r="G258" s="1" t="s">
        <v>2522</v>
      </c>
      <c r="H258" s="1" t="s">
        <v>2523</v>
      </c>
      <c r="I258" s="1" t="s">
        <v>7</v>
      </c>
      <c r="J258" s="1" t="s">
        <v>1473</v>
      </c>
      <c r="K258" s="1" t="s">
        <v>1474</v>
      </c>
      <c r="L258" s="1" t="s">
        <v>1473</v>
      </c>
      <c r="O258" s="1">
        <v>1</v>
      </c>
      <c r="P258" s="1" t="s">
        <v>1269</v>
      </c>
      <c r="Q258" s="1">
        <v>2000</v>
      </c>
      <c r="R258" s="1" t="s">
        <v>2460</v>
      </c>
      <c r="S258" s="1" t="s">
        <v>27</v>
      </c>
      <c r="T258" s="38">
        <v>1</v>
      </c>
      <c r="U258" s="1">
        <v>77.06</v>
      </c>
      <c r="V258" s="1">
        <v>1.5</v>
      </c>
      <c r="Y258" s="1">
        <v>0.3681545</v>
      </c>
      <c r="Z258" s="1">
        <v>0.47370050000000002</v>
      </c>
      <c r="AA258" s="1">
        <v>0.41464499999999999</v>
      </c>
      <c r="AD258" s="1">
        <v>0.837666666666667</v>
      </c>
      <c r="AF258" s="1">
        <v>0.256326</v>
      </c>
      <c r="AG258" s="1">
        <v>0.15831899999999999</v>
      </c>
      <c r="AW258" s="1">
        <v>4.2721000000000002E-2</v>
      </c>
      <c r="BA258" s="1">
        <v>0.32543349999999999</v>
      </c>
      <c r="CA258" s="1">
        <v>0.1243935</v>
      </c>
      <c r="CK258" s="1">
        <v>0.29653400000000002</v>
      </c>
      <c r="DN258" s="1">
        <v>0.15831899999999999</v>
      </c>
      <c r="FE258" s="1">
        <v>2.513E-2</v>
      </c>
      <c r="FM258" s="1">
        <v>0.23119600000000001</v>
      </c>
    </row>
    <row r="259" spans="1:169" x14ac:dyDescent="0.2">
      <c r="A259" s="1" t="s">
        <v>2524</v>
      </c>
      <c r="B259" s="1" t="s">
        <v>55</v>
      </c>
      <c r="C259" s="1" t="s">
        <v>2525</v>
      </c>
      <c r="D259" s="1" t="s">
        <v>2</v>
      </c>
      <c r="E259" s="1">
        <v>13</v>
      </c>
      <c r="F259" s="1" t="s">
        <v>2526</v>
      </c>
      <c r="H259" s="1" t="s">
        <v>2527</v>
      </c>
      <c r="I259" s="1" t="s">
        <v>7</v>
      </c>
      <c r="J259" s="1" t="s">
        <v>2528</v>
      </c>
      <c r="L259" s="1" t="s">
        <v>2528</v>
      </c>
      <c r="M259" s="1" t="s">
        <v>2529</v>
      </c>
      <c r="O259" s="1">
        <v>3</v>
      </c>
      <c r="P259" s="1" t="s">
        <v>1269</v>
      </c>
      <c r="Q259" s="1">
        <v>2008</v>
      </c>
      <c r="R259" s="1" t="s">
        <v>2530</v>
      </c>
      <c r="S259" s="1" t="s">
        <v>27</v>
      </c>
      <c r="T259" s="38">
        <v>1</v>
      </c>
      <c r="U259" s="1">
        <v>79.599999999999994</v>
      </c>
      <c r="V259" s="1">
        <v>2.5099999999999998</v>
      </c>
      <c r="Y259" s="1">
        <v>0.76739166999999997</v>
      </c>
      <c r="Z259" s="1">
        <v>0.75199985999999996</v>
      </c>
      <c r="AA259" s="1">
        <v>0.63766069999999997</v>
      </c>
      <c r="AD259" s="1">
        <v>0.87602788844621504</v>
      </c>
      <c r="AF259" s="1">
        <v>0.143143833</v>
      </c>
      <c r="AG259" s="1">
        <v>0.49033908999999998</v>
      </c>
      <c r="AW259" s="1">
        <v>2.9464322000000001E-2</v>
      </c>
      <c r="BA259" s="1">
        <v>0.54091217999999996</v>
      </c>
      <c r="BG259" s="1">
        <v>0.18426195400000001</v>
      </c>
      <c r="BM259" s="1">
        <v>1.4512278E-2</v>
      </c>
      <c r="BZ259" s="1">
        <v>0.118516937</v>
      </c>
      <c r="CI259" s="1">
        <v>0.65525133999999996</v>
      </c>
      <c r="CV259" s="1">
        <v>2.0888884999999999E-2</v>
      </c>
      <c r="DK259" s="1">
        <v>0.42217536</v>
      </c>
      <c r="EH259" s="1">
        <v>3.1003503000000002E-2</v>
      </c>
      <c r="EX259" s="1">
        <v>7.1461974999999997E-2</v>
      </c>
      <c r="FJ259" s="1">
        <v>2.7265491999999999E-2</v>
      </c>
      <c r="FM259" s="1">
        <v>8.5754369999999996E-2</v>
      </c>
    </row>
    <row r="260" spans="1:169" x14ac:dyDescent="0.2">
      <c r="A260" s="1" t="s">
        <v>2531</v>
      </c>
      <c r="B260" s="1" t="s">
        <v>55</v>
      </c>
      <c r="C260" s="1" t="s">
        <v>2525</v>
      </c>
      <c r="D260" s="1" t="s">
        <v>2</v>
      </c>
      <c r="E260" s="1">
        <v>13</v>
      </c>
      <c r="F260" s="1" t="s">
        <v>2526</v>
      </c>
      <c r="H260" s="1" t="s">
        <v>2532</v>
      </c>
      <c r="I260" s="1" t="s">
        <v>11</v>
      </c>
      <c r="J260" s="1" t="s">
        <v>2528</v>
      </c>
      <c r="L260" s="1" t="s">
        <v>2528</v>
      </c>
      <c r="M260" s="1" t="s">
        <v>2529</v>
      </c>
      <c r="O260" s="1">
        <v>3</v>
      </c>
      <c r="P260" s="1" t="s">
        <v>1269</v>
      </c>
      <c r="Q260" s="1">
        <v>2008</v>
      </c>
      <c r="R260" s="1" t="s">
        <v>2530</v>
      </c>
      <c r="S260" s="1" t="s">
        <v>27</v>
      </c>
      <c r="T260" s="38">
        <v>1</v>
      </c>
      <c r="U260" s="1">
        <v>74.900000000000006</v>
      </c>
      <c r="V260" s="1">
        <v>2.4500000000000002</v>
      </c>
      <c r="Y260" s="1">
        <v>0.77356884999999997</v>
      </c>
      <c r="Z260" s="1">
        <v>0.73928324999999995</v>
      </c>
      <c r="AA260" s="1">
        <v>0.6299979</v>
      </c>
      <c r="AD260" s="1">
        <v>0.87463265306122495</v>
      </c>
      <c r="AF260" s="1">
        <v>0.161785175</v>
      </c>
      <c r="AG260" s="1">
        <v>0.46285559999999998</v>
      </c>
      <c r="AW260" s="1">
        <v>2.7214195E-2</v>
      </c>
      <c r="BA260" s="1">
        <v>0.53571250000000004</v>
      </c>
      <c r="BG260" s="1">
        <v>0.18578509500000001</v>
      </c>
      <c r="BI260" s="1">
        <v>9.2142549999999993E-3</v>
      </c>
      <c r="BM260" s="1">
        <v>1.6499944999999999E-2</v>
      </c>
      <c r="BZ260" s="1">
        <v>0.11785675</v>
      </c>
      <c r="CI260" s="1">
        <v>0.58928375</v>
      </c>
      <c r="CV260" s="1">
        <v>2.057136E-2</v>
      </c>
      <c r="DB260" s="1">
        <v>9.8571100000000005E-3</v>
      </c>
      <c r="DK260" s="1">
        <v>0.37714160000000002</v>
      </c>
      <c r="EH260" s="1">
        <v>2.6999909999999998E-2</v>
      </c>
      <c r="EX260" s="1">
        <v>8.9142559999999996E-2</v>
      </c>
      <c r="FJ260" s="1">
        <v>3.1499895E-2</v>
      </c>
      <c r="FM260" s="1">
        <v>0.10478536500000001</v>
      </c>
    </row>
    <row r="261" spans="1:169" x14ac:dyDescent="0.2">
      <c r="A261" s="1" t="s">
        <v>2533</v>
      </c>
      <c r="B261" s="1" t="s">
        <v>55</v>
      </c>
      <c r="C261" s="1" t="s">
        <v>2525</v>
      </c>
      <c r="D261" s="1" t="s">
        <v>2</v>
      </c>
      <c r="E261" s="1">
        <v>13</v>
      </c>
      <c r="F261" s="1" t="s">
        <v>2526</v>
      </c>
      <c r="H261" s="1" t="s">
        <v>2534</v>
      </c>
      <c r="I261" s="1" t="s">
        <v>11</v>
      </c>
      <c r="J261" s="1" t="s">
        <v>2528</v>
      </c>
      <c r="L261" s="1" t="s">
        <v>2528</v>
      </c>
      <c r="M261" s="1" t="s">
        <v>2529</v>
      </c>
      <c r="O261" s="1">
        <v>3</v>
      </c>
      <c r="P261" s="1" t="s">
        <v>1269</v>
      </c>
      <c r="Q261" s="1">
        <v>2008</v>
      </c>
      <c r="R261" s="1" t="s">
        <v>2530</v>
      </c>
      <c r="S261" s="1" t="s">
        <v>27</v>
      </c>
      <c r="T261" s="38">
        <v>1</v>
      </c>
      <c r="U261" s="1">
        <v>70.2</v>
      </c>
      <c r="V261" s="1">
        <v>3.64</v>
      </c>
      <c r="Y261" s="1">
        <v>1.138592</v>
      </c>
      <c r="Z261" s="1">
        <v>1.1808825599999999</v>
      </c>
      <c r="AA261" s="1">
        <v>0.93364544000000005</v>
      </c>
      <c r="AD261" s="1">
        <v>0.89371428571428602</v>
      </c>
      <c r="AF261" s="1">
        <v>0.20982624</v>
      </c>
      <c r="AG261" s="1">
        <v>0.71568639999999994</v>
      </c>
      <c r="AW261" s="1">
        <v>4.4567743999999999E-2</v>
      </c>
      <c r="BA261" s="1">
        <v>0.78725504000000002</v>
      </c>
      <c r="BG261" s="1">
        <v>0.26838240000000002</v>
      </c>
      <c r="BI261" s="1">
        <v>1.4313728E-2</v>
      </c>
      <c r="BK261" s="1">
        <v>3.25312E-3</v>
      </c>
      <c r="BM261" s="1">
        <v>1.9193407999999999E-2</v>
      </c>
      <c r="BQ261" s="1">
        <v>8.4581120000000003E-3</v>
      </c>
      <c r="BZ261" s="1">
        <v>0.178270976</v>
      </c>
      <c r="CI261" s="1">
        <v>0.94991104000000004</v>
      </c>
      <c r="CV261" s="1">
        <v>3.3507136E-2</v>
      </c>
      <c r="DB261" s="1">
        <v>1.0735296E-2</v>
      </c>
      <c r="DK261" s="1">
        <v>0.6180928</v>
      </c>
      <c r="EH261" s="1">
        <v>5.0098047999999999E-2</v>
      </c>
      <c r="EX261" s="1">
        <v>0.103449216</v>
      </c>
      <c r="FJ261" s="1">
        <v>3.7410880000000001E-2</v>
      </c>
      <c r="FM261" s="1">
        <v>0.123943872</v>
      </c>
    </row>
    <row r="262" spans="1:169" x14ac:dyDescent="0.2">
      <c r="A262" s="1" t="s">
        <v>2535</v>
      </c>
      <c r="B262" s="1" t="s">
        <v>55</v>
      </c>
      <c r="C262" s="1" t="s">
        <v>2525</v>
      </c>
      <c r="D262" s="1" t="s">
        <v>2</v>
      </c>
      <c r="E262" s="1">
        <v>13</v>
      </c>
      <c r="F262" s="1" t="s">
        <v>2526</v>
      </c>
      <c r="H262" s="1" t="s">
        <v>2536</v>
      </c>
      <c r="I262" s="1" t="s">
        <v>11</v>
      </c>
      <c r="J262" s="1" t="s">
        <v>2528</v>
      </c>
      <c r="L262" s="1" t="s">
        <v>2528</v>
      </c>
      <c r="M262" s="1" t="s">
        <v>2529</v>
      </c>
      <c r="O262" s="1">
        <v>3</v>
      </c>
      <c r="P262" s="1" t="s">
        <v>1269</v>
      </c>
      <c r="Q262" s="1">
        <v>2008</v>
      </c>
      <c r="R262" s="1" t="s">
        <v>2530</v>
      </c>
      <c r="S262" s="1" t="s">
        <v>27</v>
      </c>
      <c r="T262" s="38">
        <v>1</v>
      </c>
      <c r="U262" s="1">
        <v>71.400000000000006</v>
      </c>
      <c r="V262" s="1">
        <v>3.37</v>
      </c>
      <c r="Y262" s="1">
        <v>1.06843076</v>
      </c>
      <c r="Z262" s="1">
        <v>1.12845496</v>
      </c>
      <c r="AA262" s="1">
        <v>0.80432428</v>
      </c>
      <c r="AD262" s="1">
        <v>0.89056676557863501</v>
      </c>
      <c r="AF262" s="1">
        <v>0.187575625</v>
      </c>
      <c r="AG262" s="1">
        <v>0.60924562999999998</v>
      </c>
      <c r="AW262" s="1">
        <v>4.1416698000000002E-2</v>
      </c>
      <c r="BA262" s="1">
        <v>0.73529644999999999</v>
      </c>
      <c r="BG262" s="1">
        <v>0.25660345499999998</v>
      </c>
      <c r="BI262" s="1">
        <v>1.3205323999999999E-2</v>
      </c>
      <c r="BK262" s="1">
        <v>3.0012099999999998E-3</v>
      </c>
      <c r="BM262" s="1">
        <v>1.8607502000000001E-2</v>
      </c>
      <c r="BQ262" s="1">
        <v>8.7035089999999999E-3</v>
      </c>
      <c r="BZ262" s="1">
        <v>0.18277368899999999</v>
      </c>
      <c r="CI262" s="1">
        <v>0.89736179000000005</v>
      </c>
      <c r="CV262" s="1">
        <v>3.1212584000000002E-2</v>
      </c>
      <c r="DB262" s="1">
        <v>1.0504235000000001E-2</v>
      </c>
      <c r="DK262" s="1">
        <v>0.51620812000000005</v>
      </c>
      <c r="EH262" s="1">
        <v>4.1416698000000002E-2</v>
      </c>
      <c r="EX262" s="1">
        <v>9.6939082999999995E-2</v>
      </c>
      <c r="FJ262" s="1">
        <v>3.5114157E-2</v>
      </c>
      <c r="FM262" s="1">
        <v>0.112845496</v>
      </c>
    </row>
    <row r="263" spans="1:169" x14ac:dyDescent="0.2">
      <c r="A263" s="1" t="s">
        <v>2537</v>
      </c>
      <c r="B263" s="1" t="s">
        <v>55</v>
      </c>
      <c r="C263" s="1" t="s">
        <v>2525</v>
      </c>
      <c r="D263" s="1" t="s">
        <v>2</v>
      </c>
      <c r="E263" s="1">
        <v>13</v>
      </c>
      <c r="F263" s="1" t="s">
        <v>2526</v>
      </c>
      <c r="H263" s="1" t="s">
        <v>2538</v>
      </c>
      <c r="I263" s="1" t="s">
        <v>11</v>
      </c>
      <c r="J263" s="1" t="s">
        <v>2528</v>
      </c>
      <c r="L263" s="1" t="s">
        <v>2528</v>
      </c>
      <c r="M263" s="1" t="s">
        <v>2529</v>
      </c>
      <c r="O263" s="1">
        <v>3</v>
      </c>
      <c r="P263" s="1" t="s">
        <v>1269</v>
      </c>
      <c r="Q263" s="1">
        <v>2008</v>
      </c>
      <c r="R263" s="1" t="s">
        <v>2530</v>
      </c>
      <c r="S263" s="1" t="s">
        <v>27</v>
      </c>
      <c r="T263" s="38">
        <v>1</v>
      </c>
      <c r="U263" s="1" t="s">
        <v>2539</v>
      </c>
      <c r="V263" s="1" t="s">
        <v>2541</v>
      </c>
      <c r="Y263" s="1">
        <v>1.15025073</v>
      </c>
      <c r="Z263" s="1">
        <v>1.19436064</v>
      </c>
      <c r="AA263" s="1">
        <v>1.0484586300000001</v>
      </c>
      <c r="AD263" s="1">
        <v>0.89526912928759905</v>
      </c>
      <c r="AF263" s="1">
        <v>0.23005014600000001</v>
      </c>
      <c r="AG263" s="1">
        <v>0.81094372999999997</v>
      </c>
      <c r="AW263" s="1">
        <v>4.1395453999999998E-2</v>
      </c>
      <c r="BA263" s="1">
        <v>0.79737144999999998</v>
      </c>
      <c r="BG263" s="1">
        <v>0.27212421399999998</v>
      </c>
      <c r="BI263" s="1">
        <v>1.5268815E-2</v>
      </c>
      <c r="BK263" s="1">
        <v>4.750298E-3</v>
      </c>
      <c r="BM263" s="1">
        <v>2.1037034E-2</v>
      </c>
      <c r="BZ263" s="1">
        <v>0.17202864900000001</v>
      </c>
      <c r="CI263" s="1">
        <v>0.98059722999999999</v>
      </c>
      <c r="CV263" s="1">
        <v>3.1555551000000001E-2</v>
      </c>
      <c r="DB263" s="1">
        <v>1.1536438E-2</v>
      </c>
      <c r="DK263" s="1">
        <v>0.70915163000000003</v>
      </c>
      <c r="EH263" s="1">
        <v>5.4289120000000003E-2</v>
      </c>
      <c r="EX263" s="1">
        <v>0.10857824000000001</v>
      </c>
      <c r="FJ263" s="1">
        <v>4.0038226000000003E-2</v>
      </c>
      <c r="FM263" s="1">
        <v>0.138097949</v>
      </c>
    </row>
    <row r="264" spans="1:169" x14ac:dyDescent="0.2">
      <c r="A264" s="1" t="s">
        <v>2543</v>
      </c>
      <c r="B264" s="1" t="s">
        <v>55</v>
      </c>
      <c r="C264" s="1" t="s">
        <v>2525</v>
      </c>
      <c r="D264" s="1" t="s">
        <v>2</v>
      </c>
      <c r="E264" s="1">
        <v>13</v>
      </c>
      <c r="F264" s="1" t="s">
        <v>2526</v>
      </c>
      <c r="H264" s="1" t="s">
        <v>2544</v>
      </c>
      <c r="I264" s="1" t="s">
        <v>11</v>
      </c>
      <c r="J264" s="1" t="s">
        <v>2528</v>
      </c>
      <c r="L264" s="1" t="s">
        <v>2528</v>
      </c>
      <c r="M264" s="1" t="s">
        <v>2529</v>
      </c>
      <c r="O264" s="1">
        <v>3</v>
      </c>
      <c r="P264" s="1" t="s">
        <v>1269</v>
      </c>
      <c r="Q264" s="1">
        <v>2008</v>
      </c>
      <c r="R264" s="1" t="s">
        <v>2530</v>
      </c>
      <c r="S264" s="1" t="s">
        <v>27</v>
      </c>
      <c r="T264" s="38">
        <v>1</v>
      </c>
      <c r="U264" s="1" t="s">
        <v>2545</v>
      </c>
      <c r="V264" s="1" t="s">
        <v>2547</v>
      </c>
      <c r="Y264" s="1">
        <v>2.3254199999999998</v>
      </c>
      <c r="Z264" s="1">
        <v>3.4752109999999998</v>
      </c>
      <c r="AA264" s="1">
        <v>7.1183690000000004</v>
      </c>
      <c r="AD264" s="1">
        <v>0.92278571428571399</v>
      </c>
      <c r="AF264" s="1">
        <v>0.74801010000000001</v>
      </c>
      <c r="AG264" s="1">
        <v>6.3690670000000003</v>
      </c>
      <c r="AW264" s="1">
        <v>2.0670399999999998E-2</v>
      </c>
      <c r="BA264" s="1">
        <v>1.589037</v>
      </c>
      <c r="BG264" s="1">
        <v>0.5516413</v>
      </c>
      <c r="BI264" s="1">
        <v>6.0719299999999997E-2</v>
      </c>
      <c r="BK264" s="1">
        <v>5.6843600000000001E-2</v>
      </c>
      <c r="BM264" s="1">
        <v>3.4881299999999997E-2</v>
      </c>
      <c r="BZ264" s="1">
        <v>5.0384100000000001E-2</v>
      </c>
      <c r="CI264" s="1">
        <v>3.35894</v>
      </c>
      <c r="CV264" s="1">
        <v>4.2632700000000003E-2</v>
      </c>
      <c r="DB264" s="1">
        <v>7.7514000000000003E-3</v>
      </c>
      <c r="DK264" s="1">
        <v>6.2915530000000004</v>
      </c>
      <c r="EH264" s="1">
        <v>0.63044719999999999</v>
      </c>
      <c r="EX264" s="1">
        <v>7.8805899999999998E-2</v>
      </c>
      <c r="FJ264" s="1">
        <v>2.3254199999999999E-2</v>
      </c>
      <c r="FM264" s="1">
        <v>9.4308699999999995E-2</v>
      </c>
    </row>
    <row r="265" spans="1:169" x14ac:dyDescent="0.2">
      <c r="A265" s="1" t="s">
        <v>2549</v>
      </c>
      <c r="B265" s="1" t="s">
        <v>55</v>
      </c>
      <c r="C265" s="1" t="s">
        <v>2525</v>
      </c>
      <c r="D265" s="1" t="s">
        <v>2</v>
      </c>
      <c r="E265" s="1">
        <v>13</v>
      </c>
      <c r="F265" s="1" t="s">
        <v>2526</v>
      </c>
      <c r="H265" s="1" t="s">
        <v>2550</v>
      </c>
      <c r="I265" s="1" t="s">
        <v>11</v>
      </c>
      <c r="J265" s="1" t="s">
        <v>2528</v>
      </c>
      <c r="L265" s="1" t="s">
        <v>2528</v>
      </c>
      <c r="M265" s="1" t="s">
        <v>2529</v>
      </c>
      <c r="O265" s="1">
        <v>3</v>
      </c>
      <c r="P265" s="1" t="s">
        <v>1269</v>
      </c>
      <c r="Q265" s="1">
        <v>2008</v>
      </c>
      <c r="R265" s="1" t="s">
        <v>2530</v>
      </c>
      <c r="S265" s="1" t="s">
        <v>27</v>
      </c>
      <c r="T265" s="38">
        <v>1</v>
      </c>
      <c r="U265" s="1" t="s">
        <v>2551</v>
      </c>
      <c r="V265" s="1" t="s">
        <v>2553</v>
      </c>
      <c r="Y265" s="1">
        <v>5.3870921999999997</v>
      </c>
      <c r="Z265" s="1">
        <v>2.992829</v>
      </c>
      <c r="AA265" s="1">
        <v>4.6323787999999997</v>
      </c>
      <c r="AD265" s="1">
        <v>0.92285815602836896</v>
      </c>
      <c r="AF265" s="1">
        <v>0.32270504</v>
      </c>
      <c r="AG265" s="1">
        <v>2.4593246999999998</v>
      </c>
      <c r="AW265" s="1">
        <v>4.5543050000000002E-2</v>
      </c>
      <c r="BA265" s="1">
        <v>2.6805338000000001</v>
      </c>
      <c r="BG265" s="1">
        <v>2.3812508999999999</v>
      </c>
      <c r="BI265" s="1">
        <v>0.11320701</v>
      </c>
      <c r="BK265" s="1">
        <v>0.10149594000000001</v>
      </c>
      <c r="BM265" s="1">
        <v>5.8555349999999999E-2</v>
      </c>
      <c r="BZ265" s="1">
        <v>0.10930332</v>
      </c>
      <c r="CI265" s="1">
        <v>2.7976445000000001</v>
      </c>
      <c r="CV265" s="1">
        <v>7.4170109999999997E-2</v>
      </c>
      <c r="DB265" s="1">
        <v>1.431353E-2</v>
      </c>
      <c r="DK265" s="1">
        <v>2.3292017</v>
      </c>
      <c r="DM265" s="1">
        <v>1.8451441399999999</v>
      </c>
      <c r="EH265" s="1">
        <v>0.10670085999999999</v>
      </c>
      <c r="EX265" s="1">
        <v>0.13532791999999999</v>
      </c>
      <c r="FJ265" s="1">
        <v>3.7735669999999999E-2</v>
      </c>
      <c r="FM265" s="1">
        <v>0.17826850999999999</v>
      </c>
    </row>
    <row r="266" spans="1:169" x14ac:dyDescent="0.2">
      <c r="A266" s="1" t="s">
        <v>2555</v>
      </c>
      <c r="B266" s="1" t="s">
        <v>55</v>
      </c>
      <c r="D266" s="1" t="s">
        <v>2</v>
      </c>
      <c r="E266" s="1">
        <v>11</v>
      </c>
      <c r="F266" s="1" t="s">
        <v>1389</v>
      </c>
      <c r="H266" s="1" t="s">
        <v>2152</v>
      </c>
      <c r="I266" s="1" t="s">
        <v>7</v>
      </c>
      <c r="J266" s="1" t="s">
        <v>1392</v>
      </c>
      <c r="K266" s="1" t="s">
        <v>1393</v>
      </c>
      <c r="L266" s="1" t="s">
        <v>1392</v>
      </c>
      <c r="M266" s="1" t="s">
        <v>2556</v>
      </c>
      <c r="O266" s="1">
        <v>1</v>
      </c>
      <c r="Q266" s="1">
        <v>2006</v>
      </c>
      <c r="R266" s="1" t="s">
        <v>2557</v>
      </c>
      <c r="S266" s="1" t="s">
        <v>27</v>
      </c>
      <c r="T266" s="38">
        <v>1</v>
      </c>
      <c r="V266" s="1">
        <v>5.4</v>
      </c>
    </row>
    <row r="267" spans="1:169" x14ac:dyDescent="0.2">
      <c r="A267" s="1" t="s">
        <v>2558</v>
      </c>
      <c r="B267" s="1" t="s">
        <v>55</v>
      </c>
      <c r="D267" s="1" t="s">
        <v>2</v>
      </c>
      <c r="E267" s="1">
        <v>13</v>
      </c>
      <c r="F267" s="1" t="s">
        <v>1694</v>
      </c>
      <c r="H267" s="1" t="s">
        <v>2559</v>
      </c>
      <c r="I267" s="1" t="s">
        <v>7</v>
      </c>
      <c r="J267" s="1" t="s">
        <v>1696</v>
      </c>
      <c r="K267" s="1" t="s">
        <v>1697</v>
      </c>
      <c r="L267" s="1" t="s">
        <v>1696</v>
      </c>
      <c r="M267" s="1" t="s">
        <v>2560</v>
      </c>
      <c r="O267" s="1">
        <v>1</v>
      </c>
      <c r="Q267" s="1">
        <v>2006</v>
      </c>
      <c r="R267" s="1" t="s">
        <v>2557</v>
      </c>
      <c r="S267" s="1" t="s">
        <v>27</v>
      </c>
      <c r="T267" s="38">
        <v>1</v>
      </c>
    </row>
    <row r="268" spans="1:169" x14ac:dyDescent="0.2">
      <c r="A268" s="1" t="s">
        <v>2561</v>
      </c>
      <c r="B268" s="1" t="s">
        <v>55</v>
      </c>
      <c r="D268" s="1" t="s">
        <v>2</v>
      </c>
      <c r="E268" s="1">
        <v>13</v>
      </c>
      <c r="F268" s="1" t="s">
        <v>1279</v>
      </c>
      <c r="H268" s="1" t="s">
        <v>2562</v>
      </c>
      <c r="I268" s="1" t="s">
        <v>7</v>
      </c>
      <c r="J268" s="1" t="s">
        <v>1281</v>
      </c>
      <c r="K268" s="1" t="s">
        <v>1282</v>
      </c>
      <c r="L268" s="1" t="s">
        <v>1281</v>
      </c>
      <c r="M268" s="1" t="s">
        <v>2560</v>
      </c>
      <c r="O268" s="1">
        <v>1</v>
      </c>
      <c r="Q268" s="1">
        <v>2006</v>
      </c>
      <c r="R268" s="1" t="s">
        <v>2557</v>
      </c>
      <c r="S268" s="1" t="s">
        <v>27</v>
      </c>
      <c r="T268" s="38">
        <v>1</v>
      </c>
    </row>
    <row r="269" spans="1:169" x14ac:dyDescent="0.2">
      <c r="A269" s="1" t="s">
        <v>2563</v>
      </c>
      <c r="B269" s="1" t="s">
        <v>55</v>
      </c>
      <c r="C269" s="1" t="s">
        <v>2564</v>
      </c>
      <c r="D269" s="1" t="s">
        <v>2</v>
      </c>
      <c r="E269" s="1">
        <v>23</v>
      </c>
      <c r="F269" s="1" t="s">
        <v>1471</v>
      </c>
      <c r="H269" s="1" t="s">
        <v>2565</v>
      </c>
      <c r="I269" s="1" t="s">
        <v>7</v>
      </c>
      <c r="J269" s="1" t="s">
        <v>1473</v>
      </c>
      <c r="K269" s="1" t="s">
        <v>1474</v>
      </c>
      <c r="L269" s="1" t="s">
        <v>1473</v>
      </c>
      <c r="M269" s="1" t="s">
        <v>2566</v>
      </c>
      <c r="O269" s="1">
        <v>2</v>
      </c>
      <c r="Q269" s="1">
        <v>2006</v>
      </c>
      <c r="R269" s="1" t="s">
        <v>2557</v>
      </c>
      <c r="S269" s="1" t="s">
        <v>27</v>
      </c>
      <c r="T269" s="38">
        <v>1</v>
      </c>
      <c r="V269" s="1">
        <v>5.4</v>
      </c>
    </row>
    <row r="270" spans="1:169" x14ac:dyDescent="0.2">
      <c r="A270" s="1" t="s">
        <v>2567</v>
      </c>
      <c r="B270" s="1" t="s">
        <v>55</v>
      </c>
      <c r="C270" s="1" t="s">
        <v>2564</v>
      </c>
      <c r="D270" s="1" t="s">
        <v>2</v>
      </c>
      <c r="E270" s="1">
        <v>23</v>
      </c>
      <c r="F270" s="1" t="s">
        <v>1471</v>
      </c>
      <c r="H270" s="1" t="s">
        <v>2565</v>
      </c>
      <c r="I270" s="1" t="s">
        <v>7</v>
      </c>
      <c r="J270" s="1" t="s">
        <v>1473</v>
      </c>
      <c r="K270" s="1" t="s">
        <v>1474</v>
      </c>
      <c r="L270" s="1" t="s">
        <v>1473</v>
      </c>
      <c r="M270" s="1" t="s">
        <v>2568</v>
      </c>
      <c r="O270" s="1">
        <v>2</v>
      </c>
      <c r="Q270" s="1">
        <v>2006</v>
      </c>
      <c r="R270" s="1" t="s">
        <v>2557</v>
      </c>
      <c r="S270" s="1" t="s">
        <v>27</v>
      </c>
      <c r="T270" s="38">
        <v>1</v>
      </c>
      <c r="V270" s="1">
        <v>6.1</v>
      </c>
    </row>
    <row r="271" spans="1:169" x14ac:dyDescent="0.2">
      <c r="A271" s="1" t="s">
        <v>2569</v>
      </c>
      <c r="B271" s="1" t="s">
        <v>55</v>
      </c>
      <c r="C271" s="1" t="s">
        <v>2564</v>
      </c>
      <c r="D271" s="1" t="s">
        <v>2</v>
      </c>
      <c r="E271" s="1">
        <v>23</v>
      </c>
      <c r="F271" s="1" t="s">
        <v>1471</v>
      </c>
      <c r="H271" s="1" t="s">
        <v>2565</v>
      </c>
      <c r="I271" s="1" t="s">
        <v>7</v>
      </c>
      <c r="J271" s="1" t="s">
        <v>1473</v>
      </c>
      <c r="K271" s="1" t="s">
        <v>1474</v>
      </c>
      <c r="L271" s="1" t="s">
        <v>1473</v>
      </c>
      <c r="M271" s="1" t="s">
        <v>2570</v>
      </c>
      <c r="O271" s="1">
        <v>2</v>
      </c>
      <c r="Q271" s="1">
        <v>2006</v>
      </c>
      <c r="R271" s="1" t="s">
        <v>2557</v>
      </c>
      <c r="S271" s="1" t="s">
        <v>27</v>
      </c>
      <c r="T271" s="38">
        <v>1</v>
      </c>
      <c r="V271" s="1">
        <v>2.5</v>
      </c>
    </row>
    <row r="272" spans="1:169" x14ac:dyDescent="0.2">
      <c r="A272" s="1" t="s">
        <v>2571</v>
      </c>
      <c r="B272" s="1" t="s">
        <v>55</v>
      </c>
      <c r="C272" s="1" t="s">
        <v>2564</v>
      </c>
      <c r="D272" s="1" t="s">
        <v>2</v>
      </c>
      <c r="E272" s="1">
        <v>23</v>
      </c>
      <c r="F272" s="1" t="s">
        <v>1471</v>
      </c>
      <c r="H272" s="1" t="s">
        <v>2565</v>
      </c>
      <c r="I272" s="1" t="s">
        <v>7</v>
      </c>
      <c r="J272" s="1" t="s">
        <v>1473</v>
      </c>
      <c r="K272" s="1" t="s">
        <v>1474</v>
      </c>
      <c r="L272" s="1" t="s">
        <v>1473</v>
      </c>
      <c r="M272" s="1" t="s">
        <v>2572</v>
      </c>
      <c r="O272" s="1">
        <v>2</v>
      </c>
      <c r="Q272" s="1">
        <v>2006</v>
      </c>
      <c r="R272" s="1" t="s">
        <v>2557</v>
      </c>
      <c r="S272" s="1" t="s">
        <v>27</v>
      </c>
      <c r="T272" s="38">
        <v>1</v>
      </c>
      <c r="V272" s="1">
        <v>5.5</v>
      </c>
    </row>
    <row r="273" spans="1:24" x14ac:dyDescent="0.2">
      <c r="A273" s="1" t="s">
        <v>2573</v>
      </c>
      <c r="B273" s="1" t="s">
        <v>55</v>
      </c>
      <c r="C273" s="1" t="s">
        <v>2564</v>
      </c>
      <c r="D273" s="1" t="s">
        <v>2</v>
      </c>
      <c r="E273" s="1">
        <v>23</v>
      </c>
      <c r="F273" s="1" t="s">
        <v>1471</v>
      </c>
      <c r="H273" s="1" t="s">
        <v>2574</v>
      </c>
      <c r="I273" s="1" t="s">
        <v>7</v>
      </c>
      <c r="J273" s="1" t="s">
        <v>1473</v>
      </c>
      <c r="K273" s="1" t="s">
        <v>1474</v>
      </c>
      <c r="L273" s="1" t="s">
        <v>1473</v>
      </c>
      <c r="M273" s="1" t="s">
        <v>2575</v>
      </c>
      <c r="O273" s="1">
        <v>2</v>
      </c>
      <c r="Q273" s="1">
        <v>2006</v>
      </c>
      <c r="R273" s="1" t="s">
        <v>2557</v>
      </c>
      <c r="S273" s="1" t="s">
        <v>27</v>
      </c>
      <c r="T273" s="38">
        <v>1</v>
      </c>
      <c r="V273" s="1">
        <v>3.8</v>
      </c>
    </row>
    <row r="274" spans="1:24" x14ac:dyDescent="0.2">
      <c r="A274" s="1" t="s">
        <v>2576</v>
      </c>
      <c r="B274" s="1" t="s">
        <v>55</v>
      </c>
      <c r="C274" s="1" t="s">
        <v>2564</v>
      </c>
      <c r="D274" s="1" t="s">
        <v>2</v>
      </c>
      <c r="E274" s="1">
        <v>23</v>
      </c>
      <c r="F274" s="1" t="s">
        <v>1471</v>
      </c>
      <c r="H274" s="1" t="s">
        <v>2574</v>
      </c>
      <c r="I274" s="1" t="s">
        <v>7</v>
      </c>
      <c r="J274" s="1" t="s">
        <v>1473</v>
      </c>
      <c r="K274" s="1" t="s">
        <v>1474</v>
      </c>
      <c r="L274" s="1" t="s">
        <v>1473</v>
      </c>
      <c r="M274" s="1" t="s">
        <v>2577</v>
      </c>
      <c r="O274" s="1">
        <v>2</v>
      </c>
      <c r="Q274" s="1">
        <v>2006</v>
      </c>
      <c r="R274" s="1" t="s">
        <v>2557</v>
      </c>
      <c r="S274" s="1" t="s">
        <v>27</v>
      </c>
      <c r="T274" s="38">
        <v>1</v>
      </c>
      <c r="V274" s="1">
        <v>1.9</v>
      </c>
    </row>
    <row r="275" spans="1:24" x14ac:dyDescent="0.2">
      <c r="A275" s="1" t="s">
        <v>2578</v>
      </c>
      <c r="B275" s="1" t="s">
        <v>55</v>
      </c>
      <c r="C275" s="1" t="s">
        <v>2579</v>
      </c>
      <c r="D275" s="1" t="s">
        <v>2</v>
      </c>
      <c r="E275" s="1">
        <v>23</v>
      </c>
      <c r="F275" s="1" t="s">
        <v>1273</v>
      </c>
      <c r="H275" s="1" t="s">
        <v>2580</v>
      </c>
      <c r="I275" s="1" t="s">
        <v>7</v>
      </c>
      <c r="J275" s="1" t="s">
        <v>1275</v>
      </c>
      <c r="K275" s="1" t="s">
        <v>1276</v>
      </c>
      <c r="L275" s="1" t="s">
        <v>1275</v>
      </c>
      <c r="M275" s="1" t="s">
        <v>2581</v>
      </c>
      <c r="O275" s="1">
        <v>2</v>
      </c>
      <c r="Q275" s="1">
        <v>2006</v>
      </c>
      <c r="R275" s="1" t="s">
        <v>2557</v>
      </c>
      <c r="S275" s="1" t="s">
        <v>27</v>
      </c>
      <c r="T275" s="38">
        <v>1</v>
      </c>
      <c r="V275" s="1">
        <v>14.4</v>
      </c>
    </row>
    <row r="276" spans="1:24" x14ac:dyDescent="0.2">
      <c r="A276" s="1" t="s">
        <v>2582</v>
      </c>
      <c r="B276" s="1" t="s">
        <v>55</v>
      </c>
      <c r="C276" s="1" t="s">
        <v>2583</v>
      </c>
      <c r="D276" s="1" t="s">
        <v>2</v>
      </c>
      <c r="E276" s="1">
        <v>23</v>
      </c>
      <c r="F276" s="1" t="s">
        <v>1273</v>
      </c>
      <c r="H276" s="1" t="s">
        <v>2580</v>
      </c>
      <c r="I276" s="1" t="s">
        <v>7</v>
      </c>
      <c r="J276" s="1" t="s">
        <v>1275</v>
      </c>
      <c r="K276" s="1" t="s">
        <v>1276</v>
      </c>
      <c r="L276" s="1" t="s">
        <v>1275</v>
      </c>
      <c r="M276" s="1" t="s">
        <v>2584</v>
      </c>
      <c r="O276" s="1">
        <v>2</v>
      </c>
      <c r="Q276" s="1">
        <v>2006</v>
      </c>
      <c r="R276" s="1" t="s">
        <v>2557</v>
      </c>
      <c r="S276" s="1" t="s">
        <v>27</v>
      </c>
      <c r="T276" s="38">
        <v>1</v>
      </c>
      <c r="V276" s="1">
        <v>15.8</v>
      </c>
    </row>
    <row r="277" spans="1:24" x14ac:dyDescent="0.2">
      <c r="A277" s="1" t="s">
        <v>2585</v>
      </c>
      <c r="B277" s="1" t="s">
        <v>55</v>
      </c>
      <c r="C277" s="1" t="s">
        <v>2583</v>
      </c>
      <c r="D277" s="1" t="s">
        <v>2</v>
      </c>
      <c r="E277" s="1">
        <v>23</v>
      </c>
      <c r="F277" s="1" t="s">
        <v>1273</v>
      </c>
      <c r="H277" s="1" t="s">
        <v>2580</v>
      </c>
      <c r="I277" s="1" t="s">
        <v>7</v>
      </c>
      <c r="J277" s="1" t="s">
        <v>1275</v>
      </c>
      <c r="K277" s="1" t="s">
        <v>1276</v>
      </c>
      <c r="L277" s="1" t="s">
        <v>1275</v>
      </c>
      <c r="M277" s="1" t="s">
        <v>2584</v>
      </c>
      <c r="O277" s="1">
        <v>2</v>
      </c>
      <c r="Q277" s="1">
        <v>2006</v>
      </c>
      <c r="R277" s="1" t="s">
        <v>2557</v>
      </c>
      <c r="S277" s="1" t="s">
        <v>27</v>
      </c>
      <c r="T277" s="38">
        <v>1</v>
      </c>
      <c r="V277" s="1">
        <v>21.6</v>
      </c>
    </row>
    <row r="278" spans="1:24" x14ac:dyDescent="0.2">
      <c r="A278" s="1" t="s">
        <v>2586</v>
      </c>
      <c r="B278" s="1" t="s">
        <v>55</v>
      </c>
      <c r="C278" s="1" t="s">
        <v>2579</v>
      </c>
      <c r="D278" s="1" t="s">
        <v>2</v>
      </c>
      <c r="E278" s="1">
        <v>23</v>
      </c>
      <c r="F278" s="1" t="s">
        <v>1273</v>
      </c>
      <c r="H278" s="1" t="s">
        <v>2580</v>
      </c>
      <c r="I278" s="1" t="s">
        <v>7</v>
      </c>
      <c r="J278" s="1" t="s">
        <v>1275</v>
      </c>
      <c r="K278" s="1" t="s">
        <v>1276</v>
      </c>
      <c r="L278" s="1" t="s">
        <v>1275</v>
      </c>
      <c r="M278" s="1" t="s">
        <v>2587</v>
      </c>
      <c r="O278" s="1">
        <v>2</v>
      </c>
      <c r="Q278" s="1">
        <v>2006</v>
      </c>
      <c r="R278" s="1" t="s">
        <v>2557</v>
      </c>
      <c r="S278" s="1" t="s">
        <v>27</v>
      </c>
      <c r="T278" s="38">
        <v>1</v>
      </c>
      <c r="V278" s="1">
        <v>14.3</v>
      </c>
    </row>
    <row r="279" spans="1:24" x14ac:dyDescent="0.2">
      <c r="A279" s="1" t="s">
        <v>2588</v>
      </c>
      <c r="B279" s="1" t="s">
        <v>55</v>
      </c>
      <c r="C279" s="1" t="s">
        <v>2579</v>
      </c>
      <c r="D279" s="1" t="s">
        <v>2</v>
      </c>
      <c r="E279" s="1">
        <v>23</v>
      </c>
      <c r="F279" s="1" t="s">
        <v>1273</v>
      </c>
      <c r="H279" s="1" t="s">
        <v>2589</v>
      </c>
      <c r="I279" s="1" t="s">
        <v>7</v>
      </c>
      <c r="J279" s="1" t="s">
        <v>1275</v>
      </c>
      <c r="K279" s="1" t="s">
        <v>1276</v>
      </c>
      <c r="L279" s="1" t="s">
        <v>1275</v>
      </c>
      <c r="M279" s="1" t="s">
        <v>2581</v>
      </c>
      <c r="O279" s="1">
        <v>2</v>
      </c>
      <c r="Q279" s="1">
        <v>2006</v>
      </c>
      <c r="R279" s="1" t="s">
        <v>2557</v>
      </c>
      <c r="S279" s="1" t="s">
        <v>27</v>
      </c>
      <c r="T279" s="38">
        <v>1</v>
      </c>
      <c r="V279" s="1">
        <v>16.3</v>
      </c>
    </row>
    <row r="280" spans="1:24" x14ac:dyDescent="0.2">
      <c r="A280" s="1" t="s">
        <v>2590</v>
      </c>
      <c r="B280" s="1" t="s">
        <v>55</v>
      </c>
      <c r="C280" s="1" t="s">
        <v>2579</v>
      </c>
      <c r="D280" s="1" t="s">
        <v>2</v>
      </c>
      <c r="E280" s="1">
        <v>23</v>
      </c>
      <c r="F280" s="1" t="s">
        <v>1273</v>
      </c>
      <c r="H280" s="1" t="s">
        <v>2589</v>
      </c>
      <c r="I280" s="1" t="s">
        <v>7</v>
      </c>
      <c r="J280" s="1" t="s">
        <v>1275</v>
      </c>
      <c r="K280" s="1" t="s">
        <v>1276</v>
      </c>
      <c r="L280" s="1" t="s">
        <v>1275</v>
      </c>
      <c r="M280" s="1" t="s">
        <v>2587</v>
      </c>
      <c r="O280" s="1">
        <v>2</v>
      </c>
      <c r="Q280" s="1">
        <v>2006</v>
      </c>
      <c r="R280" s="1" t="s">
        <v>2557</v>
      </c>
      <c r="S280" s="1" t="s">
        <v>27</v>
      </c>
      <c r="T280" s="38">
        <v>1</v>
      </c>
      <c r="V280" s="1">
        <v>17</v>
      </c>
    </row>
    <row r="281" spans="1:24" x14ac:dyDescent="0.2">
      <c r="A281" s="1" t="s">
        <v>2591</v>
      </c>
      <c r="B281" s="1" t="s">
        <v>55</v>
      </c>
      <c r="C281" s="1" t="s">
        <v>2583</v>
      </c>
      <c r="D281" s="1" t="s">
        <v>2</v>
      </c>
      <c r="E281" s="1">
        <v>23</v>
      </c>
      <c r="F281" s="1" t="s">
        <v>1273</v>
      </c>
      <c r="H281" s="1" t="s">
        <v>2592</v>
      </c>
      <c r="I281" s="1" t="s">
        <v>11</v>
      </c>
      <c r="J281" s="1" t="s">
        <v>1275</v>
      </c>
      <c r="K281" s="1" t="s">
        <v>1276</v>
      </c>
      <c r="L281" s="1" t="s">
        <v>1275</v>
      </c>
      <c r="O281" s="1">
        <v>1</v>
      </c>
      <c r="Q281" s="1">
        <v>2006</v>
      </c>
      <c r="R281" s="1" t="s">
        <v>2557</v>
      </c>
      <c r="S281" s="1" t="s">
        <v>27</v>
      </c>
      <c r="T281" s="38">
        <v>1</v>
      </c>
      <c r="V281" s="1">
        <v>7</v>
      </c>
    </row>
    <row r="282" spans="1:24" x14ac:dyDescent="0.2">
      <c r="A282" s="1" t="s">
        <v>2593</v>
      </c>
      <c r="B282" s="1" t="s">
        <v>55</v>
      </c>
      <c r="C282" s="1" t="s">
        <v>2594</v>
      </c>
      <c r="D282" s="1" t="s">
        <v>2</v>
      </c>
      <c r="E282" s="1">
        <v>23</v>
      </c>
      <c r="F282" s="1" t="s">
        <v>1273</v>
      </c>
      <c r="H282" s="1" t="s">
        <v>2592</v>
      </c>
      <c r="I282" s="1" t="s">
        <v>11</v>
      </c>
      <c r="J282" s="1" t="s">
        <v>1275</v>
      </c>
      <c r="K282" s="1" t="s">
        <v>1276</v>
      </c>
      <c r="L282" s="1" t="s">
        <v>1275</v>
      </c>
      <c r="O282" s="1">
        <v>1</v>
      </c>
      <c r="Q282" s="1">
        <v>2006</v>
      </c>
      <c r="R282" s="1" t="s">
        <v>2557</v>
      </c>
      <c r="S282" s="1" t="s">
        <v>27</v>
      </c>
      <c r="T282" s="38">
        <v>1</v>
      </c>
      <c r="V282" s="1">
        <v>9.8000000000000007</v>
      </c>
    </row>
    <row r="283" spans="1:24" x14ac:dyDescent="0.2">
      <c r="A283" s="1" t="s">
        <v>2595</v>
      </c>
      <c r="B283" s="1" t="s">
        <v>55</v>
      </c>
      <c r="C283" s="1" t="s">
        <v>2596</v>
      </c>
      <c r="D283" s="1" t="s">
        <v>2</v>
      </c>
      <c r="E283" s="1">
        <v>23</v>
      </c>
      <c r="F283" s="1" t="s">
        <v>1273</v>
      </c>
      <c r="H283" s="1" t="s">
        <v>2592</v>
      </c>
      <c r="I283" s="1" t="s">
        <v>11</v>
      </c>
      <c r="J283" s="1" t="s">
        <v>1275</v>
      </c>
      <c r="K283" s="1" t="s">
        <v>1276</v>
      </c>
      <c r="L283" s="1" t="s">
        <v>1275</v>
      </c>
      <c r="O283" s="1">
        <v>1</v>
      </c>
      <c r="Q283" s="1">
        <v>2006</v>
      </c>
      <c r="R283" s="1" t="s">
        <v>2557</v>
      </c>
      <c r="S283" s="1" t="s">
        <v>27</v>
      </c>
      <c r="T283" s="38">
        <v>1</v>
      </c>
      <c r="V283" s="1">
        <v>10.5</v>
      </c>
    </row>
    <row r="284" spans="1:24" x14ac:dyDescent="0.2">
      <c r="A284" s="1" t="s">
        <v>2597</v>
      </c>
      <c r="B284" s="1" t="s">
        <v>55</v>
      </c>
      <c r="C284" s="1" t="s">
        <v>236</v>
      </c>
      <c r="E284" s="1">
        <v>13</v>
      </c>
      <c r="F284" s="1" t="s">
        <v>2598</v>
      </c>
      <c r="G284" s="1" t="s">
        <v>2599</v>
      </c>
      <c r="H284" s="1" t="s">
        <v>2600</v>
      </c>
      <c r="I284" s="1" t="s">
        <v>7</v>
      </c>
      <c r="J284" s="1" t="s">
        <v>2601</v>
      </c>
      <c r="L284" s="1" t="s">
        <v>2601</v>
      </c>
      <c r="N284" s="1" t="s">
        <v>2602</v>
      </c>
      <c r="O284" s="1">
        <v>1</v>
      </c>
      <c r="P284" s="1" t="s">
        <v>2603</v>
      </c>
      <c r="Q284" s="1">
        <v>2010</v>
      </c>
      <c r="R284" s="1" t="s">
        <v>2604</v>
      </c>
      <c r="S284" s="1" t="s">
        <v>27</v>
      </c>
      <c r="T284" s="38">
        <v>1</v>
      </c>
      <c r="U284" s="1">
        <v>72.91</v>
      </c>
      <c r="X284" s="1">
        <v>3.37</v>
      </c>
    </row>
    <row r="285" spans="1:24" x14ac:dyDescent="0.2">
      <c r="A285" s="1" t="s">
        <v>2605</v>
      </c>
      <c r="B285" s="1" t="s">
        <v>55</v>
      </c>
      <c r="C285" s="1" t="s">
        <v>236</v>
      </c>
      <c r="E285" s="1">
        <v>13</v>
      </c>
      <c r="F285" s="1" t="s">
        <v>2598</v>
      </c>
      <c r="G285" s="1" t="s">
        <v>2599</v>
      </c>
      <c r="H285" s="1" t="s">
        <v>2606</v>
      </c>
      <c r="I285" s="1" t="s">
        <v>11</v>
      </c>
      <c r="J285" s="1" t="s">
        <v>2601</v>
      </c>
      <c r="L285" s="1" t="s">
        <v>2601</v>
      </c>
      <c r="N285" s="1" t="s">
        <v>2607</v>
      </c>
      <c r="O285" s="1">
        <v>1</v>
      </c>
      <c r="P285" s="1" t="s">
        <v>2603</v>
      </c>
      <c r="Q285" s="1">
        <v>2010</v>
      </c>
      <c r="R285" s="1" t="s">
        <v>2604</v>
      </c>
      <c r="S285" s="1" t="s">
        <v>27</v>
      </c>
      <c r="T285" s="38">
        <v>1</v>
      </c>
      <c r="U285" s="1">
        <v>58.51</v>
      </c>
      <c r="X285" s="1">
        <v>8.09</v>
      </c>
    </row>
    <row r="286" spans="1:24" x14ac:dyDescent="0.2">
      <c r="A286" s="1" t="s">
        <v>2608</v>
      </c>
      <c r="B286" s="1" t="s">
        <v>55</v>
      </c>
      <c r="C286" s="1" t="s">
        <v>236</v>
      </c>
      <c r="E286" s="1">
        <v>13</v>
      </c>
      <c r="F286" s="1" t="s">
        <v>2598</v>
      </c>
      <c r="G286" s="1" t="s">
        <v>2599</v>
      </c>
      <c r="H286" s="1" t="s">
        <v>2609</v>
      </c>
      <c r="I286" s="1" t="s">
        <v>11</v>
      </c>
      <c r="J286" s="1" t="s">
        <v>2601</v>
      </c>
      <c r="L286" s="1" t="s">
        <v>2601</v>
      </c>
      <c r="N286" s="1" t="s">
        <v>2610</v>
      </c>
      <c r="O286" s="1">
        <v>1</v>
      </c>
      <c r="P286" s="1" t="s">
        <v>2603</v>
      </c>
      <c r="Q286" s="1">
        <v>2010</v>
      </c>
      <c r="R286" s="1" t="s">
        <v>2604</v>
      </c>
      <c r="S286" s="1" t="s">
        <v>27</v>
      </c>
      <c r="T286" s="38">
        <v>1</v>
      </c>
      <c r="U286" s="1">
        <v>59.68</v>
      </c>
      <c r="X286" s="1">
        <v>7.76</v>
      </c>
    </row>
    <row r="287" spans="1:24" x14ac:dyDescent="0.2">
      <c r="A287" s="1" t="s">
        <v>2611</v>
      </c>
      <c r="B287" s="1" t="s">
        <v>55</v>
      </c>
      <c r="C287" s="1" t="s">
        <v>2612</v>
      </c>
      <c r="D287" s="1" t="s">
        <v>2</v>
      </c>
      <c r="E287" s="1">
        <v>13</v>
      </c>
      <c r="F287" s="1" t="s">
        <v>2613</v>
      </c>
      <c r="H287" s="1" t="s">
        <v>2614</v>
      </c>
      <c r="I287" s="1" t="s">
        <v>7</v>
      </c>
      <c r="J287" s="1" t="s">
        <v>2615</v>
      </c>
      <c r="K287" s="1" t="s">
        <v>2616</v>
      </c>
      <c r="L287" s="1" t="s">
        <v>2617</v>
      </c>
      <c r="N287" s="1" t="s">
        <v>2618</v>
      </c>
      <c r="P287" s="1" t="s">
        <v>2619</v>
      </c>
      <c r="Q287" s="1">
        <v>2007</v>
      </c>
      <c r="R287" s="1" t="s">
        <v>2620</v>
      </c>
      <c r="S287" s="1" t="s">
        <v>27</v>
      </c>
      <c r="T287" s="38">
        <v>1</v>
      </c>
      <c r="U287" s="1">
        <v>75.680000000000007</v>
      </c>
      <c r="X287" s="1">
        <v>3.03</v>
      </c>
    </row>
    <row r="288" spans="1:24" x14ac:dyDescent="0.2">
      <c r="A288" s="1" t="s">
        <v>2621</v>
      </c>
      <c r="B288" s="1" t="s">
        <v>55</v>
      </c>
      <c r="C288" s="1" t="s">
        <v>2612</v>
      </c>
      <c r="D288" s="1" t="s">
        <v>2</v>
      </c>
      <c r="E288" s="1">
        <v>13</v>
      </c>
      <c r="F288" s="1" t="s">
        <v>2613</v>
      </c>
      <c r="H288" s="1" t="s">
        <v>2614</v>
      </c>
      <c r="I288" s="1" t="s">
        <v>7</v>
      </c>
      <c r="J288" s="1" t="s">
        <v>2615</v>
      </c>
      <c r="K288" s="1" t="s">
        <v>2616</v>
      </c>
      <c r="L288" s="1" t="s">
        <v>2617</v>
      </c>
      <c r="N288" s="1" t="s">
        <v>2622</v>
      </c>
      <c r="P288" s="1" t="s">
        <v>2619</v>
      </c>
      <c r="Q288" s="1">
        <v>2007</v>
      </c>
      <c r="R288" s="1" t="s">
        <v>2620</v>
      </c>
      <c r="S288" s="1" t="s">
        <v>27</v>
      </c>
      <c r="T288" s="38">
        <v>1</v>
      </c>
      <c r="U288" s="1">
        <v>75.209999999999994</v>
      </c>
      <c r="X288" s="1">
        <v>2.98</v>
      </c>
    </row>
    <row r="289" spans="1:173" x14ac:dyDescent="0.2">
      <c r="A289" s="1" t="s">
        <v>2623</v>
      </c>
      <c r="B289" s="1" t="s">
        <v>55</v>
      </c>
      <c r="C289" s="1" t="s">
        <v>2612</v>
      </c>
      <c r="D289" s="1" t="s">
        <v>2</v>
      </c>
      <c r="E289" s="1">
        <v>13</v>
      </c>
      <c r="F289" s="1" t="s">
        <v>2613</v>
      </c>
      <c r="H289" s="1" t="s">
        <v>2614</v>
      </c>
      <c r="I289" s="1" t="s">
        <v>7</v>
      </c>
      <c r="J289" s="1" t="s">
        <v>2615</v>
      </c>
      <c r="K289" s="1" t="s">
        <v>2616</v>
      </c>
      <c r="L289" s="1" t="s">
        <v>2617</v>
      </c>
      <c r="N289" s="1" t="s">
        <v>2624</v>
      </c>
      <c r="P289" s="1" t="s">
        <v>2619</v>
      </c>
      <c r="Q289" s="1">
        <v>2007</v>
      </c>
      <c r="R289" s="1" t="s">
        <v>2620</v>
      </c>
      <c r="S289" s="1" t="s">
        <v>27</v>
      </c>
      <c r="T289" s="38">
        <v>1</v>
      </c>
      <c r="U289" s="1">
        <v>75.08</v>
      </c>
      <c r="X289" s="1">
        <v>2.9</v>
      </c>
    </row>
    <row r="290" spans="1:173" x14ac:dyDescent="0.2">
      <c r="A290" s="1" t="s">
        <v>2625</v>
      </c>
      <c r="B290" s="1" t="s">
        <v>55</v>
      </c>
      <c r="C290" s="1" t="s">
        <v>2612</v>
      </c>
      <c r="D290" s="1" t="s">
        <v>2</v>
      </c>
      <c r="E290" s="1">
        <v>13</v>
      </c>
      <c r="F290" s="1" t="s">
        <v>2613</v>
      </c>
      <c r="H290" s="1" t="s">
        <v>2614</v>
      </c>
      <c r="I290" s="1" t="s">
        <v>7</v>
      </c>
      <c r="J290" s="1" t="s">
        <v>2615</v>
      </c>
      <c r="K290" s="1" t="s">
        <v>2616</v>
      </c>
      <c r="L290" s="1" t="s">
        <v>2617</v>
      </c>
      <c r="N290" s="1" t="s">
        <v>2626</v>
      </c>
      <c r="P290" s="1" t="s">
        <v>2619</v>
      </c>
      <c r="Q290" s="1">
        <v>2007</v>
      </c>
      <c r="R290" s="1" t="s">
        <v>2620</v>
      </c>
      <c r="S290" s="1" t="s">
        <v>27</v>
      </c>
      <c r="T290" s="38">
        <v>1</v>
      </c>
      <c r="U290" s="1" t="s">
        <v>2627</v>
      </c>
      <c r="X290" s="1" t="s">
        <v>2629</v>
      </c>
    </row>
    <row r="291" spans="1:173" x14ac:dyDescent="0.2">
      <c r="A291" s="1" t="s">
        <v>2631</v>
      </c>
      <c r="B291" s="1" t="s">
        <v>55</v>
      </c>
      <c r="C291" s="1" t="s">
        <v>2612</v>
      </c>
      <c r="D291" s="1" t="s">
        <v>2</v>
      </c>
      <c r="E291" s="1">
        <v>13</v>
      </c>
      <c r="F291" s="1" t="s">
        <v>2613</v>
      </c>
      <c r="H291" s="1" t="s">
        <v>2614</v>
      </c>
      <c r="I291" s="1" t="s">
        <v>7</v>
      </c>
      <c r="J291" s="1" t="s">
        <v>2615</v>
      </c>
      <c r="K291" s="1" t="s">
        <v>2616</v>
      </c>
      <c r="L291" s="1" t="s">
        <v>2617</v>
      </c>
      <c r="N291" s="1" t="s">
        <v>2632</v>
      </c>
      <c r="P291" s="1" t="s">
        <v>2619</v>
      </c>
      <c r="Q291" s="1">
        <v>2007</v>
      </c>
      <c r="R291" s="1" t="s">
        <v>2620</v>
      </c>
      <c r="S291" s="1" t="s">
        <v>27</v>
      </c>
      <c r="T291" s="38">
        <v>1</v>
      </c>
      <c r="U291" s="1" t="s">
        <v>2627</v>
      </c>
      <c r="X291" s="1" t="s">
        <v>2629</v>
      </c>
    </row>
    <row r="292" spans="1:173" x14ac:dyDescent="0.2">
      <c r="A292" s="1" t="s">
        <v>2635</v>
      </c>
      <c r="B292" s="1" t="s">
        <v>55</v>
      </c>
      <c r="C292" s="1" t="s">
        <v>2612</v>
      </c>
      <c r="D292" s="1" t="s">
        <v>2</v>
      </c>
      <c r="E292" s="1">
        <v>13</v>
      </c>
      <c r="F292" s="1" t="s">
        <v>2613</v>
      </c>
      <c r="H292" s="1" t="s">
        <v>2614</v>
      </c>
      <c r="I292" s="1" t="s">
        <v>7</v>
      </c>
      <c r="J292" s="1" t="s">
        <v>2615</v>
      </c>
      <c r="K292" s="1" t="s">
        <v>2616</v>
      </c>
      <c r="L292" s="1" t="s">
        <v>2617</v>
      </c>
      <c r="N292" s="1" t="s">
        <v>2636</v>
      </c>
      <c r="P292" s="1" t="s">
        <v>2619</v>
      </c>
      <c r="Q292" s="1">
        <v>2007</v>
      </c>
      <c r="R292" s="1" t="s">
        <v>2620</v>
      </c>
      <c r="S292" s="1" t="s">
        <v>27</v>
      </c>
      <c r="T292" s="38">
        <v>1</v>
      </c>
      <c r="U292" s="1" t="s">
        <v>2637</v>
      </c>
      <c r="X292" s="1" t="s">
        <v>2639</v>
      </c>
    </row>
    <row r="293" spans="1:173" x14ac:dyDescent="0.2">
      <c r="A293" s="1" t="s">
        <v>2641</v>
      </c>
      <c r="B293" s="1" t="s">
        <v>55</v>
      </c>
      <c r="C293" s="1" t="s">
        <v>238</v>
      </c>
      <c r="D293" s="1" t="s">
        <v>2</v>
      </c>
      <c r="E293" s="1">
        <v>13</v>
      </c>
      <c r="F293" s="1" t="s">
        <v>2598</v>
      </c>
      <c r="G293" s="1" t="s">
        <v>2599</v>
      </c>
      <c r="H293" s="1" t="s">
        <v>2642</v>
      </c>
      <c r="I293" s="1" t="s">
        <v>7</v>
      </c>
      <c r="J293" s="1" t="s">
        <v>2601</v>
      </c>
      <c r="L293" s="1" t="s">
        <v>2601</v>
      </c>
      <c r="M293" s="1" t="s">
        <v>2643</v>
      </c>
      <c r="N293" s="1" t="s">
        <v>2644</v>
      </c>
      <c r="O293" s="1">
        <v>3</v>
      </c>
      <c r="P293" s="1" t="s">
        <v>2645</v>
      </c>
      <c r="Q293" s="1">
        <v>2001</v>
      </c>
      <c r="R293" s="1" t="s">
        <v>2646</v>
      </c>
      <c r="S293" s="1" t="s">
        <v>27</v>
      </c>
      <c r="T293" s="38">
        <v>1</v>
      </c>
      <c r="U293" s="1">
        <v>73.02</v>
      </c>
      <c r="V293" s="1">
        <v>5.09</v>
      </c>
      <c r="Y293" s="1">
        <v>1.788498151</v>
      </c>
      <c r="AA293" s="1">
        <v>1.8976596400000001</v>
      </c>
      <c r="AD293" s="1">
        <v>0.90490569744597305</v>
      </c>
      <c r="AF293" s="1">
        <v>6.3101789000000005E-2</v>
      </c>
      <c r="AG293" s="1">
        <v>0.55409819100000002</v>
      </c>
      <c r="AW293" s="1">
        <v>6.0798803999999998E-2</v>
      </c>
      <c r="AZ293" s="1">
        <v>2.302985E-3</v>
      </c>
      <c r="BA293" s="1">
        <v>1.223806229</v>
      </c>
      <c r="BB293" s="1">
        <v>4.1453729999999999E-3</v>
      </c>
      <c r="BD293" s="1">
        <v>9.2119400000000001E-3</v>
      </c>
      <c r="BE293" s="1">
        <v>3.6847759999999999E-3</v>
      </c>
      <c r="BF293" s="1">
        <v>2.302985E-3</v>
      </c>
      <c r="BG293" s="1">
        <v>0.45783341799999999</v>
      </c>
      <c r="BJ293" s="1">
        <v>2.4411641000000001E-2</v>
      </c>
      <c r="BX293" s="1">
        <v>1.842388E-2</v>
      </c>
      <c r="BZ293" s="1">
        <v>0.13219133899999999</v>
      </c>
      <c r="CB293" s="1">
        <v>5.5271640000000002E-3</v>
      </c>
      <c r="CK293" s="1">
        <v>1.889829491</v>
      </c>
      <c r="CM293" s="1">
        <v>7.6919698999999994E-2</v>
      </c>
      <c r="CR293" s="1">
        <v>3.2241790000000002E-3</v>
      </c>
      <c r="CV293" s="1">
        <v>3.7308357E-2</v>
      </c>
      <c r="DN293" s="1">
        <v>0.51356565499999995</v>
      </c>
      <c r="DS293" s="1">
        <v>8.2907459999999999E-3</v>
      </c>
      <c r="ED293" s="1">
        <v>4.60597E-3</v>
      </c>
      <c r="EH293" s="1">
        <v>3.1781192999999999E-2</v>
      </c>
      <c r="EJ293" s="1">
        <v>2.8557013999999999E-2</v>
      </c>
      <c r="EL293" s="1">
        <v>2.7635820000000001E-3</v>
      </c>
      <c r="ET293" s="1">
        <v>3.2241790000000002E-3</v>
      </c>
      <c r="EX293" s="1">
        <v>2.5793432000000002E-2</v>
      </c>
      <c r="EY293" s="1">
        <v>2.302985E-3</v>
      </c>
      <c r="FA293" s="1">
        <v>2.302985E-3</v>
      </c>
      <c r="FE293" s="1">
        <v>2.7635820000000001E-3</v>
      </c>
      <c r="FI293" s="1">
        <v>8.2907459999999999E-3</v>
      </c>
      <c r="FJ293" s="1">
        <v>2.7635820000000001E-3</v>
      </c>
      <c r="FM293" s="1">
        <v>1.7042089E-2</v>
      </c>
    </row>
    <row r="294" spans="1:173" x14ac:dyDescent="0.2">
      <c r="A294" s="1" t="s">
        <v>2647</v>
      </c>
      <c r="B294" s="1" t="s">
        <v>55</v>
      </c>
      <c r="C294" s="1" t="s">
        <v>238</v>
      </c>
      <c r="D294" s="1" t="s">
        <v>2</v>
      </c>
      <c r="E294" s="1">
        <v>13</v>
      </c>
      <c r="F294" s="1" t="s">
        <v>2598</v>
      </c>
      <c r="G294" s="1" t="s">
        <v>2599</v>
      </c>
      <c r="H294" s="1" t="s">
        <v>2648</v>
      </c>
      <c r="I294" s="1" t="s">
        <v>7</v>
      </c>
      <c r="J294" s="1" t="s">
        <v>2601</v>
      </c>
      <c r="L294" s="1" t="s">
        <v>2601</v>
      </c>
      <c r="M294" s="1" t="s">
        <v>2643</v>
      </c>
      <c r="N294" s="1" t="s">
        <v>2644</v>
      </c>
      <c r="O294" s="1">
        <v>3</v>
      </c>
      <c r="P294" s="1" t="s">
        <v>2645</v>
      </c>
      <c r="Q294" s="1">
        <v>2001</v>
      </c>
      <c r="R294" s="1" t="s">
        <v>2646</v>
      </c>
      <c r="S294" s="1" t="s">
        <v>27</v>
      </c>
      <c r="T294" s="38">
        <v>1</v>
      </c>
      <c r="U294" s="1">
        <v>71.77</v>
      </c>
      <c r="V294" s="1">
        <v>6.83</v>
      </c>
      <c r="Y294" s="1">
        <v>2.2220234130000001</v>
      </c>
      <c r="AA294" s="1">
        <v>0.86214757600000003</v>
      </c>
      <c r="AD294" s="1">
        <v>0.91206295754026401</v>
      </c>
      <c r="AF294" s="1">
        <v>0.104653752</v>
      </c>
      <c r="AG294" s="1">
        <v>0.71201927700000001</v>
      </c>
      <c r="AW294" s="1">
        <v>7.6621496999999997E-2</v>
      </c>
      <c r="AZ294" s="1">
        <v>3.1146949999999998E-3</v>
      </c>
      <c r="BA294" s="1">
        <v>1.420923859</v>
      </c>
      <c r="BB294" s="1">
        <v>6.8523289999999999E-3</v>
      </c>
      <c r="BD294" s="1">
        <v>1.3704658E-2</v>
      </c>
      <c r="BE294" s="1">
        <v>6.2293899999999996E-3</v>
      </c>
      <c r="BF294" s="1">
        <v>4.9835119999999998E-3</v>
      </c>
      <c r="BG294" s="1">
        <v>0.65408595000000003</v>
      </c>
      <c r="BJ294" s="1">
        <v>3.5507522999999999E-2</v>
      </c>
      <c r="BX294" s="1">
        <v>3.6753400999999998E-2</v>
      </c>
      <c r="BZ294" s="1">
        <v>0.14389890899999999</v>
      </c>
      <c r="CB294" s="1">
        <v>8.7211460000000008E-3</v>
      </c>
      <c r="CK294" s="1">
        <v>2.8038484389999998</v>
      </c>
      <c r="CM294" s="1">
        <v>9.7801422999999998E-2</v>
      </c>
      <c r="CO294" s="1">
        <v>6.2293899999999996E-3</v>
      </c>
      <c r="CV294" s="1">
        <v>4.7343363999999999E-2</v>
      </c>
      <c r="DN294" s="1">
        <v>0.63352896299999995</v>
      </c>
      <c r="DS294" s="1">
        <v>1.0589963000000001E-2</v>
      </c>
      <c r="ED294" s="1">
        <v>9.3440850000000002E-3</v>
      </c>
      <c r="EH294" s="1">
        <v>3.3638705999999997E-2</v>
      </c>
      <c r="EJ294" s="1">
        <v>3.4884584000000003E-2</v>
      </c>
      <c r="ET294" s="1">
        <v>6.2293899999999996E-3</v>
      </c>
      <c r="EX294" s="1">
        <v>4.7966303000000002E-2</v>
      </c>
      <c r="EY294" s="1">
        <v>3.1146949999999998E-3</v>
      </c>
      <c r="FA294" s="1">
        <v>4.3605730000000004E-3</v>
      </c>
      <c r="FE294" s="1">
        <v>6.2293899999999996E-3</v>
      </c>
      <c r="FI294" s="1">
        <v>1.8065231000000001E-2</v>
      </c>
      <c r="FJ294" s="1">
        <v>6.2293899999999996E-3</v>
      </c>
      <c r="FM294" s="1">
        <v>4.8589241999999998E-2</v>
      </c>
    </row>
    <row r="295" spans="1:173" x14ac:dyDescent="0.2">
      <c r="A295" s="1" t="s">
        <v>2649</v>
      </c>
      <c r="B295" s="1" t="s">
        <v>55</v>
      </c>
      <c r="C295" s="1" t="s">
        <v>238</v>
      </c>
      <c r="D295" s="1" t="s">
        <v>2</v>
      </c>
      <c r="E295" s="1">
        <v>13</v>
      </c>
      <c r="F295" s="1" t="s">
        <v>2650</v>
      </c>
      <c r="G295" s="1" t="s">
        <v>2651</v>
      </c>
      <c r="H295" s="1" t="s">
        <v>2652</v>
      </c>
      <c r="I295" s="1" t="s">
        <v>7</v>
      </c>
      <c r="J295" s="1" t="s">
        <v>2653</v>
      </c>
      <c r="K295" s="1" t="s">
        <v>2654</v>
      </c>
      <c r="L295" s="1" t="s">
        <v>1455</v>
      </c>
      <c r="M295" s="1" t="s">
        <v>2643</v>
      </c>
      <c r="N295" s="1" t="s">
        <v>2644</v>
      </c>
      <c r="O295" s="1">
        <v>3</v>
      </c>
      <c r="P295" s="1" t="s">
        <v>2645</v>
      </c>
      <c r="Q295" s="1">
        <v>2001</v>
      </c>
      <c r="R295" s="1" t="s">
        <v>2646</v>
      </c>
      <c r="S295" s="1" t="s">
        <v>27</v>
      </c>
      <c r="T295" s="38">
        <v>1</v>
      </c>
      <c r="U295" s="1">
        <v>70.48</v>
      </c>
      <c r="V295" s="1">
        <v>7.94</v>
      </c>
      <c r="Y295" s="1">
        <v>2.4432262260000002</v>
      </c>
      <c r="AA295" s="1">
        <v>1.073769956</v>
      </c>
      <c r="AD295" s="1">
        <v>0.914989924433249</v>
      </c>
      <c r="AF295" s="1">
        <v>0.14021488600000001</v>
      </c>
      <c r="AG295" s="1">
        <v>0.87906742000000004</v>
      </c>
      <c r="AW295" s="1">
        <v>8.1368224000000003E-2</v>
      </c>
      <c r="AZ295" s="1">
        <v>5.0855140000000002E-3</v>
      </c>
      <c r="BA295" s="1">
        <v>1.6222789660000001</v>
      </c>
      <c r="BB295" s="1">
        <v>9.444526E-3</v>
      </c>
      <c r="BD295" s="1">
        <v>1.8889052E-2</v>
      </c>
      <c r="BE295" s="1">
        <v>9.444526E-3</v>
      </c>
      <c r="BF295" s="1">
        <v>7.9915219999999992E-3</v>
      </c>
      <c r="BG295" s="1">
        <v>0.65167229400000004</v>
      </c>
      <c r="BJ295" s="1">
        <v>3.7051602000000003E-2</v>
      </c>
      <c r="BX295" s="1">
        <v>2.6880574000000001E-2</v>
      </c>
      <c r="BZ295" s="1">
        <v>0.213591588</v>
      </c>
      <c r="CB295" s="1">
        <v>1.3803538000000001E-2</v>
      </c>
      <c r="CK295" s="1">
        <v>3.2859685459999999</v>
      </c>
      <c r="CM295" s="1">
        <v>0.14965941199999999</v>
      </c>
      <c r="CV295" s="1">
        <v>5.8120159999999997E-2</v>
      </c>
      <c r="DN295" s="1">
        <v>0.80133170600000003</v>
      </c>
      <c r="DS295" s="1">
        <v>1.3803538000000001E-2</v>
      </c>
      <c r="ED295" s="1">
        <v>7.9915219999999992E-3</v>
      </c>
      <c r="EH295" s="1">
        <v>4.8675634000000002E-2</v>
      </c>
      <c r="EJ295" s="1">
        <v>4.0684112000000001E-2</v>
      </c>
      <c r="EL295" s="1">
        <v>5.0855140000000002E-3</v>
      </c>
      <c r="ET295" s="1">
        <v>8.7180239999999996E-3</v>
      </c>
      <c r="EX295" s="1">
        <v>4.9402135999999999E-2</v>
      </c>
      <c r="FA295" s="1">
        <v>5.0855140000000002E-3</v>
      </c>
      <c r="FE295" s="1">
        <v>1.0171028E-2</v>
      </c>
      <c r="FI295" s="1">
        <v>1.5256542E-2</v>
      </c>
      <c r="FJ295" s="1">
        <v>5.8120159999999997E-3</v>
      </c>
      <c r="FM295" s="1">
        <v>6.1752670000000003E-2</v>
      </c>
    </row>
    <row r="296" spans="1:173" x14ac:dyDescent="0.2">
      <c r="A296" s="1" t="s">
        <v>2655</v>
      </c>
      <c r="B296" s="1" t="s">
        <v>55</v>
      </c>
      <c r="C296" s="1" t="s">
        <v>238</v>
      </c>
      <c r="D296" s="1" t="s">
        <v>2</v>
      </c>
      <c r="E296" s="1">
        <v>13</v>
      </c>
      <c r="F296" s="1" t="s">
        <v>2656</v>
      </c>
      <c r="G296" s="1" t="s">
        <v>2657</v>
      </c>
      <c r="H296" s="1" t="s">
        <v>2658</v>
      </c>
      <c r="I296" s="1" t="s">
        <v>7</v>
      </c>
      <c r="J296" s="1" t="s">
        <v>2659</v>
      </c>
      <c r="L296" s="1" t="s">
        <v>2659</v>
      </c>
      <c r="M296" s="1" t="s">
        <v>2643</v>
      </c>
      <c r="N296" s="1" t="s">
        <v>2644</v>
      </c>
      <c r="O296" s="1">
        <v>3</v>
      </c>
      <c r="P296" s="1" t="s">
        <v>2645</v>
      </c>
      <c r="Q296" s="1">
        <v>2001</v>
      </c>
      <c r="R296" s="1" t="s">
        <v>2646</v>
      </c>
      <c r="S296" s="1" t="s">
        <v>27</v>
      </c>
      <c r="T296" s="38">
        <v>1</v>
      </c>
      <c r="U296" s="1">
        <v>73.37</v>
      </c>
      <c r="V296" s="1">
        <v>5.6</v>
      </c>
      <c r="Y296" s="1">
        <v>1.71561568</v>
      </c>
      <c r="AA296" s="1">
        <v>0.95334567999999997</v>
      </c>
      <c r="AD296" s="1">
        <v>0.90746428571428595</v>
      </c>
      <c r="AF296" s="1">
        <v>0.12297956</v>
      </c>
      <c r="AG296" s="1">
        <v>0.78564628000000003</v>
      </c>
      <c r="AW296" s="1">
        <v>5.7424339999999997E-2</v>
      </c>
      <c r="BA296" s="1">
        <v>1.1611913</v>
      </c>
      <c r="BB296" s="1">
        <v>7.6226999999999996E-3</v>
      </c>
      <c r="BD296" s="1">
        <v>1.575358E-2</v>
      </c>
      <c r="BE296" s="1">
        <v>8.6390600000000005E-3</v>
      </c>
      <c r="BF296" s="1">
        <v>4.5736199999999996E-3</v>
      </c>
      <c r="BG296" s="1">
        <v>0.42280575999999997</v>
      </c>
      <c r="BJ296" s="1">
        <v>3.7605319999999998E-2</v>
      </c>
      <c r="BX296" s="1">
        <v>2.8966260000000001E-2</v>
      </c>
      <c r="BZ296" s="1">
        <v>0.17837117999999999</v>
      </c>
      <c r="CB296" s="1">
        <v>1.0671780000000001E-2</v>
      </c>
      <c r="CK296" s="1">
        <v>2.0195073200000002</v>
      </c>
      <c r="CM296" s="1">
        <v>0.12704499999999999</v>
      </c>
      <c r="CR296" s="1">
        <v>4.06544E-3</v>
      </c>
      <c r="CV296" s="1">
        <v>4.3703480000000003E-2</v>
      </c>
      <c r="DN296" s="1">
        <v>0.69976386000000002</v>
      </c>
      <c r="DS296" s="1">
        <v>8.1308800000000001E-3</v>
      </c>
      <c r="ED296" s="1">
        <v>1.01636E-2</v>
      </c>
      <c r="EH296" s="1">
        <v>5.1834360000000003E-2</v>
      </c>
      <c r="EJ296" s="1">
        <v>3.608078E-2</v>
      </c>
      <c r="ET296" s="1">
        <v>6.6063399999999996E-3</v>
      </c>
      <c r="EX296" s="1">
        <v>5.3867079999999998E-2</v>
      </c>
      <c r="FA296" s="1">
        <v>6.09816E-3</v>
      </c>
      <c r="FE296" s="1">
        <v>1.0671780000000001E-2</v>
      </c>
      <c r="FI296" s="1">
        <v>1.626176E-2</v>
      </c>
      <c r="FJ296" s="1">
        <v>7.6226999999999996E-3</v>
      </c>
      <c r="FM296" s="1">
        <v>4.6752559999999999E-2</v>
      </c>
    </row>
    <row r="297" spans="1:173" x14ac:dyDescent="0.2">
      <c r="A297" s="1" t="s">
        <v>2660</v>
      </c>
      <c r="B297" s="1" t="s">
        <v>55</v>
      </c>
      <c r="C297" s="1" t="s">
        <v>238</v>
      </c>
      <c r="D297" s="1" t="s">
        <v>2</v>
      </c>
      <c r="E297" s="1">
        <v>13</v>
      </c>
      <c r="F297" s="1" t="s">
        <v>2656</v>
      </c>
      <c r="G297" s="1" t="s">
        <v>2657</v>
      </c>
      <c r="H297" s="1" t="s">
        <v>2661</v>
      </c>
      <c r="I297" s="1" t="s">
        <v>7</v>
      </c>
      <c r="J297" s="1" t="s">
        <v>2659</v>
      </c>
      <c r="L297" s="1" t="s">
        <v>2659</v>
      </c>
      <c r="M297" s="1" t="s">
        <v>2643</v>
      </c>
      <c r="N297" s="1" t="s">
        <v>2644</v>
      </c>
      <c r="O297" s="1">
        <v>3</v>
      </c>
      <c r="P297" s="1" t="s">
        <v>2645</v>
      </c>
      <c r="Q297" s="1">
        <v>2001</v>
      </c>
      <c r="R297" s="1" t="s">
        <v>2646</v>
      </c>
      <c r="S297" s="1" t="s">
        <v>27</v>
      </c>
      <c r="T297" s="38">
        <v>1</v>
      </c>
      <c r="U297" s="1">
        <v>73.98</v>
      </c>
      <c r="V297" s="1">
        <v>3.74</v>
      </c>
      <c r="Y297" s="1">
        <v>1.19299873</v>
      </c>
      <c r="AA297" s="1">
        <v>0.49460087600000002</v>
      </c>
      <c r="AD297" s="1">
        <v>0.89476470588235302</v>
      </c>
      <c r="AF297" s="1">
        <v>7.7636943999999999E-2</v>
      </c>
      <c r="AG297" s="1">
        <v>0.39353899199999998</v>
      </c>
      <c r="AW297" s="1">
        <v>4.0157039999999998E-2</v>
      </c>
      <c r="AZ297" s="1">
        <v>1.6732100000000001E-3</v>
      </c>
      <c r="BA297" s="1">
        <v>0.78306228</v>
      </c>
      <c r="BB297" s="1">
        <v>3.6810620000000001E-3</v>
      </c>
      <c r="BD297" s="1">
        <v>6.6928400000000002E-3</v>
      </c>
      <c r="BE297" s="1">
        <v>3.3464200000000001E-3</v>
      </c>
      <c r="BF297" s="1">
        <v>2.0078520000000001E-3</v>
      </c>
      <c r="BG297" s="1">
        <v>0.33129557999999998</v>
      </c>
      <c r="BJ297" s="1">
        <v>2.1082446000000001E-2</v>
      </c>
      <c r="BX297" s="1">
        <v>1.7066741999999999E-2</v>
      </c>
      <c r="BZ297" s="1">
        <v>0.14155356599999999</v>
      </c>
      <c r="CB297" s="1">
        <v>4.3503459999999997E-3</v>
      </c>
      <c r="CK297" s="1">
        <v>1.411519956</v>
      </c>
      <c r="CM297" s="1">
        <v>6.4920547999999995E-2</v>
      </c>
      <c r="CO297" s="1">
        <v>1.003926E-3</v>
      </c>
      <c r="CR297" s="1">
        <v>2.3424940000000001E-3</v>
      </c>
      <c r="CV297" s="1">
        <v>1.6062816000000001E-2</v>
      </c>
      <c r="DN297" s="1">
        <v>0.32761451800000002</v>
      </c>
      <c r="DS297" s="1">
        <v>5.6889139999999998E-3</v>
      </c>
      <c r="ED297" s="1">
        <v>7.6967659999999999E-3</v>
      </c>
      <c r="EH297" s="1">
        <v>1.7066741999999999E-2</v>
      </c>
      <c r="EJ297" s="1">
        <v>1.7736025999999998E-2</v>
      </c>
      <c r="ET297" s="1">
        <v>4.3503459999999997E-3</v>
      </c>
      <c r="EX297" s="1">
        <v>3.9487755999999999E-2</v>
      </c>
      <c r="FA297" s="1">
        <v>3.6810620000000001E-3</v>
      </c>
      <c r="FE297" s="1">
        <v>4.3503459999999997E-3</v>
      </c>
      <c r="FI297" s="1">
        <v>1.505889E-2</v>
      </c>
      <c r="FJ297" s="1">
        <v>5.6889139999999998E-3</v>
      </c>
      <c r="FM297" s="1">
        <v>4.6180595999999997E-2</v>
      </c>
    </row>
    <row r="298" spans="1:173" x14ac:dyDescent="0.2">
      <c r="A298" s="1" t="s">
        <v>2662</v>
      </c>
      <c r="B298" s="1" t="s">
        <v>55</v>
      </c>
      <c r="C298" s="1" t="s">
        <v>2663</v>
      </c>
      <c r="D298" s="1" t="s">
        <v>2</v>
      </c>
      <c r="E298" s="1">
        <v>13</v>
      </c>
      <c r="F298" s="1" t="s">
        <v>1447</v>
      </c>
      <c r="G298" s="1" t="s">
        <v>1448</v>
      </c>
      <c r="H298" s="1" t="s">
        <v>2664</v>
      </c>
      <c r="I298" s="1" t="s">
        <v>7</v>
      </c>
      <c r="J298" s="1" t="s">
        <v>1450</v>
      </c>
      <c r="K298" s="1" t="s">
        <v>1451</v>
      </c>
      <c r="L298" s="1" t="s">
        <v>2665</v>
      </c>
      <c r="M298" s="1" t="s">
        <v>2666</v>
      </c>
      <c r="N298" s="1" t="s">
        <v>2667</v>
      </c>
      <c r="O298" s="1">
        <v>3</v>
      </c>
      <c r="P298" s="1" t="s">
        <v>2668</v>
      </c>
      <c r="Q298" s="1">
        <v>2009</v>
      </c>
      <c r="R298" s="1" t="s">
        <v>2669</v>
      </c>
      <c r="S298" s="1" t="s">
        <v>27</v>
      </c>
      <c r="T298" s="38">
        <v>1</v>
      </c>
      <c r="U298" s="1">
        <v>71</v>
      </c>
      <c r="V298" s="1">
        <v>8.9</v>
      </c>
      <c r="Y298" s="1">
        <v>3.1921287135575902</v>
      </c>
      <c r="Z298" s="1">
        <v>3.60376718927896</v>
      </c>
      <c r="AA298" s="1">
        <v>1.22693654437415</v>
      </c>
      <c r="AB298" s="1">
        <v>0.13786755278929799</v>
      </c>
      <c r="AD298" s="1">
        <v>0.91693258426966295</v>
      </c>
      <c r="AF298" s="1">
        <v>0.14761854493492699</v>
      </c>
      <c r="AG298" s="1">
        <v>1.0793179994392299</v>
      </c>
      <c r="AW298" s="1">
        <v>9.7026098514612996E-2</v>
      </c>
      <c r="BA298" s="1">
        <v>2.4899275389720601</v>
      </c>
      <c r="BD298" s="1">
        <v>2.4476913502020799E-2</v>
      </c>
      <c r="BG298" s="1">
        <v>0.58069816256889495</v>
      </c>
      <c r="BJ298" s="1" t="s">
        <v>15</v>
      </c>
      <c r="BX298" s="1">
        <v>4.8802232414510302E-2</v>
      </c>
      <c r="BZ298" s="1">
        <v>0.39041785931608203</v>
      </c>
      <c r="CK298" s="1">
        <v>2.77170699458798</v>
      </c>
      <c r="CM298" s="1">
        <v>0.30251669262464598</v>
      </c>
      <c r="CV298" s="1">
        <v>9.0323410335745993E-2</v>
      </c>
      <c r="DN298" s="1">
        <v>0.91541787295366805</v>
      </c>
      <c r="ED298" s="1">
        <v>7.3535212224418001E-2</v>
      </c>
      <c r="EH298" s="1">
        <v>6.5364633088371496E-2</v>
      </c>
      <c r="EX298" s="1">
        <v>5.7429659728496597E-2</v>
      </c>
      <c r="EY298" s="1" t="s">
        <v>15</v>
      </c>
      <c r="FA298" s="1">
        <v>1.6469642812852601E-2</v>
      </c>
      <c r="FE298" s="1">
        <v>1.6403699432085202E-2</v>
      </c>
      <c r="FI298" s="1">
        <v>1.64656117197895E-2</v>
      </c>
      <c r="FJ298" s="1">
        <v>1.64656117197895E-2</v>
      </c>
      <c r="FM298" s="1">
        <v>4.93846006946803E-2</v>
      </c>
    </row>
    <row r="299" spans="1:173" x14ac:dyDescent="0.2">
      <c r="A299" s="1" t="s">
        <v>2670</v>
      </c>
      <c r="B299" s="1" t="s">
        <v>55</v>
      </c>
      <c r="C299" s="1" t="s">
        <v>2663</v>
      </c>
      <c r="D299" s="1" t="s">
        <v>2</v>
      </c>
      <c r="E299" s="1">
        <v>13</v>
      </c>
      <c r="F299" s="1" t="s">
        <v>1433</v>
      </c>
      <c r="G299" s="1" t="s">
        <v>1434</v>
      </c>
      <c r="H299" s="1" t="s">
        <v>2671</v>
      </c>
      <c r="I299" s="1" t="s">
        <v>7</v>
      </c>
      <c r="J299" s="1" t="s">
        <v>1437</v>
      </c>
      <c r="K299" s="1" t="s">
        <v>1434</v>
      </c>
      <c r="L299" s="1" t="s">
        <v>1437</v>
      </c>
      <c r="M299" s="1" t="s">
        <v>2666</v>
      </c>
      <c r="N299" s="1" t="s">
        <v>2672</v>
      </c>
      <c r="O299" s="1">
        <v>3</v>
      </c>
      <c r="P299" s="1" t="s">
        <v>2668</v>
      </c>
      <c r="Q299" s="1">
        <v>2009</v>
      </c>
      <c r="R299" s="1" t="s">
        <v>2669</v>
      </c>
      <c r="S299" s="1" t="s">
        <v>27</v>
      </c>
      <c r="T299" s="38">
        <v>1</v>
      </c>
      <c r="U299" s="1">
        <v>70.099999999999994</v>
      </c>
      <c r="V299" s="1">
        <v>12.2</v>
      </c>
      <c r="Y299" s="1">
        <v>4.0602294238757297</v>
      </c>
      <c r="Z299" s="1">
        <v>5.9075256407918904</v>
      </c>
      <c r="AA299" s="1">
        <v>1.1154357764645499</v>
      </c>
      <c r="AB299" s="1">
        <v>0.15640915886783199</v>
      </c>
      <c r="AD299" s="1">
        <v>0.92127868852459005</v>
      </c>
      <c r="AF299" s="1">
        <v>0.112766251261176</v>
      </c>
      <c r="AG299" s="1">
        <v>0.99140994070941801</v>
      </c>
      <c r="AW299" s="1">
        <v>0.31187915810950501</v>
      </c>
      <c r="BA299" s="1">
        <v>2.9032607691083698</v>
      </c>
      <c r="BD299" s="1">
        <v>3.3719230302819897E-2</v>
      </c>
      <c r="BG299" s="1">
        <v>0.78869873200080698</v>
      </c>
      <c r="BJ299" s="1">
        <v>2.26715343542216E-2</v>
      </c>
      <c r="BX299" s="1">
        <v>6.7229624925575507E-2</v>
      </c>
      <c r="BZ299" s="1">
        <v>1.0532641238340199</v>
      </c>
      <c r="CK299" s="1">
        <v>4.3476635049431804</v>
      </c>
      <c r="CM299" s="1">
        <v>0.41674494736501999</v>
      </c>
      <c r="CV299" s="1">
        <v>2.26234397240981E-2</v>
      </c>
      <c r="DN299" s="1">
        <v>0.81069008356455896</v>
      </c>
      <c r="DQ299" s="1">
        <v>1.12595844939522E-2</v>
      </c>
      <c r="ED299" s="1">
        <v>5.62786724668164E-2</v>
      </c>
      <c r="EH299" s="1">
        <v>7.8790141453542906E-2</v>
      </c>
      <c r="EX299" s="1">
        <v>9.0416811857677706E-2</v>
      </c>
      <c r="EY299" s="1" t="s">
        <v>15</v>
      </c>
      <c r="FA299" s="1" t="s">
        <v>15</v>
      </c>
      <c r="FE299" s="1">
        <v>1.12988126326273E-2</v>
      </c>
      <c r="FI299" s="1">
        <v>3.4024372820365197E-2</v>
      </c>
      <c r="FJ299" s="1" t="s">
        <v>15</v>
      </c>
      <c r="FM299" s="1">
        <v>2.2677297175005901E-2</v>
      </c>
    </row>
    <row r="300" spans="1:173" x14ac:dyDescent="0.2">
      <c r="A300" s="1" t="s">
        <v>2673</v>
      </c>
      <c r="B300" s="1" t="s">
        <v>55</v>
      </c>
      <c r="C300" s="1" t="s">
        <v>2674</v>
      </c>
      <c r="D300" s="1" t="s">
        <v>2</v>
      </c>
      <c r="E300" s="1">
        <v>13</v>
      </c>
      <c r="F300" s="1" t="s">
        <v>1694</v>
      </c>
      <c r="H300" s="1" t="s">
        <v>2675</v>
      </c>
      <c r="I300" s="1" t="s">
        <v>7</v>
      </c>
      <c r="J300" s="1" t="s">
        <v>1696</v>
      </c>
      <c r="K300" s="1" t="s">
        <v>1697</v>
      </c>
      <c r="L300" s="1" t="s">
        <v>1696</v>
      </c>
      <c r="M300" s="1" t="s">
        <v>480</v>
      </c>
      <c r="N300" s="1" t="s">
        <v>2676</v>
      </c>
      <c r="O300" s="1">
        <v>10</v>
      </c>
      <c r="P300" s="1" t="s">
        <v>1269</v>
      </c>
      <c r="Q300" s="1">
        <v>2008</v>
      </c>
      <c r="R300" s="1" t="s">
        <v>2677</v>
      </c>
      <c r="S300" s="1" t="s">
        <v>27</v>
      </c>
      <c r="T300" s="38">
        <v>1</v>
      </c>
      <c r="W300" s="1">
        <v>2.4</v>
      </c>
      <c r="Y300" s="1">
        <v>0.56723171999999999</v>
      </c>
      <c r="Z300" s="1">
        <v>0.64772580000000002</v>
      </c>
      <c r="AA300" s="1">
        <v>0.88124248000000005</v>
      </c>
      <c r="AD300" s="1">
        <v>0.87341666666666695</v>
      </c>
      <c r="AF300" s="1">
        <v>0.67958803999999995</v>
      </c>
      <c r="AG300" s="1">
        <v>0.13562414</v>
      </c>
      <c r="AW300" s="1">
        <v>0.11675834</v>
      </c>
      <c r="AY300" s="1">
        <v>1.069062E-2</v>
      </c>
      <c r="BA300" s="1">
        <v>0.37039854</v>
      </c>
      <c r="BG300" s="1">
        <v>6.5820680000000006E-2</v>
      </c>
      <c r="BI300" s="1">
        <v>3.56354E-3</v>
      </c>
      <c r="BS300" s="1">
        <v>5.4501200000000001E-3</v>
      </c>
      <c r="CA300" s="1">
        <v>0.14212236</v>
      </c>
      <c r="CF300" s="1">
        <v>1.949466E-2</v>
      </c>
      <c r="CG300" s="1">
        <v>5.3453100000000003E-2</v>
      </c>
      <c r="CI300" s="1">
        <v>0.26684626</v>
      </c>
      <c r="CV300" s="1">
        <v>8.9717359999999996E-2</v>
      </c>
      <c r="CX300" s="1">
        <v>5.6597399999999999E-3</v>
      </c>
      <c r="DA300" s="1">
        <v>5.7226260000000001E-2</v>
      </c>
      <c r="DB300" s="1">
        <v>7.96556E-3</v>
      </c>
      <c r="DN300" s="1">
        <v>0.10963125999999999</v>
      </c>
      <c r="DU300" s="1">
        <v>5.8693599999999997E-3</v>
      </c>
      <c r="EH300" s="1">
        <v>2.6621740000000001E-2</v>
      </c>
      <c r="EK300" s="1">
        <v>3.98278E-3</v>
      </c>
      <c r="EL300" s="1">
        <v>2.7250600000000001E-3</v>
      </c>
      <c r="EV300" s="1">
        <v>4.9470319999999998E-2</v>
      </c>
      <c r="EX300" s="1">
        <v>1.530226E-2</v>
      </c>
      <c r="EY300" s="1">
        <v>1.7817699999999999E-2</v>
      </c>
      <c r="FE300" s="1">
        <v>0.19683318</v>
      </c>
      <c r="FH300" s="1">
        <v>1.0481000000000001E-2</v>
      </c>
      <c r="FI300" s="1">
        <v>6.7078399999999996E-3</v>
      </c>
      <c r="FJ300" s="1">
        <v>3.87797E-2</v>
      </c>
      <c r="FM300" s="1">
        <v>0.39681065999999998</v>
      </c>
    </row>
    <row r="301" spans="1:173" x14ac:dyDescent="0.2">
      <c r="A301" s="1" t="s">
        <v>2678</v>
      </c>
      <c r="B301" s="1" t="s">
        <v>55</v>
      </c>
      <c r="C301" s="1" t="s">
        <v>2679</v>
      </c>
      <c r="D301" s="1" t="s">
        <v>2</v>
      </c>
      <c r="E301" s="1">
        <v>13</v>
      </c>
      <c r="F301" s="1" t="s">
        <v>2680</v>
      </c>
      <c r="H301" s="1" t="s">
        <v>2681</v>
      </c>
      <c r="I301" s="1" t="s">
        <v>7</v>
      </c>
      <c r="J301" s="1" t="s">
        <v>2682</v>
      </c>
      <c r="K301" s="1" t="s">
        <v>2683</v>
      </c>
      <c r="L301" s="1" t="s">
        <v>2684</v>
      </c>
      <c r="N301" s="1" t="s">
        <v>2685</v>
      </c>
      <c r="Q301" s="1">
        <v>2008</v>
      </c>
      <c r="R301" s="1" t="s">
        <v>2686</v>
      </c>
      <c r="S301" s="1" t="s">
        <v>27</v>
      </c>
      <c r="T301" s="38">
        <v>1</v>
      </c>
      <c r="U301" s="1">
        <v>76.25</v>
      </c>
      <c r="V301" s="1">
        <v>3.98</v>
      </c>
      <c r="Y301" s="1">
        <v>0.94564800000000004</v>
      </c>
      <c r="Z301" s="1">
        <v>1.0435559999999999</v>
      </c>
      <c r="AA301" s="1">
        <v>1.100868</v>
      </c>
      <c r="AE301" s="1">
        <v>3.0900720000000002</v>
      </c>
      <c r="AM301" s="1">
        <v>0.74824000000000002</v>
      </c>
      <c r="AN301" s="1">
        <v>0.34028999999999998</v>
      </c>
      <c r="AW301" s="1">
        <v>0.146066</v>
      </c>
      <c r="BA301" s="1">
        <v>0.6169</v>
      </c>
      <c r="BG301" s="1">
        <v>0.149648</v>
      </c>
      <c r="BZ301" s="1">
        <v>0.16755800000000001</v>
      </c>
      <c r="CK301" s="1">
        <v>0.70047999999999999</v>
      </c>
      <c r="CM301" s="1">
        <v>0.107062</v>
      </c>
      <c r="CZ301" s="1">
        <v>2.8656000000000001E-2</v>
      </c>
      <c r="DN301" s="1">
        <v>0.25074000000000002</v>
      </c>
      <c r="EH301" s="1">
        <v>3.2635999999999998E-2</v>
      </c>
      <c r="ET301" s="1">
        <v>3.7412000000000001E-2</v>
      </c>
      <c r="EX301" s="1">
        <v>3.9003999999999997E-2</v>
      </c>
      <c r="FE301" s="1">
        <v>0.22009400000000001</v>
      </c>
      <c r="FJ301" s="1">
        <v>0.12139</v>
      </c>
      <c r="FM301" s="1">
        <v>0.289744</v>
      </c>
      <c r="FQ301" s="1">
        <v>2.8656000000000001E-2</v>
      </c>
    </row>
    <row r="302" spans="1:173" x14ac:dyDescent="0.2">
      <c r="A302" s="1" t="s">
        <v>2688</v>
      </c>
      <c r="B302" s="1" t="s">
        <v>55</v>
      </c>
      <c r="C302" s="1" t="s">
        <v>2679</v>
      </c>
      <c r="D302" s="1" t="s">
        <v>2</v>
      </c>
      <c r="E302" s="1">
        <v>13</v>
      </c>
      <c r="F302" s="1" t="s">
        <v>2680</v>
      </c>
      <c r="H302" s="1" t="s">
        <v>2689</v>
      </c>
      <c r="I302" s="1" t="s">
        <v>7</v>
      </c>
      <c r="J302" s="1" t="s">
        <v>2682</v>
      </c>
      <c r="K302" s="1" t="s">
        <v>2683</v>
      </c>
      <c r="L302" s="1" t="s">
        <v>2684</v>
      </c>
      <c r="N302" s="1" t="s">
        <v>2690</v>
      </c>
      <c r="Q302" s="1">
        <v>2008</v>
      </c>
      <c r="R302" s="1" t="s">
        <v>2686</v>
      </c>
      <c r="S302" s="1" t="s">
        <v>27</v>
      </c>
      <c r="T302" s="38">
        <v>1</v>
      </c>
      <c r="U302" s="1">
        <v>77.14</v>
      </c>
      <c r="V302" s="1">
        <v>3.82</v>
      </c>
      <c r="Y302" s="1">
        <v>0.94468600000000003</v>
      </c>
      <c r="Z302" s="1">
        <v>1.1379779999999999</v>
      </c>
      <c r="AA302" s="1">
        <v>1.1295740000000001</v>
      </c>
      <c r="AE302" s="1">
        <v>3.2122380000000001</v>
      </c>
      <c r="AM302" s="1">
        <v>7.64</v>
      </c>
      <c r="AN302" s="1">
        <v>0.35449599999999998</v>
      </c>
      <c r="AW302" s="1">
        <v>0.15127199999999999</v>
      </c>
      <c r="BA302" s="1">
        <v>0.63259200000000004</v>
      </c>
      <c r="BG302" s="1">
        <v>0.134464</v>
      </c>
      <c r="BZ302" s="1">
        <v>0.21773999999999999</v>
      </c>
      <c r="CK302" s="1">
        <v>0.73955199999999999</v>
      </c>
      <c r="CM302" s="1">
        <v>9.8173999999999997E-2</v>
      </c>
      <c r="CZ302" s="1">
        <v>3.1323999999999998E-2</v>
      </c>
      <c r="DN302" s="1">
        <v>0.26319799999999999</v>
      </c>
      <c r="EH302" s="1">
        <v>3.7817999999999997E-2</v>
      </c>
      <c r="ET302" s="1">
        <v>4.2402000000000002E-2</v>
      </c>
      <c r="EX302" s="1">
        <v>3.8581999999999998E-2</v>
      </c>
      <c r="FE302" s="1">
        <v>0.23225599999999999</v>
      </c>
      <c r="FJ302" s="1">
        <v>0.12529599999999999</v>
      </c>
      <c r="FM302" s="1">
        <v>0.28611799999999998</v>
      </c>
      <c r="FQ302" s="1">
        <v>3.1323999999999998E-2</v>
      </c>
    </row>
    <row r="303" spans="1:173" x14ac:dyDescent="0.2">
      <c r="A303" s="1" t="s">
        <v>2692</v>
      </c>
      <c r="B303" s="1" t="s">
        <v>55</v>
      </c>
      <c r="C303" s="1" t="s">
        <v>2679</v>
      </c>
      <c r="D303" s="1" t="s">
        <v>2</v>
      </c>
      <c r="E303" s="1">
        <v>13</v>
      </c>
      <c r="F303" s="1" t="s">
        <v>2680</v>
      </c>
      <c r="H303" s="1" t="s">
        <v>2693</v>
      </c>
      <c r="I303" s="1" t="s">
        <v>7</v>
      </c>
      <c r="J303" s="1" t="s">
        <v>2682</v>
      </c>
      <c r="K303" s="1" t="s">
        <v>2683</v>
      </c>
      <c r="L303" s="1" t="s">
        <v>2684</v>
      </c>
      <c r="N303" s="1" t="s">
        <v>2694</v>
      </c>
      <c r="Q303" s="1">
        <v>2008</v>
      </c>
      <c r="R303" s="1" t="s">
        <v>2686</v>
      </c>
      <c r="S303" s="1" t="s">
        <v>27</v>
      </c>
      <c r="T303" s="38">
        <v>1</v>
      </c>
      <c r="U303" s="1">
        <v>77.63</v>
      </c>
      <c r="V303" s="1">
        <v>4.3600000000000003</v>
      </c>
      <c r="Y303" s="1">
        <v>1.1022080000000001</v>
      </c>
      <c r="Z303" s="1">
        <v>1.2761720000000001</v>
      </c>
      <c r="AA303" s="1">
        <v>1.273992</v>
      </c>
      <c r="AE303" s="1">
        <v>3.6523720000000002</v>
      </c>
      <c r="AM303" s="1">
        <v>0.877668</v>
      </c>
      <c r="AN303" s="1">
        <v>0.38324399999999997</v>
      </c>
      <c r="AW303" s="1">
        <v>0.17178399999999999</v>
      </c>
      <c r="BA303" s="1">
        <v>0.72594000000000003</v>
      </c>
      <c r="BG303" s="1">
        <v>0.17178399999999999</v>
      </c>
      <c r="BZ303" s="1">
        <v>0.234568</v>
      </c>
      <c r="CK303" s="1">
        <v>0.83450400000000002</v>
      </c>
      <c r="CM303" s="1">
        <v>0.129492</v>
      </c>
      <c r="CZ303" s="1">
        <v>3.4880000000000001E-2</v>
      </c>
      <c r="DN303" s="1">
        <v>0.29037600000000002</v>
      </c>
      <c r="EH303" s="1">
        <v>3.9239999999999997E-2</v>
      </c>
      <c r="ET303" s="1">
        <v>5.0576000000000003E-2</v>
      </c>
      <c r="EX303" s="1">
        <v>4.1419999999999998E-2</v>
      </c>
      <c r="FE303" s="1">
        <v>0.26072800000000002</v>
      </c>
      <c r="FJ303" s="1">
        <v>0.13777600000000001</v>
      </c>
      <c r="FM303" s="1">
        <v>0.33920800000000001</v>
      </c>
      <c r="FQ303" s="1">
        <v>3.4880000000000001E-2</v>
      </c>
    </row>
    <row r="304" spans="1:173" x14ac:dyDescent="0.2">
      <c r="A304" s="1" t="s">
        <v>2695</v>
      </c>
      <c r="B304" s="1" t="s">
        <v>55</v>
      </c>
      <c r="C304" s="1" t="s">
        <v>2696</v>
      </c>
      <c r="D304" s="1" t="s">
        <v>2</v>
      </c>
      <c r="E304" s="1">
        <v>21</v>
      </c>
      <c r="F304" s="1" t="s">
        <v>2697</v>
      </c>
      <c r="H304" s="1" t="s">
        <v>2698</v>
      </c>
      <c r="I304" s="1" t="s">
        <v>7</v>
      </c>
      <c r="J304" s="1" t="s">
        <v>2699</v>
      </c>
      <c r="K304" s="1" t="s">
        <v>2700</v>
      </c>
      <c r="L304" s="1" t="s">
        <v>2699</v>
      </c>
      <c r="M304" s="1" t="s">
        <v>2701</v>
      </c>
      <c r="N304" s="1" t="s">
        <v>2702</v>
      </c>
      <c r="O304" s="1">
        <v>1</v>
      </c>
      <c r="Q304" s="1">
        <v>1991</v>
      </c>
      <c r="R304" s="1" t="s">
        <v>2703</v>
      </c>
      <c r="S304" s="1" t="s">
        <v>27</v>
      </c>
      <c r="T304" s="38">
        <v>1</v>
      </c>
      <c r="U304" s="1">
        <v>81.900000000000006</v>
      </c>
      <c r="W304" s="1">
        <v>1.53</v>
      </c>
    </row>
    <row r="305" spans="1:170" x14ac:dyDescent="0.2">
      <c r="A305" s="1" t="s">
        <v>2704</v>
      </c>
      <c r="B305" s="1" t="s">
        <v>55</v>
      </c>
      <c r="C305" s="1" t="s">
        <v>2696</v>
      </c>
      <c r="D305" s="1" t="s">
        <v>2</v>
      </c>
      <c r="E305" s="1">
        <v>21</v>
      </c>
      <c r="F305" s="1" t="s">
        <v>2697</v>
      </c>
      <c r="H305" s="1" t="s">
        <v>2705</v>
      </c>
      <c r="I305" s="1" t="s">
        <v>7</v>
      </c>
      <c r="J305" s="1" t="s">
        <v>2699</v>
      </c>
      <c r="K305" s="1" t="s">
        <v>2700</v>
      </c>
      <c r="L305" s="1" t="s">
        <v>2699</v>
      </c>
      <c r="M305" s="1" t="s">
        <v>2701</v>
      </c>
      <c r="N305" s="1" t="s">
        <v>2706</v>
      </c>
      <c r="O305" s="1">
        <v>1</v>
      </c>
      <c r="Q305" s="1">
        <v>1991</v>
      </c>
      <c r="R305" s="1" t="s">
        <v>2703</v>
      </c>
      <c r="S305" s="1" t="s">
        <v>27</v>
      </c>
      <c r="T305" s="38">
        <v>1</v>
      </c>
      <c r="U305" s="1">
        <v>83.8</v>
      </c>
      <c r="W305" s="1">
        <v>0.27</v>
      </c>
    </row>
    <row r="306" spans="1:170" x14ac:dyDescent="0.2">
      <c r="A306" s="1" t="s">
        <v>2707</v>
      </c>
      <c r="B306" s="1" t="s">
        <v>55</v>
      </c>
      <c r="C306" s="1" t="s">
        <v>2708</v>
      </c>
      <c r="D306" s="1" t="s">
        <v>2</v>
      </c>
      <c r="E306" s="1">
        <v>22</v>
      </c>
      <c r="F306" s="1" t="s">
        <v>2709</v>
      </c>
      <c r="H306" s="1" t="s">
        <v>2710</v>
      </c>
      <c r="I306" s="1" t="s">
        <v>7</v>
      </c>
      <c r="J306" s="1" t="s">
        <v>2711</v>
      </c>
      <c r="K306" s="1" t="s">
        <v>2712</v>
      </c>
      <c r="L306" s="1" t="s">
        <v>2711</v>
      </c>
      <c r="N306" s="1" t="s">
        <v>2713</v>
      </c>
      <c r="O306" s="1">
        <v>3</v>
      </c>
      <c r="P306" s="1" t="s">
        <v>2714</v>
      </c>
      <c r="Q306" s="1">
        <v>2009</v>
      </c>
      <c r="R306" s="1" t="s">
        <v>2715</v>
      </c>
      <c r="S306" s="1" t="s">
        <v>27</v>
      </c>
      <c r="T306" s="38">
        <v>1</v>
      </c>
      <c r="U306" s="1">
        <v>67.400000000000006</v>
      </c>
      <c r="V306" s="1">
        <v>13.1</v>
      </c>
      <c r="AD306" s="1">
        <v>0.92208396946564897</v>
      </c>
      <c r="AW306" s="1">
        <v>0.47109269999999998</v>
      </c>
      <c r="BA306" s="1">
        <v>2.2346705</v>
      </c>
      <c r="BG306" s="1">
        <v>0.43485479999999999</v>
      </c>
      <c r="CA306" s="1">
        <v>1.0025819</v>
      </c>
      <c r="CQ306" s="1">
        <v>4.5418168000000003</v>
      </c>
      <c r="CZ306" s="1">
        <v>0.7126787</v>
      </c>
      <c r="DD306" s="1">
        <v>0.27782390000000001</v>
      </c>
      <c r="DR306" s="1">
        <v>0.1811895</v>
      </c>
      <c r="DV306" s="1">
        <v>1.2079299999999999E-2</v>
      </c>
      <c r="EI306" s="1">
        <v>4.8317199999999998E-2</v>
      </c>
      <c r="EZ306" s="1">
        <v>4.8317199999999998E-2</v>
      </c>
      <c r="FF306" s="1">
        <v>0.48317199999999999</v>
      </c>
      <c r="FK306" s="1">
        <v>0.241586</v>
      </c>
      <c r="FN306" s="1">
        <v>0.86970959999999997</v>
      </c>
    </row>
    <row r="307" spans="1:170" x14ac:dyDescent="0.2">
      <c r="A307" s="1" t="s">
        <v>2716</v>
      </c>
      <c r="B307" s="1" t="s">
        <v>55</v>
      </c>
      <c r="C307" s="1" t="s">
        <v>236</v>
      </c>
      <c r="E307" s="1">
        <v>22</v>
      </c>
      <c r="F307" s="1" t="s">
        <v>1753</v>
      </c>
      <c r="H307" s="1" t="s">
        <v>2717</v>
      </c>
      <c r="I307" s="1" t="s">
        <v>11</v>
      </c>
      <c r="J307" s="1" t="s">
        <v>1755</v>
      </c>
      <c r="K307" s="1" t="s">
        <v>1756</v>
      </c>
      <c r="L307" s="1" t="s">
        <v>1755</v>
      </c>
      <c r="O307" s="1">
        <v>3</v>
      </c>
      <c r="Q307" s="1">
        <v>2010</v>
      </c>
      <c r="R307" s="1" t="s">
        <v>2718</v>
      </c>
      <c r="S307" s="1" t="s">
        <v>27</v>
      </c>
      <c r="T307" s="38">
        <v>1</v>
      </c>
      <c r="U307" s="1" t="s">
        <v>2720</v>
      </c>
      <c r="W307" s="1" t="s">
        <v>2722</v>
      </c>
    </row>
    <row r="308" spans="1:170" x14ac:dyDescent="0.2">
      <c r="A308" s="1" t="s">
        <v>2723</v>
      </c>
      <c r="B308" s="1" t="s">
        <v>55</v>
      </c>
      <c r="C308" s="1" t="s">
        <v>236</v>
      </c>
      <c r="E308" s="1">
        <v>33</v>
      </c>
      <c r="F308" s="1" t="s">
        <v>1288</v>
      </c>
      <c r="H308" s="1" t="s">
        <v>2724</v>
      </c>
      <c r="I308" s="1" t="s">
        <v>11</v>
      </c>
      <c r="J308" s="1" t="s">
        <v>1290</v>
      </c>
      <c r="K308" s="1" t="s">
        <v>1291</v>
      </c>
      <c r="L308" s="1" t="s">
        <v>1290</v>
      </c>
      <c r="O308" s="1">
        <v>3</v>
      </c>
      <c r="Q308" s="1">
        <v>2010</v>
      </c>
      <c r="R308" s="1" t="s">
        <v>2718</v>
      </c>
      <c r="S308" s="1" t="s">
        <v>27</v>
      </c>
      <c r="T308" s="38">
        <v>1</v>
      </c>
      <c r="U308" s="1">
        <v>75.900000000000006</v>
      </c>
      <c r="W308" s="1">
        <v>0.51</v>
      </c>
    </row>
    <row r="309" spans="1:170" x14ac:dyDescent="0.2">
      <c r="A309" s="1" t="s">
        <v>2725</v>
      </c>
      <c r="B309" s="1" t="s">
        <v>55</v>
      </c>
      <c r="C309" s="1" t="s">
        <v>2726</v>
      </c>
      <c r="D309" s="1" t="s">
        <v>2</v>
      </c>
      <c r="E309" s="1">
        <v>23</v>
      </c>
      <c r="F309" s="1" t="s">
        <v>1273</v>
      </c>
      <c r="H309" s="1" t="s">
        <v>2727</v>
      </c>
      <c r="I309" s="1" t="s">
        <v>11</v>
      </c>
      <c r="J309" s="1" t="s">
        <v>1275</v>
      </c>
      <c r="K309" s="1" t="s">
        <v>1276</v>
      </c>
      <c r="L309" s="1" t="s">
        <v>1275</v>
      </c>
      <c r="O309" s="1">
        <v>3</v>
      </c>
      <c r="Q309" s="1">
        <v>2010</v>
      </c>
      <c r="R309" s="1" t="s">
        <v>2718</v>
      </c>
      <c r="S309" s="1" t="s">
        <v>27</v>
      </c>
      <c r="T309" s="38">
        <v>1</v>
      </c>
      <c r="U309" s="1">
        <v>61.1</v>
      </c>
      <c r="W309" s="1">
        <v>13</v>
      </c>
    </row>
    <row r="310" spans="1:170" x14ac:dyDescent="0.2">
      <c r="A310" s="1" t="s">
        <v>2728</v>
      </c>
      <c r="B310" s="1" t="s">
        <v>55</v>
      </c>
      <c r="C310" s="1" t="s">
        <v>2583</v>
      </c>
      <c r="D310" s="1" t="s">
        <v>2</v>
      </c>
      <c r="E310" s="1">
        <v>23</v>
      </c>
      <c r="F310" s="1" t="s">
        <v>1273</v>
      </c>
      <c r="H310" s="1" t="s">
        <v>2729</v>
      </c>
      <c r="I310" s="1" t="s">
        <v>11</v>
      </c>
      <c r="J310" s="1" t="s">
        <v>1275</v>
      </c>
      <c r="K310" s="1" t="s">
        <v>1276</v>
      </c>
      <c r="L310" s="1" t="s">
        <v>1275</v>
      </c>
      <c r="O310" s="1">
        <v>3</v>
      </c>
      <c r="Q310" s="1">
        <v>2010</v>
      </c>
      <c r="R310" s="1" t="s">
        <v>2718</v>
      </c>
      <c r="S310" s="1" t="s">
        <v>27</v>
      </c>
      <c r="T310" s="38">
        <v>1</v>
      </c>
      <c r="U310" s="1">
        <v>61.2</v>
      </c>
      <c r="W310" s="1">
        <v>12.9</v>
      </c>
    </row>
    <row r="311" spans="1:170" x14ac:dyDescent="0.2">
      <c r="A311" s="1" t="s">
        <v>2730</v>
      </c>
      <c r="B311" s="1" t="s">
        <v>55</v>
      </c>
      <c r="C311" s="1" t="s">
        <v>2731</v>
      </c>
      <c r="D311" s="1" t="s">
        <v>2</v>
      </c>
      <c r="E311" s="1">
        <v>23</v>
      </c>
      <c r="F311" s="1" t="s">
        <v>1273</v>
      </c>
      <c r="H311" s="1" t="s">
        <v>2729</v>
      </c>
      <c r="I311" s="1" t="s">
        <v>11</v>
      </c>
      <c r="J311" s="1" t="s">
        <v>1275</v>
      </c>
      <c r="K311" s="1" t="s">
        <v>1276</v>
      </c>
      <c r="L311" s="1" t="s">
        <v>1275</v>
      </c>
      <c r="O311" s="1">
        <v>3</v>
      </c>
      <c r="Q311" s="1">
        <v>2010</v>
      </c>
      <c r="R311" s="1" t="s">
        <v>2718</v>
      </c>
      <c r="S311" s="1" t="s">
        <v>27</v>
      </c>
      <c r="T311" s="38">
        <v>1</v>
      </c>
      <c r="U311" s="1">
        <v>63.1</v>
      </c>
      <c r="W311" s="1">
        <v>10.7</v>
      </c>
    </row>
    <row r="312" spans="1:170" x14ac:dyDescent="0.2">
      <c r="A312" s="1" t="s">
        <v>2732</v>
      </c>
      <c r="B312" s="1" t="s">
        <v>55</v>
      </c>
      <c r="C312" s="1" t="s">
        <v>2733</v>
      </c>
      <c r="D312" s="1" t="s">
        <v>2</v>
      </c>
      <c r="E312" s="1">
        <v>23</v>
      </c>
      <c r="F312" s="1" t="s">
        <v>1734</v>
      </c>
      <c r="H312" s="1" t="s">
        <v>2734</v>
      </c>
      <c r="I312" s="1" t="s">
        <v>11</v>
      </c>
      <c r="J312" s="1" t="s">
        <v>1737</v>
      </c>
      <c r="K312" s="1" t="s">
        <v>1738</v>
      </c>
      <c r="L312" s="1" t="s">
        <v>1737</v>
      </c>
      <c r="O312" s="1">
        <v>3</v>
      </c>
      <c r="Q312" s="1">
        <v>2010</v>
      </c>
      <c r="R312" s="1" t="s">
        <v>2718</v>
      </c>
      <c r="S312" s="1" t="s">
        <v>27</v>
      </c>
      <c r="T312" s="38">
        <v>1</v>
      </c>
      <c r="U312" s="1">
        <v>65.2</v>
      </c>
      <c r="W312" s="1">
        <v>12</v>
      </c>
    </row>
    <row r="313" spans="1:170" x14ac:dyDescent="0.2">
      <c r="A313" s="1" t="s">
        <v>2735</v>
      </c>
      <c r="B313" s="1" t="s">
        <v>55</v>
      </c>
      <c r="C313" s="1" t="s">
        <v>2736</v>
      </c>
      <c r="D313" s="1" t="s">
        <v>4</v>
      </c>
      <c r="E313" s="1">
        <v>33</v>
      </c>
      <c r="F313" s="1" t="s">
        <v>2737</v>
      </c>
      <c r="G313" s="1" t="s">
        <v>2738</v>
      </c>
      <c r="H313" s="1" t="s">
        <v>2739</v>
      </c>
      <c r="I313" s="1" t="s">
        <v>7</v>
      </c>
      <c r="L313" s="1" t="s">
        <v>2740</v>
      </c>
      <c r="M313" s="1" t="s">
        <v>2741</v>
      </c>
      <c r="N313" s="1" t="s">
        <v>2742</v>
      </c>
      <c r="O313" s="1">
        <v>1</v>
      </c>
      <c r="Q313" s="1">
        <v>1997</v>
      </c>
      <c r="R313" s="1" t="s">
        <v>2743</v>
      </c>
      <c r="S313" s="1" t="s">
        <v>27</v>
      </c>
      <c r="T313" s="38">
        <v>1</v>
      </c>
    </row>
    <row r="314" spans="1:170" x14ac:dyDescent="0.2">
      <c r="A314" s="1" t="s">
        <v>2744</v>
      </c>
      <c r="B314" s="1" t="s">
        <v>55</v>
      </c>
      <c r="C314" s="1" t="s">
        <v>2736</v>
      </c>
      <c r="D314" s="1" t="s">
        <v>4</v>
      </c>
      <c r="E314" s="1">
        <v>33</v>
      </c>
      <c r="F314" s="1" t="s">
        <v>2737</v>
      </c>
      <c r="G314" s="1" t="s">
        <v>2738</v>
      </c>
      <c r="H314" s="1" t="s">
        <v>2745</v>
      </c>
      <c r="I314" s="1" t="s">
        <v>7</v>
      </c>
      <c r="L314" s="1" t="s">
        <v>2740</v>
      </c>
      <c r="M314" s="1" t="s">
        <v>2741</v>
      </c>
      <c r="N314" s="1" t="s">
        <v>2746</v>
      </c>
      <c r="O314" s="1">
        <v>1</v>
      </c>
      <c r="Q314" s="1">
        <v>1997</v>
      </c>
      <c r="R314" s="1" t="s">
        <v>2743</v>
      </c>
      <c r="S314" s="1" t="s">
        <v>27</v>
      </c>
      <c r="T314" s="38">
        <v>1</v>
      </c>
    </row>
    <row r="315" spans="1:170" x14ac:dyDescent="0.2">
      <c r="A315" s="1" t="s">
        <v>2747</v>
      </c>
      <c r="B315" s="1" t="s">
        <v>55</v>
      </c>
      <c r="C315" s="1" t="s">
        <v>2736</v>
      </c>
      <c r="D315" s="1" t="s">
        <v>4</v>
      </c>
      <c r="E315" s="1">
        <v>33</v>
      </c>
      <c r="F315" s="1" t="s">
        <v>2737</v>
      </c>
      <c r="G315" s="1" t="s">
        <v>2738</v>
      </c>
      <c r="H315" s="1" t="s">
        <v>2748</v>
      </c>
      <c r="I315" s="1" t="s">
        <v>7</v>
      </c>
      <c r="L315" s="1" t="s">
        <v>2740</v>
      </c>
      <c r="M315" s="1" t="s">
        <v>2741</v>
      </c>
      <c r="N315" s="1" t="s">
        <v>2749</v>
      </c>
      <c r="O315" s="1">
        <v>1</v>
      </c>
      <c r="Q315" s="1">
        <v>1997</v>
      </c>
      <c r="R315" s="1" t="s">
        <v>2743</v>
      </c>
      <c r="S315" s="1" t="s">
        <v>27</v>
      </c>
      <c r="T315" s="38">
        <v>1</v>
      </c>
    </row>
    <row r="316" spans="1:170" x14ac:dyDescent="0.2">
      <c r="A316" s="1" t="s">
        <v>2750</v>
      </c>
      <c r="B316" s="1" t="s">
        <v>55</v>
      </c>
      <c r="C316" s="1" t="s">
        <v>2736</v>
      </c>
      <c r="D316" s="1" t="s">
        <v>4</v>
      </c>
      <c r="E316" s="1">
        <v>33</v>
      </c>
      <c r="F316" s="1" t="s">
        <v>2751</v>
      </c>
      <c r="G316" s="1" t="s">
        <v>2752</v>
      </c>
      <c r="H316" s="1" t="s">
        <v>2753</v>
      </c>
      <c r="I316" s="1" t="s">
        <v>7</v>
      </c>
      <c r="K316" s="1" t="s">
        <v>2754</v>
      </c>
      <c r="L316" s="1" t="s">
        <v>2755</v>
      </c>
      <c r="M316" s="1" t="s">
        <v>2741</v>
      </c>
      <c r="N316" s="1" t="s">
        <v>2756</v>
      </c>
      <c r="O316" s="1">
        <v>1</v>
      </c>
      <c r="Q316" s="1">
        <v>1997</v>
      </c>
      <c r="R316" s="1" t="s">
        <v>2743</v>
      </c>
      <c r="S316" s="1" t="s">
        <v>27</v>
      </c>
      <c r="T316" s="38">
        <v>1</v>
      </c>
    </row>
    <row r="317" spans="1:170" x14ac:dyDescent="0.2">
      <c r="A317" s="1" t="s">
        <v>2757</v>
      </c>
      <c r="B317" s="1" t="s">
        <v>55</v>
      </c>
      <c r="C317" s="1" t="s">
        <v>2736</v>
      </c>
      <c r="D317" s="1" t="s">
        <v>4</v>
      </c>
      <c r="E317" s="1">
        <v>33</v>
      </c>
      <c r="F317" s="1" t="s">
        <v>2751</v>
      </c>
      <c r="G317" s="1" t="s">
        <v>2752</v>
      </c>
      <c r="H317" s="1" t="s">
        <v>2758</v>
      </c>
      <c r="I317" s="1" t="s">
        <v>7</v>
      </c>
      <c r="K317" s="1" t="s">
        <v>2754</v>
      </c>
      <c r="L317" s="1" t="s">
        <v>2755</v>
      </c>
      <c r="M317" s="1" t="s">
        <v>2741</v>
      </c>
      <c r="N317" s="1" t="s">
        <v>2759</v>
      </c>
      <c r="O317" s="1">
        <v>1</v>
      </c>
      <c r="Q317" s="1">
        <v>1997</v>
      </c>
      <c r="R317" s="1" t="s">
        <v>2743</v>
      </c>
      <c r="S317" s="1" t="s">
        <v>27</v>
      </c>
      <c r="T317" s="38">
        <v>1</v>
      </c>
    </row>
    <row r="318" spans="1:170" x14ac:dyDescent="0.2">
      <c r="A318" s="1" t="s">
        <v>2760</v>
      </c>
      <c r="B318" s="1" t="s">
        <v>55</v>
      </c>
      <c r="C318" s="1" t="s">
        <v>2736</v>
      </c>
      <c r="D318" s="1" t="s">
        <v>4</v>
      </c>
      <c r="E318" s="1">
        <v>33</v>
      </c>
      <c r="F318" s="1" t="s">
        <v>2751</v>
      </c>
      <c r="G318" s="1" t="s">
        <v>2752</v>
      </c>
      <c r="H318" s="1" t="s">
        <v>2761</v>
      </c>
      <c r="I318" s="1" t="s">
        <v>7</v>
      </c>
      <c r="K318" s="1" t="s">
        <v>2754</v>
      </c>
      <c r="L318" s="1" t="s">
        <v>2755</v>
      </c>
      <c r="M318" s="1" t="s">
        <v>2741</v>
      </c>
      <c r="N318" s="1" t="s">
        <v>2762</v>
      </c>
      <c r="O318" s="1">
        <v>1</v>
      </c>
      <c r="Q318" s="1">
        <v>1997</v>
      </c>
      <c r="R318" s="1" t="s">
        <v>2743</v>
      </c>
      <c r="S318" s="1" t="s">
        <v>27</v>
      </c>
      <c r="T318" s="38">
        <v>1</v>
      </c>
    </row>
    <row r="319" spans="1:170" x14ac:dyDescent="0.2">
      <c r="A319" s="1" t="s">
        <v>2763</v>
      </c>
      <c r="B319" s="1" t="s">
        <v>55</v>
      </c>
      <c r="C319" s="1" t="s">
        <v>2736</v>
      </c>
      <c r="D319" s="1" t="s">
        <v>4</v>
      </c>
      <c r="E319" s="1">
        <v>33</v>
      </c>
      <c r="F319" s="1" t="s">
        <v>2737</v>
      </c>
      <c r="G319" s="1" t="s">
        <v>2738</v>
      </c>
      <c r="H319" s="1" t="s">
        <v>2764</v>
      </c>
      <c r="I319" s="1" t="s">
        <v>7</v>
      </c>
      <c r="L319" s="1" t="s">
        <v>2740</v>
      </c>
      <c r="M319" s="1" t="s">
        <v>2741</v>
      </c>
      <c r="N319" s="1" t="s">
        <v>2765</v>
      </c>
      <c r="O319" s="1">
        <v>1</v>
      </c>
      <c r="Q319" s="1">
        <v>1997</v>
      </c>
      <c r="R319" s="1" t="s">
        <v>2743</v>
      </c>
      <c r="S319" s="1" t="s">
        <v>27</v>
      </c>
      <c r="T319" s="38">
        <v>1</v>
      </c>
    </row>
    <row r="320" spans="1:170" x14ac:dyDescent="0.2">
      <c r="A320" s="1" t="s">
        <v>2766</v>
      </c>
      <c r="B320" s="1" t="s">
        <v>55</v>
      </c>
      <c r="C320" s="1" t="s">
        <v>2736</v>
      </c>
      <c r="D320" s="1" t="s">
        <v>4</v>
      </c>
      <c r="E320" s="1">
        <v>33</v>
      </c>
      <c r="F320" s="1" t="s">
        <v>2737</v>
      </c>
      <c r="G320" s="1" t="s">
        <v>2738</v>
      </c>
      <c r="H320" s="1" t="s">
        <v>2767</v>
      </c>
      <c r="I320" s="1" t="s">
        <v>7</v>
      </c>
      <c r="L320" s="1" t="s">
        <v>2740</v>
      </c>
      <c r="M320" s="1" t="s">
        <v>2741</v>
      </c>
      <c r="N320" s="1" t="s">
        <v>2765</v>
      </c>
      <c r="O320" s="1">
        <v>1</v>
      </c>
      <c r="Q320" s="1">
        <v>1997</v>
      </c>
      <c r="R320" s="1" t="s">
        <v>2743</v>
      </c>
      <c r="S320" s="1" t="s">
        <v>27</v>
      </c>
      <c r="T320" s="38">
        <v>1</v>
      </c>
    </row>
    <row r="321" spans="1:22" x14ac:dyDescent="0.2">
      <c r="A321" s="1" t="s">
        <v>2768</v>
      </c>
      <c r="B321" s="1" t="s">
        <v>55</v>
      </c>
      <c r="C321" s="1" t="s">
        <v>2736</v>
      </c>
      <c r="D321" s="1" t="s">
        <v>4</v>
      </c>
      <c r="E321" s="1">
        <v>33</v>
      </c>
      <c r="F321" s="1" t="s">
        <v>2737</v>
      </c>
      <c r="G321" s="1" t="s">
        <v>2738</v>
      </c>
      <c r="H321" s="1" t="s">
        <v>2769</v>
      </c>
      <c r="I321" s="1" t="s">
        <v>7</v>
      </c>
      <c r="L321" s="1" t="s">
        <v>2740</v>
      </c>
      <c r="M321" s="1" t="s">
        <v>2741</v>
      </c>
      <c r="N321" s="1" t="s">
        <v>2765</v>
      </c>
      <c r="O321" s="1">
        <v>1</v>
      </c>
      <c r="Q321" s="1">
        <v>1997</v>
      </c>
      <c r="R321" s="1" t="s">
        <v>2743</v>
      </c>
      <c r="S321" s="1" t="s">
        <v>27</v>
      </c>
      <c r="T321" s="38">
        <v>1</v>
      </c>
    </row>
    <row r="322" spans="1:22" x14ac:dyDescent="0.2">
      <c r="A322" s="1" t="s">
        <v>2770</v>
      </c>
      <c r="B322" s="1" t="s">
        <v>55</v>
      </c>
      <c r="C322" s="1" t="s">
        <v>2736</v>
      </c>
      <c r="D322" s="1" t="s">
        <v>4</v>
      </c>
      <c r="E322" s="1">
        <v>33</v>
      </c>
      <c r="F322" s="1" t="s">
        <v>2751</v>
      </c>
      <c r="G322" s="1" t="s">
        <v>2752</v>
      </c>
      <c r="H322" s="1" t="s">
        <v>2771</v>
      </c>
      <c r="I322" s="1" t="s">
        <v>7</v>
      </c>
      <c r="K322" s="1" t="s">
        <v>2754</v>
      </c>
      <c r="L322" s="1" t="s">
        <v>2772</v>
      </c>
      <c r="M322" s="1" t="s">
        <v>2741</v>
      </c>
      <c r="N322" s="1" t="s">
        <v>2765</v>
      </c>
      <c r="O322" s="1">
        <v>1</v>
      </c>
      <c r="Q322" s="1">
        <v>1997</v>
      </c>
      <c r="R322" s="1" t="s">
        <v>2743</v>
      </c>
      <c r="S322" s="1" t="s">
        <v>27</v>
      </c>
      <c r="T322" s="38">
        <v>1</v>
      </c>
    </row>
    <row r="323" spans="1:22" x14ac:dyDescent="0.2">
      <c r="A323" s="1" t="s">
        <v>2773</v>
      </c>
      <c r="B323" s="1" t="s">
        <v>55</v>
      </c>
      <c r="C323" s="1" t="s">
        <v>2736</v>
      </c>
      <c r="D323" s="1" t="s">
        <v>4</v>
      </c>
      <c r="E323" s="1">
        <v>33</v>
      </c>
      <c r="F323" s="1" t="s">
        <v>2751</v>
      </c>
      <c r="G323" s="1" t="s">
        <v>2752</v>
      </c>
      <c r="H323" s="1" t="s">
        <v>2774</v>
      </c>
      <c r="I323" s="1" t="s">
        <v>7</v>
      </c>
      <c r="K323" s="1" t="s">
        <v>2754</v>
      </c>
      <c r="L323" s="1" t="s">
        <v>2772</v>
      </c>
      <c r="M323" s="1" t="s">
        <v>2741</v>
      </c>
      <c r="N323" s="1" t="s">
        <v>2765</v>
      </c>
      <c r="O323" s="1">
        <v>1</v>
      </c>
      <c r="Q323" s="1">
        <v>1997</v>
      </c>
      <c r="R323" s="1" t="s">
        <v>2743</v>
      </c>
      <c r="S323" s="1" t="s">
        <v>27</v>
      </c>
      <c r="T323" s="38">
        <v>1</v>
      </c>
    </row>
    <row r="324" spans="1:22" x14ac:dyDescent="0.2">
      <c r="A324" s="1" t="s">
        <v>2775</v>
      </c>
      <c r="B324" s="1" t="s">
        <v>55</v>
      </c>
      <c r="C324" s="1" t="s">
        <v>2736</v>
      </c>
      <c r="D324" s="1" t="s">
        <v>4</v>
      </c>
      <c r="E324" s="1">
        <v>33</v>
      </c>
      <c r="F324" s="1" t="s">
        <v>2751</v>
      </c>
      <c r="G324" s="1" t="s">
        <v>2752</v>
      </c>
      <c r="H324" s="1" t="s">
        <v>2776</v>
      </c>
      <c r="I324" s="1" t="s">
        <v>7</v>
      </c>
      <c r="K324" s="1" t="s">
        <v>2754</v>
      </c>
      <c r="L324" s="1" t="s">
        <v>2772</v>
      </c>
      <c r="M324" s="1" t="s">
        <v>2741</v>
      </c>
      <c r="N324" s="1" t="s">
        <v>2765</v>
      </c>
      <c r="O324" s="1">
        <v>1</v>
      </c>
      <c r="Q324" s="1">
        <v>1997</v>
      </c>
      <c r="R324" s="1" t="s">
        <v>2743</v>
      </c>
      <c r="S324" s="1" t="s">
        <v>27</v>
      </c>
      <c r="T324" s="38">
        <v>1</v>
      </c>
    </row>
    <row r="325" spans="1:22" x14ac:dyDescent="0.2">
      <c r="A325" s="1" t="s">
        <v>2777</v>
      </c>
      <c r="B325" s="1" t="s">
        <v>55</v>
      </c>
      <c r="C325" s="1" t="s">
        <v>2736</v>
      </c>
      <c r="D325" s="1" t="s">
        <v>4</v>
      </c>
      <c r="E325" s="1">
        <v>33</v>
      </c>
      <c r="F325" s="1" t="s">
        <v>2778</v>
      </c>
      <c r="G325" s="1" t="s">
        <v>2779</v>
      </c>
      <c r="H325" s="1" t="s">
        <v>2780</v>
      </c>
      <c r="I325" s="1" t="s">
        <v>7</v>
      </c>
      <c r="K325" s="1" t="s">
        <v>2781</v>
      </c>
      <c r="L325" s="1" t="s">
        <v>2782</v>
      </c>
      <c r="M325" s="1" t="s">
        <v>2741</v>
      </c>
      <c r="N325" s="1" t="s">
        <v>2783</v>
      </c>
      <c r="O325" s="1">
        <v>1</v>
      </c>
      <c r="Q325" s="1">
        <v>1997</v>
      </c>
      <c r="R325" s="1" t="s">
        <v>2743</v>
      </c>
      <c r="S325" s="1" t="s">
        <v>27</v>
      </c>
      <c r="T325" s="38">
        <v>1</v>
      </c>
    </row>
    <row r="326" spans="1:22" x14ac:dyDescent="0.2">
      <c r="A326" s="1" t="s">
        <v>2784</v>
      </c>
      <c r="B326" s="1" t="s">
        <v>55</v>
      </c>
      <c r="C326" s="1" t="s">
        <v>2736</v>
      </c>
      <c r="D326" s="1" t="s">
        <v>4</v>
      </c>
      <c r="E326" s="1">
        <v>11</v>
      </c>
      <c r="F326" s="1" t="s">
        <v>1720</v>
      </c>
      <c r="G326" s="1" t="s">
        <v>2785</v>
      </c>
      <c r="H326" s="1" t="s">
        <v>2786</v>
      </c>
      <c r="I326" s="1" t="s">
        <v>7</v>
      </c>
      <c r="K326" s="1" t="s">
        <v>2787</v>
      </c>
      <c r="L326" s="1" t="s">
        <v>2788</v>
      </c>
      <c r="M326" s="1" t="s">
        <v>2741</v>
      </c>
      <c r="N326" s="1" t="s">
        <v>2789</v>
      </c>
      <c r="O326" s="1">
        <v>1</v>
      </c>
      <c r="Q326" s="1">
        <v>1997</v>
      </c>
      <c r="R326" s="1" t="s">
        <v>2743</v>
      </c>
      <c r="S326" s="1" t="s">
        <v>27</v>
      </c>
      <c r="T326" s="38">
        <v>1</v>
      </c>
    </row>
    <row r="327" spans="1:22" x14ac:dyDescent="0.2">
      <c r="A327" s="1" t="s">
        <v>2790</v>
      </c>
      <c r="B327" s="1" t="s">
        <v>55</v>
      </c>
      <c r="C327" s="1" t="s">
        <v>2736</v>
      </c>
      <c r="D327" s="1" t="s">
        <v>4</v>
      </c>
      <c r="E327" s="1">
        <v>11</v>
      </c>
      <c r="F327" s="1" t="s">
        <v>1720</v>
      </c>
      <c r="G327" s="1" t="s">
        <v>2791</v>
      </c>
      <c r="H327" s="1" t="s">
        <v>2792</v>
      </c>
      <c r="I327" s="1" t="s">
        <v>7</v>
      </c>
      <c r="K327" s="1" t="s">
        <v>2787</v>
      </c>
      <c r="L327" s="1" t="s">
        <v>2788</v>
      </c>
      <c r="M327" s="1" t="s">
        <v>2741</v>
      </c>
      <c r="N327" s="1" t="s">
        <v>2765</v>
      </c>
      <c r="O327" s="1">
        <v>1</v>
      </c>
      <c r="Q327" s="1">
        <v>1997</v>
      </c>
      <c r="R327" s="1" t="s">
        <v>2743</v>
      </c>
      <c r="S327" s="1" t="s">
        <v>27</v>
      </c>
      <c r="T327" s="38">
        <v>1</v>
      </c>
    </row>
    <row r="328" spans="1:22" x14ac:dyDescent="0.2">
      <c r="A328" s="1" t="s">
        <v>2793</v>
      </c>
      <c r="B328" s="1" t="s">
        <v>55</v>
      </c>
      <c r="C328" s="1" t="s">
        <v>2736</v>
      </c>
      <c r="D328" s="1" t="s">
        <v>4</v>
      </c>
      <c r="E328" s="1">
        <v>11</v>
      </c>
      <c r="F328" s="1" t="s">
        <v>1720</v>
      </c>
      <c r="G328" s="1" t="s">
        <v>2794</v>
      </c>
      <c r="H328" s="1" t="s">
        <v>2795</v>
      </c>
      <c r="I328" s="1" t="s">
        <v>7</v>
      </c>
      <c r="K328" s="1" t="s">
        <v>2787</v>
      </c>
      <c r="L328" s="1" t="s">
        <v>2788</v>
      </c>
      <c r="M328" s="1" t="s">
        <v>2741</v>
      </c>
      <c r="N328" s="1" t="s">
        <v>2765</v>
      </c>
      <c r="O328" s="1">
        <v>1</v>
      </c>
      <c r="Q328" s="1">
        <v>1997</v>
      </c>
      <c r="R328" s="1" t="s">
        <v>2743</v>
      </c>
      <c r="S328" s="1" t="s">
        <v>27</v>
      </c>
      <c r="T328" s="38">
        <v>1</v>
      </c>
    </row>
    <row r="329" spans="1:22" x14ac:dyDescent="0.2">
      <c r="A329" s="1" t="s">
        <v>2796</v>
      </c>
      <c r="B329" s="1" t="s">
        <v>1911</v>
      </c>
      <c r="C329" s="1" t="s">
        <v>2736</v>
      </c>
      <c r="D329" s="1" t="s">
        <v>4</v>
      </c>
      <c r="E329" s="1">
        <v>40</v>
      </c>
      <c r="F329" s="1" t="s">
        <v>1932</v>
      </c>
      <c r="H329" s="1" t="s">
        <v>2797</v>
      </c>
      <c r="I329" s="1" t="s">
        <v>7</v>
      </c>
      <c r="K329" s="1" t="s">
        <v>1935</v>
      </c>
      <c r="L329" s="1" t="s">
        <v>2798</v>
      </c>
      <c r="M329" s="1" t="s">
        <v>2741</v>
      </c>
      <c r="O329" s="1">
        <v>1</v>
      </c>
      <c r="Q329" s="1">
        <v>1997</v>
      </c>
      <c r="R329" s="1" t="s">
        <v>2743</v>
      </c>
      <c r="S329" s="1" t="s">
        <v>27</v>
      </c>
      <c r="T329" s="38">
        <v>1</v>
      </c>
    </row>
    <row r="330" spans="1:22" x14ac:dyDescent="0.2">
      <c r="A330" s="1" t="s">
        <v>2799</v>
      </c>
      <c r="B330" s="1" t="s">
        <v>55</v>
      </c>
      <c r="C330" s="1" t="s">
        <v>2736</v>
      </c>
      <c r="D330" s="1" t="s">
        <v>4</v>
      </c>
      <c r="E330" s="1">
        <v>11</v>
      </c>
      <c r="F330" s="1" t="s">
        <v>1720</v>
      </c>
      <c r="G330" s="1" t="s">
        <v>2785</v>
      </c>
      <c r="H330" s="1" t="s">
        <v>2800</v>
      </c>
      <c r="I330" s="1" t="s">
        <v>7</v>
      </c>
      <c r="K330" s="1" t="s">
        <v>2787</v>
      </c>
      <c r="L330" s="1" t="s">
        <v>2788</v>
      </c>
      <c r="M330" s="1" t="s">
        <v>2741</v>
      </c>
      <c r="N330" s="1" t="s">
        <v>2801</v>
      </c>
      <c r="O330" s="1">
        <v>6</v>
      </c>
      <c r="Q330" s="1">
        <v>1997</v>
      </c>
      <c r="R330" s="1" t="s">
        <v>2743</v>
      </c>
      <c r="S330" s="1" t="s">
        <v>27</v>
      </c>
      <c r="T330" s="38">
        <v>1</v>
      </c>
    </row>
    <row r="331" spans="1:22" x14ac:dyDescent="0.2">
      <c r="A331" s="1" t="s">
        <v>2802</v>
      </c>
      <c r="B331" s="1" t="s">
        <v>55</v>
      </c>
      <c r="C331" s="1" t="s">
        <v>2803</v>
      </c>
      <c r="D331" s="1" t="s">
        <v>4</v>
      </c>
      <c r="E331" s="1">
        <v>11</v>
      </c>
      <c r="F331" s="1" t="s">
        <v>2804</v>
      </c>
      <c r="H331" s="1" t="s">
        <v>2805</v>
      </c>
      <c r="I331" s="1" t="s">
        <v>7</v>
      </c>
      <c r="K331" s="1" t="s">
        <v>2806</v>
      </c>
      <c r="L331" s="1" t="s">
        <v>2807</v>
      </c>
      <c r="M331" s="1" t="s">
        <v>2808</v>
      </c>
      <c r="N331" s="1" t="s">
        <v>2809</v>
      </c>
      <c r="O331" s="1">
        <v>1</v>
      </c>
      <c r="Q331" s="1">
        <v>1997</v>
      </c>
      <c r="R331" s="1" t="s">
        <v>2743</v>
      </c>
      <c r="S331" s="1" t="s">
        <v>27</v>
      </c>
      <c r="T331" s="38">
        <v>1</v>
      </c>
    </row>
    <row r="332" spans="1:22" x14ac:dyDescent="0.2">
      <c r="A332" s="1" t="s">
        <v>2810</v>
      </c>
      <c r="B332" s="1" t="s">
        <v>55</v>
      </c>
      <c r="C332" s="1" t="s">
        <v>2811</v>
      </c>
      <c r="D332" s="1" t="s">
        <v>2</v>
      </c>
      <c r="E332" s="1">
        <v>23</v>
      </c>
      <c r="F332" s="1" t="s">
        <v>1471</v>
      </c>
      <c r="H332" s="1" t="s">
        <v>2812</v>
      </c>
      <c r="I332" s="1" t="s">
        <v>7</v>
      </c>
      <c r="J332" s="1" t="s">
        <v>1473</v>
      </c>
      <c r="K332" s="1" t="s">
        <v>1474</v>
      </c>
      <c r="L332" s="1" t="s">
        <v>1473</v>
      </c>
      <c r="O332" s="1">
        <v>1</v>
      </c>
      <c r="Q332" s="1">
        <v>1999</v>
      </c>
      <c r="R332" s="1" t="s">
        <v>2813</v>
      </c>
      <c r="S332" s="1" t="s">
        <v>27</v>
      </c>
      <c r="T332" s="38">
        <v>1</v>
      </c>
      <c r="V332" s="1">
        <v>7.8</v>
      </c>
    </row>
    <row r="333" spans="1:22" x14ac:dyDescent="0.2">
      <c r="A333" s="1" t="s">
        <v>2814</v>
      </c>
      <c r="B333" s="1" t="s">
        <v>55</v>
      </c>
      <c r="C333" s="1" t="s">
        <v>2811</v>
      </c>
      <c r="D333" s="1" t="s">
        <v>2</v>
      </c>
      <c r="E333" s="1">
        <v>23</v>
      </c>
      <c r="F333" s="1" t="s">
        <v>1471</v>
      </c>
      <c r="H333" s="1" t="s">
        <v>2815</v>
      </c>
      <c r="I333" s="1" t="s">
        <v>7</v>
      </c>
      <c r="J333" s="1" t="s">
        <v>1473</v>
      </c>
      <c r="K333" s="1" t="s">
        <v>1474</v>
      </c>
      <c r="L333" s="1" t="s">
        <v>1473</v>
      </c>
      <c r="O333" s="1">
        <v>1</v>
      </c>
      <c r="Q333" s="1">
        <v>1999</v>
      </c>
      <c r="R333" s="1" t="s">
        <v>2813</v>
      </c>
      <c r="S333" s="1" t="s">
        <v>27</v>
      </c>
      <c r="T333" s="38">
        <v>1</v>
      </c>
      <c r="V333" s="1">
        <v>13.8</v>
      </c>
    </row>
    <row r="334" spans="1:22" x14ac:dyDescent="0.2">
      <c r="A334" s="1" t="s">
        <v>2816</v>
      </c>
      <c r="B334" s="1" t="s">
        <v>55</v>
      </c>
      <c r="C334" s="1" t="s">
        <v>2811</v>
      </c>
      <c r="D334" s="1" t="s">
        <v>2</v>
      </c>
      <c r="E334" s="1">
        <v>23</v>
      </c>
      <c r="F334" s="1" t="s">
        <v>1471</v>
      </c>
      <c r="H334" s="1" t="s">
        <v>2815</v>
      </c>
      <c r="I334" s="1" t="s">
        <v>7</v>
      </c>
      <c r="J334" s="1" t="s">
        <v>1473</v>
      </c>
      <c r="K334" s="1" t="s">
        <v>1474</v>
      </c>
      <c r="L334" s="1" t="s">
        <v>1473</v>
      </c>
      <c r="O334" s="1">
        <v>1</v>
      </c>
      <c r="Q334" s="1">
        <v>1999</v>
      </c>
      <c r="R334" s="1" t="s">
        <v>2813</v>
      </c>
      <c r="S334" s="1" t="s">
        <v>27</v>
      </c>
      <c r="T334" s="38">
        <v>1</v>
      </c>
      <c r="V334" s="1">
        <v>11.2</v>
      </c>
    </row>
    <row r="335" spans="1:22" x14ac:dyDescent="0.2">
      <c r="A335" s="1" t="s">
        <v>2817</v>
      </c>
      <c r="B335" s="1" t="s">
        <v>55</v>
      </c>
      <c r="C335" s="1" t="s">
        <v>2811</v>
      </c>
      <c r="D335" s="1" t="s">
        <v>2</v>
      </c>
      <c r="E335" s="1">
        <v>23</v>
      </c>
      <c r="F335" s="1" t="s">
        <v>1471</v>
      </c>
      <c r="H335" s="1" t="s">
        <v>2815</v>
      </c>
      <c r="I335" s="1" t="s">
        <v>7</v>
      </c>
      <c r="J335" s="1" t="s">
        <v>1473</v>
      </c>
      <c r="K335" s="1" t="s">
        <v>1474</v>
      </c>
      <c r="L335" s="1" t="s">
        <v>1473</v>
      </c>
      <c r="O335" s="1">
        <v>1</v>
      </c>
      <c r="Q335" s="1">
        <v>1999</v>
      </c>
      <c r="R335" s="1" t="s">
        <v>2813</v>
      </c>
      <c r="S335" s="1" t="s">
        <v>27</v>
      </c>
      <c r="T335" s="38">
        <v>1</v>
      </c>
      <c r="V335" s="1">
        <v>9.6</v>
      </c>
    </row>
    <row r="336" spans="1:22" x14ac:dyDescent="0.2">
      <c r="A336" s="1" t="s">
        <v>2818</v>
      </c>
      <c r="B336" s="1" t="s">
        <v>55</v>
      </c>
      <c r="C336" s="1" t="s">
        <v>2811</v>
      </c>
      <c r="D336" s="1" t="s">
        <v>2</v>
      </c>
      <c r="E336" s="1">
        <v>23</v>
      </c>
      <c r="F336" s="1" t="s">
        <v>1471</v>
      </c>
      <c r="H336" s="1" t="s">
        <v>2819</v>
      </c>
      <c r="I336" s="1" t="s">
        <v>11</v>
      </c>
      <c r="J336" s="1" t="s">
        <v>1473</v>
      </c>
      <c r="K336" s="1" t="s">
        <v>1474</v>
      </c>
      <c r="L336" s="1" t="s">
        <v>1473</v>
      </c>
      <c r="O336" s="1">
        <v>1</v>
      </c>
      <c r="Q336" s="1">
        <v>1999</v>
      </c>
      <c r="R336" s="1" t="s">
        <v>2813</v>
      </c>
      <c r="S336" s="1" t="s">
        <v>27</v>
      </c>
      <c r="T336" s="38">
        <v>1</v>
      </c>
      <c r="V336" s="1">
        <v>11.5</v>
      </c>
    </row>
    <row r="337" spans="1:24" x14ac:dyDescent="0.2">
      <c r="A337" s="1" t="s">
        <v>2820</v>
      </c>
      <c r="B337" s="1" t="s">
        <v>55</v>
      </c>
      <c r="C337" s="1" t="s">
        <v>2811</v>
      </c>
      <c r="D337" s="1" t="s">
        <v>2</v>
      </c>
      <c r="E337" s="1">
        <v>23</v>
      </c>
      <c r="F337" s="1" t="s">
        <v>1471</v>
      </c>
      <c r="H337" s="1" t="s">
        <v>2819</v>
      </c>
      <c r="I337" s="1" t="s">
        <v>11</v>
      </c>
      <c r="J337" s="1" t="s">
        <v>1473</v>
      </c>
      <c r="K337" s="1" t="s">
        <v>1474</v>
      </c>
      <c r="L337" s="1" t="s">
        <v>1473</v>
      </c>
      <c r="O337" s="1">
        <v>1</v>
      </c>
      <c r="Q337" s="1">
        <v>1999</v>
      </c>
      <c r="R337" s="1" t="s">
        <v>2813</v>
      </c>
      <c r="S337" s="1" t="s">
        <v>27</v>
      </c>
      <c r="T337" s="38">
        <v>1</v>
      </c>
      <c r="V337" s="1">
        <v>12.9</v>
      </c>
    </row>
    <row r="338" spans="1:24" x14ac:dyDescent="0.2">
      <c r="A338" s="1" t="s">
        <v>2821</v>
      </c>
      <c r="B338" s="1" t="s">
        <v>55</v>
      </c>
      <c r="C338" s="1" t="s">
        <v>2811</v>
      </c>
      <c r="D338" s="1" t="s">
        <v>2</v>
      </c>
      <c r="E338" s="1">
        <v>23</v>
      </c>
      <c r="F338" s="1" t="s">
        <v>1471</v>
      </c>
      <c r="H338" s="1" t="s">
        <v>2819</v>
      </c>
      <c r="I338" s="1" t="s">
        <v>11</v>
      </c>
      <c r="J338" s="1" t="s">
        <v>1473</v>
      </c>
      <c r="K338" s="1" t="s">
        <v>1474</v>
      </c>
      <c r="L338" s="1" t="s">
        <v>1473</v>
      </c>
      <c r="O338" s="1">
        <v>1</v>
      </c>
      <c r="Q338" s="1">
        <v>1999</v>
      </c>
      <c r="R338" s="1" t="s">
        <v>2813</v>
      </c>
      <c r="S338" s="1" t="s">
        <v>27</v>
      </c>
      <c r="T338" s="38">
        <v>1</v>
      </c>
      <c r="V338" s="1">
        <v>9.3000000000000007</v>
      </c>
    </row>
    <row r="339" spans="1:24" x14ac:dyDescent="0.2">
      <c r="A339" s="1" t="s">
        <v>2822</v>
      </c>
      <c r="B339" s="1" t="s">
        <v>55</v>
      </c>
      <c r="C339" s="1" t="s">
        <v>2811</v>
      </c>
      <c r="D339" s="1" t="s">
        <v>2</v>
      </c>
      <c r="E339" s="1">
        <v>23</v>
      </c>
      <c r="F339" s="1" t="s">
        <v>1471</v>
      </c>
      <c r="H339" s="1" t="s">
        <v>2819</v>
      </c>
      <c r="I339" s="1" t="s">
        <v>11</v>
      </c>
      <c r="J339" s="1" t="s">
        <v>1473</v>
      </c>
      <c r="K339" s="1" t="s">
        <v>1474</v>
      </c>
      <c r="L339" s="1" t="s">
        <v>1473</v>
      </c>
      <c r="O339" s="1">
        <v>1</v>
      </c>
      <c r="Q339" s="1">
        <v>1999</v>
      </c>
      <c r="R339" s="1" t="s">
        <v>2813</v>
      </c>
      <c r="S339" s="1" t="s">
        <v>27</v>
      </c>
      <c r="T339" s="38">
        <v>1</v>
      </c>
      <c r="V339" s="1">
        <v>8</v>
      </c>
    </row>
    <row r="340" spans="1:24" x14ac:dyDescent="0.2">
      <c r="A340" s="1" t="s">
        <v>2823</v>
      </c>
      <c r="B340" s="1" t="s">
        <v>55</v>
      </c>
      <c r="C340" s="1" t="s">
        <v>2824</v>
      </c>
      <c r="D340" s="1" t="s">
        <v>2</v>
      </c>
      <c r="E340" s="1">
        <v>13</v>
      </c>
      <c r="F340" s="1" t="s">
        <v>1359</v>
      </c>
      <c r="H340" s="1" t="s">
        <v>2825</v>
      </c>
      <c r="I340" s="1" t="s">
        <v>7</v>
      </c>
      <c r="J340" s="1" t="s">
        <v>1361</v>
      </c>
      <c r="K340" s="1" t="s">
        <v>1362</v>
      </c>
      <c r="L340" s="1" t="s">
        <v>1361</v>
      </c>
      <c r="M340" s="1" t="s">
        <v>2826</v>
      </c>
      <c r="O340" s="1">
        <v>3</v>
      </c>
      <c r="P340" s="1" t="s">
        <v>2827</v>
      </c>
      <c r="Q340" s="1">
        <v>1992</v>
      </c>
      <c r="R340" s="1" t="s">
        <v>2828</v>
      </c>
      <c r="S340" s="1" t="s">
        <v>27</v>
      </c>
      <c r="T340" s="38">
        <v>1</v>
      </c>
      <c r="U340" s="1">
        <v>72.8</v>
      </c>
      <c r="X340" s="1">
        <v>11.3</v>
      </c>
    </row>
    <row r="341" spans="1:24" x14ac:dyDescent="0.2">
      <c r="A341" s="1" t="s">
        <v>2829</v>
      </c>
      <c r="B341" s="1" t="s">
        <v>55</v>
      </c>
      <c r="C341" s="1" t="s">
        <v>2824</v>
      </c>
      <c r="D341" s="1" t="s">
        <v>2</v>
      </c>
      <c r="E341" s="1">
        <v>13</v>
      </c>
      <c r="F341" s="1" t="s">
        <v>1359</v>
      </c>
      <c r="H341" s="1" t="s">
        <v>2830</v>
      </c>
      <c r="I341" s="1" t="s">
        <v>11</v>
      </c>
      <c r="J341" s="1" t="s">
        <v>1361</v>
      </c>
      <c r="K341" s="1" t="s">
        <v>1362</v>
      </c>
      <c r="L341" s="1" t="s">
        <v>1361</v>
      </c>
      <c r="M341" s="1" t="s">
        <v>2826</v>
      </c>
      <c r="O341" s="1">
        <v>3</v>
      </c>
      <c r="P341" s="1" t="s">
        <v>2827</v>
      </c>
      <c r="Q341" s="1">
        <v>1992</v>
      </c>
      <c r="R341" s="1" t="s">
        <v>2828</v>
      </c>
      <c r="S341" s="1" t="s">
        <v>27</v>
      </c>
      <c r="T341" s="38">
        <v>1</v>
      </c>
      <c r="U341" s="1">
        <v>72.099999999999994</v>
      </c>
      <c r="X341" s="1">
        <v>10</v>
      </c>
    </row>
    <row r="342" spans="1:24" x14ac:dyDescent="0.2">
      <c r="A342" s="1" t="s">
        <v>2831</v>
      </c>
      <c r="B342" s="1" t="s">
        <v>55</v>
      </c>
      <c r="C342" s="1" t="s">
        <v>2832</v>
      </c>
      <c r="D342" s="1" t="s">
        <v>2</v>
      </c>
      <c r="E342" s="1">
        <v>23</v>
      </c>
      <c r="F342" s="1" t="s">
        <v>2833</v>
      </c>
      <c r="H342" s="1" t="s">
        <v>2834</v>
      </c>
      <c r="I342" s="1" t="s">
        <v>7</v>
      </c>
      <c r="J342" s="1" t="s">
        <v>2835</v>
      </c>
      <c r="K342" s="1" t="s">
        <v>2836</v>
      </c>
      <c r="L342" s="1" t="s">
        <v>2835</v>
      </c>
      <c r="M342" s="1" t="s">
        <v>2837</v>
      </c>
      <c r="O342" s="1">
        <v>1</v>
      </c>
      <c r="P342" s="1" t="s">
        <v>2827</v>
      </c>
      <c r="Q342" s="1">
        <v>1992</v>
      </c>
      <c r="R342" s="1" t="s">
        <v>2828</v>
      </c>
      <c r="S342" s="1" t="s">
        <v>27</v>
      </c>
      <c r="T342" s="38">
        <v>1</v>
      </c>
      <c r="U342" s="1">
        <v>68.599999999999994</v>
      </c>
      <c r="X342" s="1">
        <v>7.8</v>
      </c>
    </row>
    <row r="343" spans="1:24" x14ac:dyDescent="0.2">
      <c r="A343" s="1" t="s">
        <v>2838</v>
      </c>
      <c r="B343" s="1" t="s">
        <v>55</v>
      </c>
      <c r="C343" s="1" t="s">
        <v>2832</v>
      </c>
      <c r="D343" s="1" t="s">
        <v>2</v>
      </c>
      <c r="E343" s="1">
        <v>23</v>
      </c>
      <c r="F343" s="1" t="s">
        <v>2833</v>
      </c>
      <c r="H343" s="1" t="s">
        <v>2834</v>
      </c>
      <c r="I343" s="1" t="s">
        <v>7</v>
      </c>
      <c r="J343" s="1" t="s">
        <v>2835</v>
      </c>
      <c r="K343" s="1" t="s">
        <v>2836</v>
      </c>
      <c r="L343" s="1" t="s">
        <v>2835</v>
      </c>
      <c r="M343" s="1" t="s">
        <v>2701</v>
      </c>
      <c r="O343" s="1">
        <v>1</v>
      </c>
      <c r="P343" s="1" t="s">
        <v>2827</v>
      </c>
      <c r="Q343" s="1">
        <v>1992</v>
      </c>
      <c r="R343" s="1" t="s">
        <v>2828</v>
      </c>
      <c r="S343" s="1" t="s">
        <v>27</v>
      </c>
      <c r="T343" s="38">
        <v>1</v>
      </c>
      <c r="U343" s="1">
        <v>70.099999999999994</v>
      </c>
      <c r="X343" s="1">
        <v>8.8000000000000007</v>
      </c>
    </row>
    <row r="344" spans="1:24" x14ac:dyDescent="0.2">
      <c r="A344" s="1" t="s">
        <v>2839</v>
      </c>
      <c r="B344" s="1" t="s">
        <v>55</v>
      </c>
      <c r="C344" s="1" t="s">
        <v>2832</v>
      </c>
      <c r="D344" s="1" t="s">
        <v>2</v>
      </c>
      <c r="E344" s="1">
        <v>23</v>
      </c>
      <c r="F344" s="1" t="s">
        <v>2833</v>
      </c>
      <c r="H344" s="1" t="s">
        <v>2840</v>
      </c>
      <c r="I344" s="1" t="s">
        <v>11</v>
      </c>
      <c r="J344" s="1" t="s">
        <v>2835</v>
      </c>
      <c r="K344" s="1" t="s">
        <v>2836</v>
      </c>
      <c r="L344" s="1" t="s">
        <v>2835</v>
      </c>
      <c r="M344" s="1" t="s">
        <v>2837</v>
      </c>
      <c r="O344" s="1">
        <v>1</v>
      </c>
      <c r="P344" s="1" t="s">
        <v>2827</v>
      </c>
      <c r="Q344" s="1">
        <v>1992</v>
      </c>
      <c r="R344" s="1" t="s">
        <v>2828</v>
      </c>
      <c r="S344" s="1" t="s">
        <v>27</v>
      </c>
      <c r="T344" s="38">
        <v>1</v>
      </c>
      <c r="U344" s="1">
        <v>65.5</v>
      </c>
      <c r="X344" s="1">
        <v>8.4</v>
      </c>
    </row>
    <row r="345" spans="1:24" x14ac:dyDescent="0.2">
      <c r="A345" s="1" t="s">
        <v>2841</v>
      </c>
      <c r="B345" s="1" t="s">
        <v>55</v>
      </c>
      <c r="C345" s="1" t="s">
        <v>2832</v>
      </c>
      <c r="D345" s="1" t="s">
        <v>2</v>
      </c>
      <c r="E345" s="1">
        <v>23</v>
      </c>
      <c r="F345" s="1" t="s">
        <v>2833</v>
      </c>
      <c r="H345" s="1" t="s">
        <v>2840</v>
      </c>
      <c r="I345" s="1" t="s">
        <v>11</v>
      </c>
      <c r="J345" s="1" t="s">
        <v>2835</v>
      </c>
      <c r="K345" s="1" t="s">
        <v>2836</v>
      </c>
      <c r="L345" s="1" t="s">
        <v>2835</v>
      </c>
      <c r="M345" s="1" t="s">
        <v>2701</v>
      </c>
      <c r="O345" s="1">
        <v>1</v>
      </c>
      <c r="P345" s="1" t="s">
        <v>2827</v>
      </c>
      <c r="Q345" s="1">
        <v>1992</v>
      </c>
      <c r="R345" s="1" t="s">
        <v>2828</v>
      </c>
      <c r="S345" s="1" t="s">
        <v>27</v>
      </c>
      <c r="T345" s="38">
        <v>1</v>
      </c>
      <c r="U345" s="1">
        <v>65.8</v>
      </c>
      <c r="X345" s="1">
        <v>9.6999999999999993</v>
      </c>
    </row>
    <row r="346" spans="1:24" x14ac:dyDescent="0.2">
      <c r="A346" s="1" t="s">
        <v>2842</v>
      </c>
      <c r="B346" s="1" t="s">
        <v>55</v>
      </c>
      <c r="C346" s="1" t="s">
        <v>2843</v>
      </c>
      <c r="D346" s="1" t="s">
        <v>2</v>
      </c>
      <c r="E346" s="1">
        <v>23</v>
      </c>
      <c r="F346" s="1" t="s">
        <v>1471</v>
      </c>
      <c r="H346" s="1" t="s">
        <v>2812</v>
      </c>
      <c r="I346" s="1" t="s">
        <v>7</v>
      </c>
      <c r="J346" s="1" t="s">
        <v>2844</v>
      </c>
      <c r="K346" s="1" t="s">
        <v>1474</v>
      </c>
      <c r="L346" s="1" t="s">
        <v>1473</v>
      </c>
      <c r="M346" s="1" t="s">
        <v>2845</v>
      </c>
      <c r="O346" s="1">
        <v>3</v>
      </c>
      <c r="P346" s="1" t="s">
        <v>2827</v>
      </c>
      <c r="Q346" s="1">
        <v>1992</v>
      </c>
      <c r="R346" s="1" t="s">
        <v>2828</v>
      </c>
      <c r="S346" s="1" t="s">
        <v>27</v>
      </c>
      <c r="T346" s="38">
        <v>1</v>
      </c>
      <c r="U346" s="1">
        <v>72.8</v>
      </c>
      <c r="X346" s="1">
        <v>5.4</v>
      </c>
    </row>
    <row r="347" spans="1:24" x14ac:dyDescent="0.2">
      <c r="A347" s="1" t="s">
        <v>2846</v>
      </c>
      <c r="B347" s="1" t="s">
        <v>55</v>
      </c>
      <c r="C347" s="1" t="s">
        <v>2843</v>
      </c>
      <c r="D347" s="1" t="s">
        <v>2</v>
      </c>
      <c r="E347" s="1">
        <v>23</v>
      </c>
      <c r="F347" s="1" t="s">
        <v>1471</v>
      </c>
      <c r="H347" s="1" t="s">
        <v>2847</v>
      </c>
      <c r="I347" s="1" t="s">
        <v>11</v>
      </c>
      <c r="J347" s="1" t="s">
        <v>2844</v>
      </c>
      <c r="K347" s="1" t="s">
        <v>1474</v>
      </c>
      <c r="L347" s="1" t="s">
        <v>1473</v>
      </c>
      <c r="M347" s="1" t="s">
        <v>2845</v>
      </c>
      <c r="O347" s="1">
        <v>3</v>
      </c>
      <c r="P347" s="1" t="s">
        <v>2827</v>
      </c>
      <c r="Q347" s="1">
        <v>1992</v>
      </c>
      <c r="R347" s="1" t="s">
        <v>2828</v>
      </c>
      <c r="S347" s="1" t="s">
        <v>27</v>
      </c>
      <c r="T347" s="38">
        <v>1</v>
      </c>
      <c r="U347" s="1">
        <v>67.5</v>
      </c>
      <c r="X347" s="1">
        <v>7.2</v>
      </c>
    </row>
    <row r="348" spans="1:24" x14ac:dyDescent="0.2">
      <c r="A348" s="1" t="s">
        <v>2848</v>
      </c>
      <c r="B348" s="1" t="s">
        <v>1911</v>
      </c>
      <c r="C348" s="1" t="s">
        <v>2849</v>
      </c>
      <c r="D348" s="1" t="s">
        <v>2</v>
      </c>
      <c r="E348" s="1">
        <v>41</v>
      </c>
      <c r="F348" s="1" t="s">
        <v>2850</v>
      </c>
      <c r="H348" s="1" t="s">
        <v>2851</v>
      </c>
      <c r="I348" s="1" t="s">
        <v>7</v>
      </c>
      <c r="J348" s="1" t="s">
        <v>2852</v>
      </c>
      <c r="K348" s="1" t="s">
        <v>2853</v>
      </c>
      <c r="L348" s="1" t="s">
        <v>2852</v>
      </c>
      <c r="M348" s="1" t="s">
        <v>2854</v>
      </c>
      <c r="O348" s="1">
        <v>2</v>
      </c>
      <c r="P348" s="1" t="s">
        <v>2855</v>
      </c>
      <c r="Q348" s="1">
        <v>1992</v>
      </c>
      <c r="R348" s="1" t="s">
        <v>2828</v>
      </c>
      <c r="S348" s="1" t="s">
        <v>27</v>
      </c>
      <c r="T348" s="38">
        <v>1</v>
      </c>
      <c r="U348" s="1">
        <v>84.4</v>
      </c>
      <c r="X348" s="1">
        <v>0.8</v>
      </c>
    </row>
    <row r="349" spans="1:24" x14ac:dyDescent="0.2">
      <c r="A349" s="1" t="s">
        <v>2856</v>
      </c>
      <c r="B349" s="1" t="s">
        <v>1911</v>
      </c>
      <c r="C349" s="1" t="s">
        <v>2849</v>
      </c>
      <c r="D349" s="1" t="s">
        <v>2</v>
      </c>
      <c r="E349" s="1">
        <v>41</v>
      </c>
      <c r="F349" s="1" t="s">
        <v>2850</v>
      </c>
      <c r="H349" s="1" t="s">
        <v>2857</v>
      </c>
      <c r="I349" s="1" t="s">
        <v>11</v>
      </c>
      <c r="J349" s="1" t="s">
        <v>2852</v>
      </c>
      <c r="K349" s="1" t="s">
        <v>2853</v>
      </c>
      <c r="L349" s="1" t="s">
        <v>2852</v>
      </c>
      <c r="M349" s="1" t="s">
        <v>2854</v>
      </c>
      <c r="O349" s="1">
        <v>2</v>
      </c>
      <c r="P349" s="1" t="s">
        <v>2855</v>
      </c>
      <c r="Q349" s="1">
        <v>1992</v>
      </c>
      <c r="R349" s="1" t="s">
        <v>2828</v>
      </c>
      <c r="S349" s="1" t="s">
        <v>27</v>
      </c>
      <c r="T349" s="38">
        <v>1</v>
      </c>
      <c r="U349" s="1">
        <v>81.599999999999994</v>
      </c>
      <c r="X349" s="1">
        <v>1.2</v>
      </c>
    </row>
    <row r="350" spans="1:24" x14ac:dyDescent="0.2">
      <c r="A350" s="1" t="s">
        <v>2858</v>
      </c>
      <c r="B350" s="1" t="s">
        <v>1911</v>
      </c>
      <c r="C350" s="1" t="s">
        <v>2849</v>
      </c>
      <c r="D350" s="1" t="s">
        <v>2</v>
      </c>
      <c r="E350" s="1">
        <v>41</v>
      </c>
      <c r="F350" s="1" t="s">
        <v>2859</v>
      </c>
      <c r="H350" s="1" t="s">
        <v>2860</v>
      </c>
      <c r="I350" s="1" t="s">
        <v>7</v>
      </c>
      <c r="J350" s="1" t="s">
        <v>2861</v>
      </c>
      <c r="K350" s="1" t="s">
        <v>2862</v>
      </c>
      <c r="L350" s="1" t="s">
        <v>2863</v>
      </c>
      <c r="M350" s="1" t="s">
        <v>2854</v>
      </c>
      <c r="O350" s="1">
        <v>2</v>
      </c>
      <c r="P350" s="1" t="s">
        <v>2855</v>
      </c>
      <c r="Q350" s="1">
        <v>1992</v>
      </c>
      <c r="R350" s="1" t="s">
        <v>2828</v>
      </c>
      <c r="S350" s="1" t="s">
        <v>27</v>
      </c>
      <c r="T350" s="38">
        <v>1</v>
      </c>
      <c r="U350" s="1">
        <v>83.8</v>
      </c>
      <c r="X350" s="1">
        <v>1.1000000000000001</v>
      </c>
    </row>
    <row r="351" spans="1:24" x14ac:dyDescent="0.2">
      <c r="A351" s="1" t="s">
        <v>2864</v>
      </c>
      <c r="B351" s="1" t="s">
        <v>1911</v>
      </c>
      <c r="C351" s="1" t="s">
        <v>2849</v>
      </c>
      <c r="D351" s="1" t="s">
        <v>2</v>
      </c>
      <c r="E351" s="1">
        <v>41</v>
      </c>
      <c r="F351" s="1" t="s">
        <v>2859</v>
      </c>
      <c r="H351" s="1" t="s">
        <v>2865</v>
      </c>
      <c r="I351" s="1" t="s">
        <v>11</v>
      </c>
      <c r="J351" s="1" t="s">
        <v>2861</v>
      </c>
      <c r="K351" s="1" t="s">
        <v>2862</v>
      </c>
      <c r="L351" s="1" t="s">
        <v>2863</v>
      </c>
      <c r="M351" s="1" t="s">
        <v>2854</v>
      </c>
      <c r="O351" s="1">
        <v>2</v>
      </c>
      <c r="P351" s="1" t="s">
        <v>2855</v>
      </c>
      <c r="Q351" s="1">
        <v>1992</v>
      </c>
      <c r="R351" s="1" t="s">
        <v>2828</v>
      </c>
      <c r="S351" s="1" t="s">
        <v>27</v>
      </c>
      <c r="T351" s="38">
        <v>1</v>
      </c>
      <c r="U351" s="1">
        <v>80</v>
      </c>
      <c r="X351" s="1">
        <v>1.4</v>
      </c>
    </row>
    <row r="352" spans="1:24" x14ac:dyDescent="0.2">
      <c r="A352" s="1" t="s">
        <v>2866</v>
      </c>
      <c r="B352" s="1" t="s">
        <v>57</v>
      </c>
      <c r="C352" s="1" t="s">
        <v>2867</v>
      </c>
      <c r="D352" s="1" t="s">
        <v>2</v>
      </c>
      <c r="E352" s="1">
        <v>53</v>
      </c>
      <c r="F352" s="1" t="s">
        <v>2868</v>
      </c>
      <c r="H352" s="1" t="s">
        <v>2869</v>
      </c>
      <c r="I352" s="1" t="s">
        <v>7</v>
      </c>
      <c r="J352" s="1" t="s">
        <v>2870</v>
      </c>
      <c r="K352" s="1" t="s">
        <v>2871</v>
      </c>
      <c r="L352" s="1" t="s">
        <v>2870</v>
      </c>
      <c r="M352" s="1" t="s">
        <v>2872</v>
      </c>
      <c r="O352" s="1">
        <v>2</v>
      </c>
      <c r="P352" s="1" t="s">
        <v>2873</v>
      </c>
      <c r="Q352" s="1">
        <v>1992</v>
      </c>
      <c r="R352" s="1" t="s">
        <v>2828</v>
      </c>
      <c r="S352" s="1" t="s">
        <v>27</v>
      </c>
      <c r="T352" s="38">
        <v>1</v>
      </c>
      <c r="U352" s="1" t="s">
        <v>2874</v>
      </c>
      <c r="X352" s="1" t="s">
        <v>2876</v>
      </c>
    </row>
    <row r="353" spans="1:169" x14ac:dyDescent="0.2">
      <c r="A353" s="1" t="s">
        <v>2878</v>
      </c>
      <c r="B353" s="1" t="s">
        <v>55</v>
      </c>
      <c r="C353" s="1" t="s">
        <v>2811</v>
      </c>
      <c r="D353" s="1" t="s">
        <v>2</v>
      </c>
      <c r="E353" s="1">
        <v>23</v>
      </c>
      <c r="F353" s="1" t="s">
        <v>1471</v>
      </c>
      <c r="H353" s="1" t="s">
        <v>2812</v>
      </c>
      <c r="I353" s="1" t="s">
        <v>7</v>
      </c>
      <c r="J353" s="1" t="s">
        <v>1473</v>
      </c>
      <c r="K353" s="1" t="s">
        <v>1474</v>
      </c>
      <c r="L353" s="1" t="s">
        <v>1473</v>
      </c>
      <c r="M353" s="1" t="s">
        <v>2879</v>
      </c>
      <c r="O353" s="1">
        <v>1</v>
      </c>
      <c r="Q353" s="1">
        <v>1995</v>
      </c>
      <c r="R353" s="1" t="s">
        <v>2880</v>
      </c>
      <c r="S353" s="1" t="s">
        <v>27</v>
      </c>
      <c r="T353" s="38">
        <v>1</v>
      </c>
      <c r="U353" s="1">
        <v>66.400000000000006</v>
      </c>
      <c r="X353" s="1">
        <v>13.4</v>
      </c>
    </row>
    <row r="354" spans="1:169" x14ac:dyDescent="0.2">
      <c r="A354" s="1" t="s">
        <v>2881</v>
      </c>
      <c r="B354" s="1" t="s">
        <v>55</v>
      </c>
      <c r="C354" s="1" t="s">
        <v>2811</v>
      </c>
      <c r="D354" s="1" t="s">
        <v>2</v>
      </c>
      <c r="E354" s="1">
        <v>23</v>
      </c>
      <c r="F354" s="1" t="s">
        <v>1471</v>
      </c>
      <c r="H354" s="1" t="s">
        <v>2812</v>
      </c>
      <c r="I354" s="1" t="s">
        <v>7</v>
      </c>
      <c r="J354" s="1" t="s">
        <v>1473</v>
      </c>
      <c r="K354" s="1" t="s">
        <v>1474</v>
      </c>
      <c r="L354" s="1" t="s">
        <v>1473</v>
      </c>
      <c r="M354" s="1" t="s">
        <v>2882</v>
      </c>
      <c r="O354" s="1">
        <v>1</v>
      </c>
      <c r="Q354" s="1">
        <v>1995</v>
      </c>
      <c r="R354" s="1" t="s">
        <v>2880</v>
      </c>
      <c r="S354" s="1" t="s">
        <v>27</v>
      </c>
      <c r="T354" s="38">
        <v>1</v>
      </c>
      <c r="U354" s="1">
        <v>69.5</v>
      </c>
      <c r="X354" s="1">
        <v>10</v>
      </c>
    </row>
    <row r="355" spans="1:169" x14ac:dyDescent="0.2">
      <c r="A355" s="1" t="s">
        <v>2883</v>
      </c>
      <c r="B355" s="1" t="s">
        <v>55</v>
      </c>
      <c r="C355" s="1" t="s">
        <v>2884</v>
      </c>
      <c r="D355" s="1" t="s">
        <v>2</v>
      </c>
      <c r="E355" s="1">
        <v>33</v>
      </c>
      <c r="F355" s="1" t="s">
        <v>2885</v>
      </c>
      <c r="H355" s="1" t="s">
        <v>2886</v>
      </c>
      <c r="I355" s="1" t="s">
        <v>7</v>
      </c>
      <c r="J355" s="1" t="s">
        <v>2887</v>
      </c>
      <c r="K355" s="1" t="s">
        <v>2888</v>
      </c>
      <c r="L355" s="1" t="s">
        <v>2887</v>
      </c>
      <c r="M355" s="1" t="s">
        <v>2889</v>
      </c>
      <c r="N355" s="1" t="s">
        <v>2890</v>
      </c>
      <c r="P355" s="1" t="s">
        <v>2891</v>
      </c>
      <c r="Q355" s="1">
        <v>2010</v>
      </c>
      <c r="R355" s="1" t="s">
        <v>2892</v>
      </c>
      <c r="S355" s="1" t="s">
        <v>27</v>
      </c>
      <c r="T355" s="38">
        <v>1</v>
      </c>
      <c r="V355" s="1">
        <v>6.49</v>
      </c>
      <c r="Y355" s="1">
        <v>1.67628</v>
      </c>
      <c r="Z355" s="1">
        <v>2.4527999999999999</v>
      </c>
      <c r="AA355" s="1">
        <v>1.0670999999999999</v>
      </c>
      <c r="AF355" s="1">
        <v>0.63307000000000002</v>
      </c>
      <c r="AG355" s="1">
        <v>0.42713000000000001</v>
      </c>
      <c r="AW355" s="1">
        <v>0.21612000000000001</v>
      </c>
      <c r="BA355" s="1">
        <v>1.0820700000000001</v>
      </c>
      <c r="BG355" s="1">
        <v>0.26405000000000001</v>
      </c>
      <c r="BS355" s="1">
        <v>2.5999999999999999E-3</v>
      </c>
      <c r="CA355" s="1">
        <v>0.28233999999999998</v>
      </c>
      <c r="CK355" s="1">
        <v>0.99717</v>
      </c>
      <c r="CM355" s="1">
        <v>0.15221000000000001</v>
      </c>
      <c r="CV355" s="1">
        <v>0.39513999999999999</v>
      </c>
      <c r="DA355" s="1">
        <v>0.49462</v>
      </c>
      <c r="DN355" s="1">
        <v>0.38940000000000002</v>
      </c>
      <c r="EX355" s="1">
        <v>2.1299999999999999E-2</v>
      </c>
      <c r="FE355" s="1">
        <v>0.23319999999999999</v>
      </c>
      <c r="FM355" s="1">
        <v>0.39939000000000002</v>
      </c>
    </row>
    <row r="356" spans="1:169" x14ac:dyDescent="0.2">
      <c r="A356" s="1" t="s">
        <v>2893</v>
      </c>
      <c r="B356" s="1" t="s">
        <v>55</v>
      </c>
      <c r="C356" s="1" t="s">
        <v>2894</v>
      </c>
      <c r="E356" s="1">
        <v>11</v>
      </c>
      <c r="F356" s="1" t="s">
        <v>2895</v>
      </c>
      <c r="H356" s="1" t="s">
        <v>2896</v>
      </c>
      <c r="I356" s="1" t="s">
        <v>7</v>
      </c>
      <c r="J356" s="1" t="s">
        <v>2897</v>
      </c>
      <c r="K356" s="1" t="s">
        <v>2898</v>
      </c>
      <c r="L356" s="1" t="s">
        <v>2897</v>
      </c>
      <c r="P356" s="1" t="s">
        <v>1269</v>
      </c>
      <c r="Q356" s="1">
        <v>2008</v>
      </c>
      <c r="R356" s="1" t="s">
        <v>2899</v>
      </c>
      <c r="S356" s="1" t="s">
        <v>27</v>
      </c>
      <c r="T356" s="38">
        <v>1</v>
      </c>
      <c r="U356" s="1">
        <v>77.599999999999994</v>
      </c>
      <c r="V356" s="1">
        <v>1.85</v>
      </c>
      <c r="Y356" s="1">
        <v>0.50657600000000003</v>
      </c>
      <c r="Z356" s="1">
        <v>0.44325399999999998</v>
      </c>
      <c r="AA356" s="1">
        <v>0.52715564999999998</v>
      </c>
      <c r="AD356" s="1">
        <v>0.85570270270270299</v>
      </c>
      <c r="AF356" s="1">
        <v>0.26120325</v>
      </c>
      <c r="AG356" s="1">
        <v>0.26753545000000001</v>
      </c>
      <c r="AU356" s="1">
        <v>0.15038974999999999</v>
      </c>
      <c r="AW356" s="1">
        <v>1.4089145000000001E-2</v>
      </c>
      <c r="AY356" s="1">
        <v>5.0657599999999999E-3</v>
      </c>
      <c r="BA356" s="1">
        <v>0.26120325</v>
      </c>
      <c r="BD356" s="1">
        <v>7.4403350000000002E-3</v>
      </c>
      <c r="BG356" s="1">
        <v>6.6013185000000002E-2</v>
      </c>
      <c r="BI356" s="1">
        <v>2.691185E-3</v>
      </c>
      <c r="BS356" s="1">
        <v>5.8572850000000003E-3</v>
      </c>
      <c r="CA356" s="1">
        <v>5.4298615000000001E-2</v>
      </c>
      <c r="CF356" s="1">
        <v>4.1159300000000003E-3</v>
      </c>
      <c r="CQ356" s="1">
        <v>0.35618624999999998</v>
      </c>
      <c r="CZ356" s="1">
        <v>1.2031180000000001E-2</v>
      </c>
      <c r="DD356" s="1">
        <v>1.8996600000000001E-3</v>
      </c>
      <c r="DF356" s="1">
        <v>8.2318600000000006E-3</v>
      </c>
      <c r="DN356" s="1">
        <v>0.23745749999999999</v>
      </c>
      <c r="DT356" s="1">
        <v>1.2189485E-2</v>
      </c>
      <c r="ED356" s="1">
        <v>3.1660999999999998E-3</v>
      </c>
      <c r="EH356" s="1">
        <v>0.13265958999999999</v>
      </c>
      <c r="EK356" s="1">
        <v>1.2347790000000001E-2</v>
      </c>
      <c r="EL356" s="1">
        <v>1.0606435000000001E-2</v>
      </c>
      <c r="EY356" s="1">
        <v>3.957625E-2</v>
      </c>
      <c r="FA356" s="1">
        <v>2.5328799999999999E-3</v>
      </c>
      <c r="FE356" s="1">
        <v>1.2189485E-2</v>
      </c>
      <c r="FJ356" s="1">
        <v>9.8149099999999996E-3</v>
      </c>
      <c r="FM356" s="1">
        <v>5.5406749999999998E-2</v>
      </c>
    </row>
    <row r="357" spans="1:169" x14ac:dyDescent="0.2">
      <c r="A357" s="1" t="s">
        <v>2900</v>
      </c>
      <c r="B357" s="1" t="s">
        <v>55</v>
      </c>
      <c r="C357" s="1" t="s">
        <v>2894</v>
      </c>
      <c r="E357" s="1">
        <v>11</v>
      </c>
      <c r="F357" s="1" t="s">
        <v>2895</v>
      </c>
      <c r="H357" s="1" t="s">
        <v>2901</v>
      </c>
      <c r="I357" s="1" t="s">
        <v>9</v>
      </c>
      <c r="J357" s="1" t="s">
        <v>2897</v>
      </c>
      <c r="K357" s="1" t="s">
        <v>2898</v>
      </c>
      <c r="L357" s="1" t="s">
        <v>2897</v>
      </c>
      <c r="P357" s="1" t="s">
        <v>1269</v>
      </c>
      <c r="Q357" s="1">
        <v>2008</v>
      </c>
      <c r="R357" s="1" t="s">
        <v>2899</v>
      </c>
      <c r="S357" s="1" t="s">
        <v>27</v>
      </c>
      <c r="T357" s="38">
        <v>1</v>
      </c>
      <c r="U357" s="1">
        <v>20.2</v>
      </c>
      <c r="V357" s="1">
        <v>5.13</v>
      </c>
      <c r="Y357" s="1">
        <v>1.42084674</v>
      </c>
      <c r="Z357" s="1">
        <v>0.99830735000000004</v>
      </c>
      <c r="AA357" s="1">
        <v>1.90839219</v>
      </c>
      <c r="AD357" s="1">
        <v>0.905124756335283</v>
      </c>
      <c r="AF357" s="1">
        <v>1.08652986</v>
      </c>
      <c r="AG357" s="1">
        <v>0.82650562000000005</v>
      </c>
      <c r="AU357" s="1">
        <v>0.17365904600000001</v>
      </c>
      <c r="AW357" s="1">
        <v>3.1110043E-2</v>
      </c>
      <c r="AY357" s="1">
        <v>1.6251515000000001E-2</v>
      </c>
      <c r="BA357" s="1">
        <v>0.93330128999999995</v>
      </c>
      <c r="BD357" s="1">
        <v>2.5073766000000001E-2</v>
      </c>
      <c r="BG357" s="1">
        <v>0.23402181599999999</v>
      </c>
      <c r="BI357" s="1">
        <v>6.5006059999999999E-3</v>
      </c>
      <c r="BS357" s="1">
        <v>5.5719480000000002E-3</v>
      </c>
      <c r="CA357" s="1">
        <v>0.114689263</v>
      </c>
      <c r="CF357" s="1">
        <v>1.4858527999999999E-2</v>
      </c>
      <c r="CQ357" s="1">
        <v>0.81257575000000004</v>
      </c>
      <c r="CZ357" s="1">
        <v>1.9966147E-2</v>
      </c>
      <c r="DD357" s="1">
        <v>0</v>
      </c>
      <c r="DF357" s="1">
        <v>2.9717055999999999E-2</v>
      </c>
      <c r="DN357" s="1">
        <v>0.72435324000000001</v>
      </c>
      <c r="DT357" s="1">
        <v>3.9467965000000001E-2</v>
      </c>
      <c r="ED357" s="1">
        <v>1.0215238E-2</v>
      </c>
      <c r="EH357" s="1">
        <v>0.50611861000000002</v>
      </c>
      <c r="EK357" s="1">
        <v>4.3646926000000003E-2</v>
      </c>
      <c r="EL357" s="1">
        <v>4.5504242E-2</v>
      </c>
      <c r="EY357" s="1">
        <v>0.15369289899999999</v>
      </c>
      <c r="FA357" s="1">
        <v>7.4292639999999997E-3</v>
      </c>
      <c r="FE357" s="1">
        <v>9.8902077000000005E-2</v>
      </c>
      <c r="FJ357" s="1">
        <v>4.2718267999999997E-2</v>
      </c>
      <c r="FM357" s="1">
        <v>0.23773644799999999</v>
      </c>
    </row>
    <row r="358" spans="1:169" x14ac:dyDescent="0.2">
      <c r="A358" s="1" t="s">
        <v>2902</v>
      </c>
      <c r="B358" s="1" t="s">
        <v>55</v>
      </c>
      <c r="C358" s="1" t="s">
        <v>2894</v>
      </c>
      <c r="E358" s="1">
        <v>11</v>
      </c>
      <c r="F358" s="1" t="s">
        <v>2895</v>
      </c>
      <c r="H358" s="1" t="s">
        <v>2903</v>
      </c>
      <c r="I358" s="1" t="s">
        <v>9</v>
      </c>
      <c r="J358" s="1" t="s">
        <v>2897</v>
      </c>
      <c r="K358" s="1" t="s">
        <v>2898</v>
      </c>
      <c r="L358" s="1" t="s">
        <v>2897</v>
      </c>
      <c r="P358" s="1" t="s">
        <v>1269</v>
      </c>
      <c r="Q358" s="1">
        <v>2008</v>
      </c>
      <c r="R358" s="1" t="s">
        <v>2899</v>
      </c>
      <c r="S358" s="1" t="s">
        <v>27</v>
      </c>
      <c r="T358" s="38">
        <v>1</v>
      </c>
      <c r="U358" s="1">
        <v>20.399999999999999</v>
      </c>
      <c r="V358" s="1">
        <v>5.56</v>
      </c>
      <c r="Y358" s="1">
        <v>1.49821056</v>
      </c>
      <c r="Z358" s="1">
        <v>1.14005248</v>
      </c>
      <c r="AA358" s="1">
        <v>2.0884147199999998</v>
      </c>
      <c r="AD358" s="1">
        <v>0.90728057553956798</v>
      </c>
      <c r="AF358" s="1">
        <v>1.14005248</v>
      </c>
      <c r="AG358" s="1">
        <v>0.94836224000000002</v>
      </c>
      <c r="AU358" s="1">
        <v>0.184627968</v>
      </c>
      <c r="AW358" s="1">
        <v>3.7329151999999997E-2</v>
      </c>
      <c r="AY358" s="1">
        <v>1.765568E-2</v>
      </c>
      <c r="BA358" s="1">
        <v>0.98871808000000005</v>
      </c>
      <c r="BD358" s="1">
        <v>2.7744640000000001E-2</v>
      </c>
      <c r="BG358" s="1">
        <v>0.233054976</v>
      </c>
      <c r="BI358" s="1">
        <v>8.0711680000000001E-3</v>
      </c>
      <c r="BS358" s="1">
        <v>5.0444799999999996E-3</v>
      </c>
      <c r="CA358" s="1">
        <v>0.130652032</v>
      </c>
      <c r="CF358" s="1">
        <v>1.6646784000000001E-2</v>
      </c>
      <c r="CQ358" s="1">
        <v>0.93827327999999999</v>
      </c>
      <c r="CZ358" s="1">
        <v>2.0177919999999998E-2</v>
      </c>
      <c r="DD358" s="1">
        <v>0</v>
      </c>
      <c r="DF358" s="1">
        <v>2.8753536E-2</v>
      </c>
      <c r="DN358" s="1">
        <v>0.84747264</v>
      </c>
      <c r="DT358" s="1">
        <v>4.0355839999999997E-2</v>
      </c>
      <c r="ED358" s="1">
        <v>1.1097856E-2</v>
      </c>
      <c r="EH358" s="1">
        <v>0.61542655999999996</v>
      </c>
      <c r="EK358" s="1">
        <v>4.3382527999999997E-2</v>
      </c>
      <c r="EL358" s="1">
        <v>5.0444799999999998E-2</v>
      </c>
      <c r="EY358" s="1">
        <v>0.136705408</v>
      </c>
      <c r="FA358" s="1">
        <v>8.5756159999999994E-3</v>
      </c>
      <c r="FE358" s="1">
        <v>8.9791744000000007E-2</v>
      </c>
      <c r="FJ358" s="1">
        <v>4.0860288000000002E-2</v>
      </c>
      <c r="FM358" s="1">
        <v>0.20682368000000001</v>
      </c>
    </row>
    <row r="359" spans="1:169" x14ac:dyDescent="0.2">
      <c r="A359" s="1" t="s">
        <v>2904</v>
      </c>
      <c r="B359" s="1" t="s">
        <v>55</v>
      </c>
      <c r="C359" s="1" t="s">
        <v>1029</v>
      </c>
      <c r="D359" s="1" t="s">
        <v>2</v>
      </c>
      <c r="E359" s="1">
        <v>13</v>
      </c>
      <c r="F359" s="1" t="s">
        <v>2905</v>
      </c>
      <c r="H359" s="1" t="s">
        <v>2906</v>
      </c>
      <c r="I359" s="1" t="s">
        <v>7</v>
      </c>
      <c r="J359" s="1" t="s">
        <v>2907</v>
      </c>
      <c r="K359" s="1" t="s">
        <v>2908</v>
      </c>
      <c r="L359" s="1" t="s">
        <v>2907</v>
      </c>
      <c r="N359" s="1" t="s">
        <v>2909</v>
      </c>
      <c r="P359" s="1" t="s">
        <v>2910</v>
      </c>
      <c r="Q359" s="1">
        <v>2006</v>
      </c>
      <c r="R359" s="1" t="s">
        <v>2911</v>
      </c>
      <c r="S359" s="1" t="s">
        <v>27</v>
      </c>
      <c r="T359" s="38">
        <v>1</v>
      </c>
      <c r="U359" s="1">
        <v>80.599999999999994</v>
      </c>
      <c r="W359" s="1">
        <v>0.53932000000000002</v>
      </c>
      <c r="Y359" s="1">
        <v>0.13248126139999999</v>
      </c>
      <c r="AD359" s="1">
        <v>0.67300000000000004</v>
      </c>
      <c r="AM359" s="1">
        <v>0.14990345467999999</v>
      </c>
      <c r="AN359" s="1">
        <v>2.9980690936000001E-2</v>
      </c>
      <c r="AW359" s="1">
        <v>3.0851800600000001E-3</v>
      </c>
      <c r="BA359" s="1">
        <v>7.5859133240000001E-2</v>
      </c>
      <c r="BG359" s="1">
        <v>1.8982931428000002E-2</v>
      </c>
      <c r="BM359" s="1">
        <v>3.2339946276000002E-2</v>
      </c>
      <c r="BZ359" s="1">
        <v>7.9488756840000001E-3</v>
      </c>
      <c r="CK359" s="1">
        <v>2.7258473235999999E-2</v>
      </c>
      <c r="DN359" s="1">
        <v>1.6079232547999998E-2</v>
      </c>
      <c r="ED359" s="1">
        <v>5.4444354000000004E-4</v>
      </c>
      <c r="EH359" s="1">
        <v>5.4444354000000004E-4</v>
      </c>
      <c r="EX359" s="1">
        <v>9.4733175959999995E-3</v>
      </c>
      <c r="FA359" s="1">
        <v>6.5333224800000005E-4</v>
      </c>
      <c r="FE359" s="1">
        <v>9.4370213600000004E-4</v>
      </c>
      <c r="FJ359" s="1">
        <v>5.1177692760000001E-3</v>
      </c>
      <c r="FM359" s="1">
        <v>0.14300716984</v>
      </c>
    </row>
    <row r="360" spans="1:169" x14ac:dyDescent="0.2">
      <c r="A360" s="1" t="s">
        <v>2912</v>
      </c>
      <c r="B360" s="1" t="s">
        <v>55</v>
      </c>
      <c r="C360" s="1" t="s">
        <v>2913</v>
      </c>
      <c r="D360" s="1" t="s">
        <v>2</v>
      </c>
      <c r="E360" s="1">
        <v>13</v>
      </c>
      <c r="F360" s="1" t="s">
        <v>2914</v>
      </c>
      <c r="H360" s="1" t="s">
        <v>2915</v>
      </c>
      <c r="I360" s="1" t="s">
        <v>7</v>
      </c>
      <c r="J360" s="1" t="s">
        <v>2916</v>
      </c>
      <c r="L360" s="1" t="s">
        <v>2917</v>
      </c>
      <c r="N360" s="1" t="s">
        <v>2918</v>
      </c>
      <c r="P360" s="1" t="s">
        <v>1269</v>
      </c>
      <c r="Q360" s="1">
        <v>1995</v>
      </c>
      <c r="R360" s="1" t="s">
        <v>2919</v>
      </c>
      <c r="S360" s="1" t="s">
        <v>27</v>
      </c>
      <c r="T360" s="38">
        <v>1</v>
      </c>
      <c r="U360" s="1">
        <v>72.69</v>
      </c>
      <c r="V360" s="1">
        <v>2.84</v>
      </c>
      <c r="Y360" s="1">
        <v>0.76053884800000005</v>
      </c>
      <c r="Z360" s="1">
        <v>1.010709504</v>
      </c>
      <c r="AA360" s="1">
        <v>0.73597299199999999</v>
      </c>
      <c r="AD360" s="1">
        <v>0.88264788732394395</v>
      </c>
      <c r="AF360" s="1">
        <v>0.341665936</v>
      </c>
      <c r="AG360" s="1">
        <v>0.39430705599999999</v>
      </c>
      <c r="AW360" s="1">
        <v>0.12583734399999999</v>
      </c>
      <c r="BA360" s="1">
        <v>0.56501468799999999</v>
      </c>
      <c r="BG360" s="1">
        <v>6.9686815999999999E-2</v>
      </c>
      <c r="BZ360" s="1">
        <v>0.24164780799999999</v>
      </c>
      <c r="CK360" s="1">
        <v>0.60562355199999995</v>
      </c>
      <c r="CM360" s="1">
        <v>0.104279552</v>
      </c>
      <c r="CO360" s="1">
        <v>1.6043008000000001E-2</v>
      </c>
      <c r="CV360" s="1">
        <v>4.3115583999999998E-2</v>
      </c>
      <c r="DN360" s="1">
        <v>0.36522910400000003</v>
      </c>
      <c r="DT360" s="1">
        <v>1.3786959999999999E-2</v>
      </c>
      <c r="EH360" s="1">
        <v>3.8603487999999998E-2</v>
      </c>
      <c r="ET360" s="1">
        <v>2.7824591999999999E-2</v>
      </c>
      <c r="EX360" s="1">
        <v>1.5290992E-2</v>
      </c>
      <c r="EY360" s="1">
        <v>1.3285616E-2</v>
      </c>
      <c r="FE360" s="1">
        <v>0.14213102399999999</v>
      </c>
      <c r="FJ360" s="1">
        <v>2.0304432000000001E-2</v>
      </c>
      <c r="FM360" s="1">
        <v>9.9516783999999997E-2</v>
      </c>
    </row>
    <row r="361" spans="1:169" x14ac:dyDescent="0.2">
      <c r="A361" s="1" t="s">
        <v>2920</v>
      </c>
      <c r="B361" s="1" t="s">
        <v>55</v>
      </c>
      <c r="C361" s="1" t="s">
        <v>2913</v>
      </c>
      <c r="D361" s="1" t="s">
        <v>2</v>
      </c>
      <c r="E361" s="1">
        <v>13</v>
      </c>
      <c r="F361" s="1" t="s">
        <v>2914</v>
      </c>
      <c r="H361" s="1" t="s">
        <v>2921</v>
      </c>
      <c r="I361" s="1" t="s">
        <v>7</v>
      </c>
      <c r="J361" s="1" t="s">
        <v>2917</v>
      </c>
      <c r="K361" s="1" t="s">
        <v>2922</v>
      </c>
      <c r="L361" s="1" t="s">
        <v>2917</v>
      </c>
      <c r="N361" s="1" t="s">
        <v>2923</v>
      </c>
      <c r="P361" s="1" t="s">
        <v>1269</v>
      </c>
      <c r="Q361" s="1">
        <v>1995</v>
      </c>
      <c r="R361" s="1" t="s">
        <v>2919</v>
      </c>
      <c r="S361" s="1" t="s">
        <v>27</v>
      </c>
      <c r="T361" s="38">
        <v>1</v>
      </c>
      <c r="U361" s="1">
        <v>78.22</v>
      </c>
      <c r="V361" s="1">
        <v>2.63</v>
      </c>
      <c r="Y361" s="1">
        <v>0.80068873500000004</v>
      </c>
      <c r="Z361" s="1">
        <v>0.84852208799999995</v>
      </c>
      <c r="AA361" s="1">
        <v>0.66804938899999999</v>
      </c>
      <c r="AD361" s="1">
        <v>0.87862737642585598</v>
      </c>
      <c r="AF361" s="1">
        <v>0.33483347099999999</v>
      </c>
      <c r="AG361" s="1">
        <v>0.333215918</v>
      </c>
      <c r="AW361" s="1">
        <v>0.120854317</v>
      </c>
      <c r="BA361" s="1">
        <v>0.590869003</v>
      </c>
      <c r="BG361" s="1">
        <v>8.8965415000000006E-2</v>
      </c>
      <c r="BZ361" s="1">
        <v>0.18070377800000001</v>
      </c>
      <c r="CK361" s="1">
        <v>0.55528283700000003</v>
      </c>
      <c r="CM361" s="1">
        <v>6.2160251E-2</v>
      </c>
      <c r="CO361" s="1">
        <v>3.9283429999999999E-3</v>
      </c>
      <c r="CV361" s="1">
        <v>4.6446879000000003E-2</v>
      </c>
      <c r="DN361" s="1">
        <v>0.29416356700000001</v>
      </c>
      <c r="DT361" s="1">
        <v>1.4326897999999999E-2</v>
      </c>
      <c r="EH361" s="1">
        <v>3.5355087E-2</v>
      </c>
      <c r="ET361" s="1">
        <v>2.1952505000000001E-2</v>
      </c>
      <c r="EX361" s="1">
        <v>2.4725453000000001E-2</v>
      </c>
      <c r="EY361" s="1">
        <v>1.2478266E-2</v>
      </c>
      <c r="FE361" s="1">
        <v>0.13125287199999999</v>
      </c>
      <c r="FJ361" s="1">
        <v>1.9872793999999999E-2</v>
      </c>
      <c r="FM361" s="1">
        <v>0.113921947</v>
      </c>
    </row>
    <row r="362" spans="1:169" x14ac:dyDescent="0.2">
      <c r="A362" s="1" t="s">
        <v>2924</v>
      </c>
      <c r="B362" s="1" t="s">
        <v>55</v>
      </c>
      <c r="C362" s="1" t="s">
        <v>2925</v>
      </c>
      <c r="D362" s="1" t="s">
        <v>2</v>
      </c>
      <c r="E362" s="1">
        <v>13</v>
      </c>
      <c r="F362" s="1" t="s">
        <v>2914</v>
      </c>
      <c r="H362" s="1" t="s">
        <v>2926</v>
      </c>
      <c r="I362" s="1" t="s">
        <v>7</v>
      </c>
      <c r="J362" s="1" t="s">
        <v>2917</v>
      </c>
      <c r="K362" s="1" t="s">
        <v>2922</v>
      </c>
      <c r="L362" s="1" t="s">
        <v>2917</v>
      </c>
      <c r="M362" s="1" t="s">
        <v>2927</v>
      </c>
      <c r="N362" s="1" t="s">
        <v>2928</v>
      </c>
      <c r="O362" s="1">
        <v>3</v>
      </c>
      <c r="P362" s="1" t="s">
        <v>2929</v>
      </c>
      <c r="Q362" s="1">
        <v>2002</v>
      </c>
      <c r="R362" s="1" t="s">
        <v>2930</v>
      </c>
      <c r="S362" s="1" t="s">
        <v>27</v>
      </c>
      <c r="T362" s="38">
        <v>1</v>
      </c>
      <c r="U362" s="1">
        <v>71.8</v>
      </c>
      <c r="V362" s="1">
        <v>7.8</v>
      </c>
    </row>
    <row r="363" spans="1:169" x14ac:dyDescent="0.2">
      <c r="A363" s="1" t="s">
        <v>2931</v>
      </c>
      <c r="B363" s="1" t="s">
        <v>55</v>
      </c>
      <c r="C363" s="1" t="s">
        <v>2925</v>
      </c>
      <c r="D363" s="1" t="s">
        <v>2</v>
      </c>
      <c r="E363" s="1">
        <v>13</v>
      </c>
      <c r="F363" s="1" t="s">
        <v>2914</v>
      </c>
      <c r="H363" s="1" t="s">
        <v>2932</v>
      </c>
      <c r="I363" s="1" t="s">
        <v>7</v>
      </c>
      <c r="J363" s="1" t="s">
        <v>2917</v>
      </c>
      <c r="K363" s="1" t="s">
        <v>2922</v>
      </c>
      <c r="L363" s="1" t="s">
        <v>2917</v>
      </c>
      <c r="M363" s="1" t="s">
        <v>2927</v>
      </c>
      <c r="N363" s="1" t="s">
        <v>2933</v>
      </c>
      <c r="O363" s="1">
        <v>3</v>
      </c>
      <c r="P363" s="1" t="s">
        <v>2929</v>
      </c>
      <c r="Q363" s="1">
        <v>2002</v>
      </c>
      <c r="R363" s="1" t="s">
        <v>2930</v>
      </c>
      <c r="S363" s="1" t="s">
        <v>27</v>
      </c>
      <c r="T363" s="38">
        <v>1</v>
      </c>
      <c r="U363" s="1">
        <v>73.7</v>
      </c>
      <c r="V363" s="1">
        <v>5.9</v>
      </c>
      <c r="Y363" s="1">
        <v>1.3511484</v>
      </c>
      <c r="Z363" s="1">
        <v>2.1500417000000001</v>
      </c>
      <c r="AA363" s="1">
        <v>1.8551481999999999</v>
      </c>
      <c r="AD363" s="1">
        <v>0.90876271186440705</v>
      </c>
      <c r="AW363" s="1">
        <v>0.22519140000000001</v>
      </c>
      <c r="BA363" s="1">
        <v>0.93293579999999998</v>
      </c>
      <c r="BG363" s="1">
        <v>0.1179574</v>
      </c>
      <c r="BZ363" s="1">
        <v>0.34314879999999998</v>
      </c>
      <c r="CK363" s="1">
        <v>1.1902973999999999</v>
      </c>
      <c r="CM363" s="1">
        <v>0.12868080000000001</v>
      </c>
      <c r="CV363" s="1">
        <v>0.28417009999999998</v>
      </c>
      <c r="DB363" s="1">
        <v>0.2037446</v>
      </c>
      <c r="DN363" s="1">
        <v>0.43429770000000001</v>
      </c>
      <c r="EH363" s="1">
        <v>9.6510600000000002E-2</v>
      </c>
      <c r="ET363" s="1">
        <v>9.1148900000000005E-2</v>
      </c>
      <c r="FE363" s="1">
        <v>0.34314879999999998</v>
      </c>
      <c r="FJ363" s="1">
        <v>5.3616999999999998E-2</v>
      </c>
      <c r="FM363" s="1">
        <v>0.72919120000000004</v>
      </c>
    </row>
    <row r="364" spans="1:169" x14ac:dyDescent="0.2">
      <c r="A364" s="1" t="s">
        <v>2934</v>
      </c>
      <c r="B364" s="1" t="s">
        <v>55</v>
      </c>
      <c r="C364" s="1" t="s">
        <v>2925</v>
      </c>
      <c r="D364" s="1" t="s">
        <v>2</v>
      </c>
      <c r="E364" s="1">
        <v>13</v>
      </c>
      <c r="F364" s="1" t="s">
        <v>2914</v>
      </c>
      <c r="H364" s="1" t="s">
        <v>2935</v>
      </c>
      <c r="I364" s="1" t="s">
        <v>7</v>
      </c>
      <c r="J364" s="1" t="s">
        <v>2917</v>
      </c>
      <c r="K364" s="1" t="s">
        <v>2922</v>
      </c>
      <c r="L364" s="1" t="s">
        <v>2917</v>
      </c>
      <c r="M364" s="1" t="s">
        <v>2927</v>
      </c>
      <c r="N364" s="1" t="s">
        <v>2928</v>
      </c>
      <c r="O364" s="1">
        <v>3</v>
      </c>
      <c r="P364" s="1" t="s">
        <v>2929</v>
      </c>
      <c r="Q364" s="1">
        <v>2002</v>
      </c>
      <c r="R364" s="1" t="s">
        <v>2930</v>
      </c>
      <c r="S364" s="1" t="s">
        <v>27</v>
      </c>
      <c r="T364" s="38">
        <v>1</v>
      </c>
      <c r="U364" s="1">
        <v>69.8</v>
      </c>
      <c r="V364" s="1">
        <v>10</v>
      </c>
    </row>
    <row r="365" spans="1:169" x14ac:dyDescent="0.2">
      <c r="A365" s="1" t="s">
        <v>2936</v>
      </c>
      <c r="B365" s="1" t="s">
        <v>55</v>
      </c>
      <c r="C365" s="1" t="s">
        <v>2925</v>
      </c>
      <c r="D365" s="1" t="s">
        <v>2</v>
      </c>
      <c r="E365" s="1">
        <v>13</v>
      </c>
      <c r="F365" s="1" t="s">
        <v>2914</v>
      </c>
      <c r="H365" s="1" t="s">
        <v>2937</v>
      </c>
      <c r="I365" s="1" t="s">
        <v>7</v>
      </c>
      <c r="J365" s="1" t="s">
        <v>2917</v>
      </c>
      <c r="K365" s="1" t="s">
        <v>2922</v>
      </c>
      <c r="L365" s="1" t="s">
        <v>2917</v>
      </c>
      <c r="M365" s="1" t="s">
        <v>2927</v>
      </c>
      <c r="N365" s="1" t="s">
        <v>2933</v>
      </c>
      <c r="O365" s="1">
        <v>3</v>
      </c>
      <c r="P365" s="1" t="s">
        <v>2929</v>
      </c>
      <c r="Q365" s="1">
        <v>2002</v>
      </c>
      <c r="R365" s="1" t="s">
        <v>2930</v>
      </c>
      <c r="S365" s="1" t="s">
        <v>27</v>
      </c>
      <c r="T365" s="38">
        <v>1</v>
      </c>
      <c r="U365" s="1">
        <v>71.2</v>
      </c>
      <c r="V365" s="1">
        <v>7.4</v>
      </c>
      <c r="Y365" s="1">
        <v>1.6159268</v>
      </c>
      <c r="Z365" s="1">
        <v>2.8599876000000002</v>
      </c>
      <c r="AA365" s="1">
        <v>2.2852855999999999</v>
      </c>
      <c r="AD365" s="1">
        <v>0.91367567567567598</v>
      </c>
      <c r="AW365" s="1">
        <v>0.28397040000000001</v>
      </c>
      <c r="BA365" s="1">
        <v>1.0750308</v>
      </c>
      <c r="BG365" s="1">
        <v>0.16226879999999999</v>
      </c>
      <c r="BZ365" s="1">
        <v>0.43947799999999998</v>
      </c>
      <c r="CK365" s="1">
        <v>1.7173448</v>
      </c>
      <c r="CM365" s="1">
        <v>0.1081792</v>
      </c>
      <c r="CV365" s="1">
        <v>0.35834359999999998</v>
      </c>
      <c r="DB365" s="1">
        <v>0.23664199999999999</v>
      </c>
      <c r="DN365" s="1">
        <v>0.62203039999999998</v>
      </c>
      <c r="EH365" s="1">
        <v>0.13522400000000001</v>
      </c>
      <c r="ET365" s="1">
        <v>0.1149404</v>
      </c>
      <c r="FE365" s="1">
        <v>0.43947799999999998</v>
      </c>
      <c r="FJ365" s="1">
        <v>6.7612000000000005E-2</v>
      </c>
      <c r="FM365" s="1">
        <v>0.75725439999999999</v>
      </c>
    </row>
    <row r="366" spans="1:169" x14ac:dyDescent="0.2">
      <c r="A366" s="1" t="s">
        <v>2938</v>
      </c>
      <c r="B366" s="1" t="s">
        <v>55</v>
      </c>
      <c r="C366" s="1" t="s">
        <v>2925</v>
      </c>
      <c r="D366" s="1" t="s">
        <v>2</v>
      </c>
      <c r="E366" s="1">
        <v>13</v>
      </c>
      <c r="F366" s="1" t="s">
        <v>2914</v>
      </c>
      <c r="H366" s="1" t="s">
        <v>2939</v>
      </c>
      <c r="I366" s="1" t="s">
        <v>7</v>
      </c>
      <c r="J366" s="1" t="s">
        <v>2917</v>
      </c>
      <c r="K366" s="1" t="s">
        <v>2922</v>
      </c>
      <c r="L366" s="1" t="s">
        <v>2917</v>
      </c>
      <c r="M366" s="1" t="s">
        <v>2927</v>
      </c>
      <c r="N366" s="1" t="s">
        <v>2928</v>
      </c>
      <c r="O366" s="1">
        <v>3</v>
      </c>
      <c r="P366" s="1" t="s">
        <v>2929</v>
      </c>
      <c r="Q366" s="1">
        <v>2002</v>
      </c>
      <c r="R366" s="1" t="s">
        <v>2930</v>
      </c>
      <c r="S366" s="1" t="s">
        <v>27</v>
      </c>
      <c r="T366" s="38">
        <v>1</v>
      </c>
      <c r="U366" s="1">
        <v>69.5</v>
      </c>
      <c r="V366" s="1">
        <v>10.6</v>
      </c>
    </row>
    <row r="367" spans="1:169" x14ac:dyDescent="0.2">
      <c r="A367" s="1" t="s">
        <v>2940</v>
      </c>
      <c r="B367" s="1" t="s">
        <v>55</v>
      </c>
      <c r="C367" s="1" t="s">
        <v>2925</v>
      </c>
      <c r="D367" s="1" t="s">
        <v>2</v>
      </c>
      <c r="E367" s="1">
        <v>13</v>
      </c>
      <c r="F367" s="1" t="s">
        <v>2914</v>
      </c>
      <c r="H367" s="1" t="s">
        <v>2941</v>
      </c>
      <c r="I367" s="1" t="s">
        <v>7</v>
      </c>
      <c r="J367" s="1" t="s">
        <v>2917</v>
      </c>
      <c r="K367" s="1" t="s">
        <v>2922</v>
      </c>
      <c r="L367" s="1" t="s">
        <v>2917</v>
      </c>
      <c r="M367" s="1" t="s">
        <v>2927</v>
      </c>
      <c r="N367" s="1" t="s">
        <v>2933</v>
      </c>
      <c r="O367" s="1">
        <v>3</v>
      </c>
      <c r="P367" s="1" t="s">
        <v>2929</v>
      </c>
      <c r="Q367" s="1">
        <v>2002</v>
      </c>
      <c r="R367" s="1" t="s">
        <v>2930</v>
      </c>
      <c r="S367" s="1" t="s">
        <v>27</v>
      </c>
      <c r="T367" s="38">
        <v>1</v>
      </c>
      <c r="U367" s="1">
        <v>71.599999999999994</v>
      </c>
      <c r="V367" s="1">
        <v>7.6</v>
      </c>
      <c r="Y367" s="1">
        <v>1.6188374000000001</v>
      </c>
      <c r="Z367" s="1">
        <v>2.9528150000000002</v>
      </c>
      <c r="AA367" s="1">
        <v>2.3691998000000001</v>
      </c>
      <c r="AD367" s="1">
        <v>0.91418421052631604</v>
      </c>
      <c r="AW367" s="1">
        <v>0.27096419999999999</v>
      </c>
      <c r="BA367" s="1">
        <v>1.1394392</v>
      </c>
      <c r="BG367" s="1">
        <v>0.1528516</v>
      </c>
      <c r="BZ367" s="1">
        <v>0.486346</v>
      </c>
      <c r="CK367" s="1">
        <v>1.7925324</v>
      </c>
      <c r="CM367" s="1">
        <v>0.1459038</v>
      </c>
      <c r="CV367" s="1">
        <v>0.34044219999999997</v>
      </c>
      <c r="DB367" s="1">
        <v>0.20843400000000001</v>
      </c>
      <c r="DN367" s="1">
        <v>0.60445859999999996</v>
      </c>
      <c r="EH367" s="1">
        <v>0.1181126</v>
      </c>
      <c r="ET367" s="1">
        <v>9.72692E-2</v>
      </c>
      <c r="FE367" s="1">
        <v>0.45160699999999998</v>
      </c>
      <c r="FJ367" s="1">
        <v>7.6425800000000002E-2</v>
      </c>
      <c r="FM367" s="1">
        <v>0.85457939999999999</v>
      </c>
    </row>
    <row r="368" spans="1:169" x14ac:dyDescent="0.2">
      <c r="A368" s="1" t="s">
        <v>2942</v>
      </c>
      <c r="B368" s="1" t="s">
        <v>55</v>
      </c>
      <c r="C368" s="1" t="s">
        <v>2055</v>
      </c>
      <c r="D368" s="1" t="s">
        <v>2</v>
      </c>
      <c r="E368" s="1">
        <v>33</v>
      </c>
      <c r="F368" s="1" t="s">
        <v>1288</v>
      </c>
      <c r="H368" s="1" t="s">
        <v>1289</v>
      </c>
      <c r="I368" s="1" t="s">
        <v>7</v>
      </c>
      <c r="J368" s="1" t="s">
        <v>1290</v>
      </c>
      <c r="K368" s="1" t="s">
        <v>1291</v>
      </c>
      <c r="L368" s="1" t="s">
        <v>1290</v>
      </c>
      <c r="N368" s="1" t="s">
        <v>2943</v>
      </c>
      <c r="P368" s="1" t="s">
        <v>1269</v>
      </c>
      <c r="Q368" s="1">
        <v>2007</v>
      </c>
      <c r="R368" s="1" t="s">
        <v>2944</v>
      </c>
      <c r="S368" s="1" t="s">
        <v>27</v>
      </c>
      <c r="T368" s="38">
        <v>1</v>
      </c>
      <c r="V368" s="1">
        <v>5.54</v>
      </c>
      <c r="Y368" s="1">
        <v>1.3152570939999999</v>
      </c>
      <c r="Z368" s="1">
        <v>1.694706504</v>
      </c>
      <c r="AA368" s="1">
        <v>1.6424379760000001</v>
      </c>
      <c r="AD368" s="1">
        <v>0.90718772563176897</v>
      </c>
      <c r="AS368" s="1">
        <v>1.5077459999999999E-3</v>
      </c>
      <c r="AU368" s="1">
        <v>2.010328E-3</v>
      </c>
      <c r="AV368" s="1">
        <v>1.005164E-3</v>
      </c>
      <c r="AW368" s="1">
        <v>0.176908864</v>
      </c>
      <c r="AY368" s="1">
        <v>2.5631681999999999E-2</v>
      </c>
      <c r="BA368" s="1">
        <v>0.86092296599999996</v>
      </c>
      <c r="BD368" s="1">
        <v>4.0206560000000002E-2</v>
      </c>
      <c r="BG368" s="1">
        <v>0.17339078999999999</v>
      </c>
      <c r="BI368" s="1">
        <v>1.6585206000000002E-2</v>
      </c>
      <c r="BJ368" s="1">
        <v>5.528402E-3</v>
      </c>
      <c r="BK368" s="1">
        <v>5.0258200000000003E-3</v>
      </c>
      <c r="BL368" s="1">
        <v>1.5077459999999999E-3</v>
      </c>
      <c r="BM368" s="1">
        <v>5.0258200000000003E-3</v>
      </c>
      <c r="BO368" s="1">
        <v>5.0258200000000003E-3</v>
      </c>
      <c r="BT368" s="1">
        <v>6.0309839999999997E-3</v>
      </c>
      <c r="BZ368" s="1">
        <v>0.237218704</v>
      </c>
      <c r="CB368" s="1">
        <v>2.3621354000000001E-2</v>
      </c>
      <c r="CI368" s="1">
        <v>1.195139996</v>
      </c>
      <c r="CJ368" s="1">
        <v>1.9098115999999998E-2</v>
      </c>
      <c r="CV368" s="1">
        <v>0.129163574</v>
      </c>
      <c r="DB368" s="1">
        <v>5.7294348000000002E-2</v>
      </c>
      <c r="DE368" s="1">
        <v>2.2113608E-2</v>
      </c>
      <c r="DK368" s="1">
        <v>0.63275073800000003</v>
      </c>
      <c r="DT368" s="1">
        <v>3.0154920000000002E-2</v>
      </c>
      <c r="ED368" s="1">
        <v>8.5438939999999998E-3</v>
      </c>
      <c r="EH368" s="1">
        <v>8.3428611999999999E-2</v>
      </c>
      <c r="EL368" s="1">
        <v>5.0258200000000003E-3</v>
      </c>
      <c r="EX368" s="1">
        <v>3.3170412000000003E-2</v>
      </c>
      <c r="FE368" s="1">
        <v>0.266871042</v>
      </c>
      <c r="FM368" s="1">
        <v>0.582492538</v>
      </c>
    </row>
    <row r="369" spans="1:175" x14ac:dyDescent="0.2">
      <c r="A369" s="1" t="s">
        <v>2945</v>
      </c>
      <c r="B369" s="1" t="s">
        <v>55</v>
      </c>
      <c r="C369" s="1" t="s">
        <v>2055</v>
      </c>
      <c r="D369" s="1" t="s">
        <v>2</v>
      </c>
      <c r="E369" s="1">
        <v>33</v>
      </c>
      <c r="F369" s="1" t="s">
        <v>1288</v>
      </c>
      <c r="H369" s="1" t="s">
        <v>2946</v>
      </c>
      <c r="I369" s="1" t="s">
        <v>11</v>
      </c>
      <c r="J369" s="1" t="s">
        <v>1290</v>
      </c>
      <c r="K369" s="1" t="s">
        <v>1291</v>
      </c>
      <c r="L369" s="1" t="s">
        <v>1290</v>
      </c>
      <c r="N369" s="1" t="s">
        <v>2943</v>
      </c>
      <c r="P369" s="1" t="s">
        <v>1269</v>
      </c>
      <c r="Q369" s="1">
        <v>2007</v>
      </c>
      <c r="R369" s="1" t="s">
        <v>2944</v>
      </c>
      <c r="S369" s="1" t="s">
        <v>27</v>
      </c>
      <c r="T369" s="38">
        <v>1</v>
      </c>
      <c r="V369" s="1">
        <v>12.98</v>
      </c>
      <c r="Y369" s="1">
        <v>1.9052005279999999</v>
      </c>
      <c r="Z369" s="1">
        <v>4.0294033779999996</v>
      </c>
      <c r="AA369" s="1">
        <v>5.7909958259999996</v>
      </c>
      <c r="AD369" s="1">
        <v>0.92198305084745802</v>
      </c>
      <c r="AW369" s="1">
        <v>9.2148517999999999E-2</v>
      </c>
      <c r="AY369" s="1">
        <v>1.4360807999999999E-2</v>
      </c>
      <c r="BA369" s="1">
        <v>1.2805053799999999</v>
      </c>
      <c r="BD369" s="1">
        <v>2.393468E-2</v>
      </c>
      <c r="BG369" s="1">
        <v>0.39013528400000003</v>
      </c>
      <c r="BI369" s="1">
        <v>3.4705286000000002E-2</v>
      </c>
      <c r="BJ369" s="1">
        <v>4.7869360000000003E-3</v>
      </c>
      <c r="BK369" s="1">
        <v>4.1885690000000003E-2</v>
      </c>
      <c r="BL369" s="1">
        <v>5.98367E-3</v>
      </c>
      <c r="BM369" s="1">
        <v>1.6754275999999999E-2</v>
      </c>
      <c r="BO369" s="1">
        <v>3.5902019999999998E-3</v>
      </c>
      <c r="BT369" s="1">
        <v>2.3934680000000002E-3</v>
      </c>
      <c r="BZ369" s="1">
        <v>0.124460336</v>
      </c>
      <c r="CB369" s="1">
        <v>1.6754275999999999E-2</v>
      </c>
      <c r="CI369" s="1">
        <v>3.7541545580000002</v>
      </c>
      <c r="CJ369" s="1">
        <v>9.5738720000000006E-3</v>
      </c>
      <c r="CV369" s="1">
        <v>0.110099528</v>
      </c>
      <c r="DB369" s="1">
        <v>1.196734E-2</v>
      </c>
      <c r="DE369" s="1">
        <v>1.3164074E-2</v>
      </c>
      <c r="DK369" s="1">
        <v>4.6780332060000003</v>
      </c>
      <c r="DT369" s="1">
        <v>1.5557542000000001E-2</v>
      </c>
      <c r="ED369" s="1">
        <v>4.7869360000000003E-3</v>
      </c>
      <c r="EH369" s="1">
        <v>0.67735144400000002</v>
      </c>
      <c r="EL369" s="1">
        <v>3.5902019999999998E-3</v>
      </c>
      <c r="EX369" s="1">
        <v>1.795101E-2</v>
      </c>
      <c r="FE369" s="1">
        <v>0.124460336</v>
      </c>
      <c r="FM369" s="1">
        <v>0.26926515000000001</v>
      </c>
    </row>
    <row r="370" spans="1:175" x14ac:dyDescent="0.2">
      <c r="A370" s="1" t="s">
        <v>2947</v>
      </c>
      <c r="B370" s="1" t="s">
        <v>55</v>
      </c>
      <c r="C370" s="1" t="s">
        <v>2055</v>
      </c>
      <c r="D370" s="1" t="s">
        <v>2</v>
      </c>
      <c r="E370" s="1">
        <v>33</v>
      </c>
      <c r="F370" s="1" t="s">
        <v>1288</v>
      </c>
      <c r="H370" s="1" t="s">
        <v>2948</v>
      </c>
      <c r="I370" s="1" t="s">
        <v>11</v>
      </c>
      <c r="J370" s="1" t="s">
        <v>1290</v>
      </c>
      <c r="K370" s="1" t="s">
        <v>1291</v>
      </c>
      <c r="L370" s="1" t="s">
        <v>1290</v>
      </c>
      <c r="N370" s="1" t="s">
        <v>2943</v>
      </c>
      <c r="P370" s="1" t="s">
        <v>1269</v>
      </c>
      <c r="Q370" s="1">
        <v>2007</v>
      </c>
      <c r="R370" s="1" t="s">
        <v>2944</v>
      </c>
      <c r="S370" s="1" t="s">
        <v>27</v>
      </c>
      <c r="T370" s="38">
        <v>1</v>
      </c>
      <c r="V370" s="1">
        <v>7.41</v>
      </c>
      <c r="Y370" s="1">
        <v>1.81450204</v>
      </c>
      <c r="Z370" s="1">
        <v>2.3595297049999999</v>
      </c>
      <c r="AA370" s="1">
        <v>2.1746942360000001</v>
      </c>
      <c r="AD370" s="1">
        <v>0.91370175438596501</v>
      </c>
      <c r="AS370" s="1">
        <v>2.0311589999999998E-3</v>
      </c>
      <c r="AU370" s="1">
        <v>2.7082120000000002E-3</v>
      </c>
      <c r="AV370" s="1">
        <v>1.3541060000000001E-3</v>
      </c>
      <c r="AW370" s="1">
        <v>0.238999709</v>
      </c>
      <c r="AY370" s="1">
        <v>3.3852649999999998E-2</v>
      </c>
      <c r="BA370" s="1">
        <v>1.142865464</v>
      </c>
      <c r="BD370" s="1">
        <v>5.6195399E-2</v>
      </c>
      <c r="BG370" s="1">
        <v>0.23629149699999999</v>
      </c>
      <c r="BI370" s="1">
        <v>2.3696854999999999E-2</v>
      </c>
      <c r="BJ370" s="1">
        <v>7.4475829999999998E-3</v>
      </c>
      <c r="BK370" s="1">
        <v>6.7705300000000003E-3</v>
      </c>
      <c r="BL370" s="1">
        <v>2.0311589999999998E-3</v>
      </c>
      <c r="BM370" s="1">
        <v>6.0257717000000002E-2</v>
      </c>
      <c r="BO370" s="1">
        <v>6.7705300000000003E-3</v>
      </c>
      <c r="BT370" s="1">
        <v>8.8016889999999997E-3</v>
      </c>
      <c r="BZ370" s="1">
        <v>0.32837070499999998</v>
      </c>
      <c r="CB370" s="1">
        <v>3.2498543999999997E-2</v>
      </c>
      <c r="CI370" s="1">
        <v>1.657425744</v>
      </c>
      <c r="CJ370" s="1">
        <v>2.5050961E-2</v>
      </c>
      <c r="CV370" s="1">
        <v>0.19092894599999999</v>
      </c>
      <c r="DB370" s="1">
        <v>8.3277518999999994E-2</v>
      </c>
      <c r="DE370" s="1">
        <v>2.6405067000000001E-2</v>
      </c>
      <c r="DK370" s="1">
        <v>0.84360803799999995</v>
      </c>
      <c r="DT370" s="1">
        <v>4.3331392000000003E-2</v>
      </c>
      <c r="ED370" s="1">
        <v>1.1509900999999999E-2</v>
      </c>
      <c r="EH370" s="1">
        <v>0.117807222</v>
      </c>
      <c r="EL370" s="1">
        <v>6.7705300000000003E-3</v>
      </c>
      <c r="EX370" s="1">
        <v>4.1977286000000003E-2</v>
      </c>
      <c r="FE370" s="1">
        <v>0.343265871</v>
      </c>
      <c r="FM370" s="1">
        <v>0.766423996</v>
      </c>
    </row>
    <row r="371" spans="1:175" x14ac:dyDescent="0.2">
      <c r="A371" s="1" t="s">
        <v>2949</v>
      </c>
      <c r="B371" s="1" t="s">
        <v>55</v>
      </c>
      <c r="C371" s="1" t="s">
        <v>2055</v>
      </c>
      <c r="D371" s="1" t="s">
        <v>2</v>
      </c>
      <c r="E371" s="1">
        <v>33</v>
      </c>
      <c r="F371" s="1" t="s">
        <v>1288</v>
      </c>
      <c r="H371" s="1" t="s">
        <v>2950</v>
      </c>
      <c r="I371" s="1" t="s">
        <v>11</v>
      </c>
      <c r="J371" s="1" t="s">
        <v>1290</v>
      </c>
      <c r="K371" s="1" t="s">
        <v>1291</v>
      </c>
      <c r="L371" s="1" t="s">
        <v>1290</v>
      </c>
      <c r="N371" s="1" t="s">
        <v>2943</v>
      </c>
      <c r="P371" s="1" t="s">
        <v>1269</v>
      </c>
      <c r="Q371" s="1">
        <v>2007</v>
      </c>
      <c r="R371" s="1" t="s">
        <v>2944</v>
      </c>
      <c r="S371" s="1" t="s">
        <v>27</v>
      </c>
      <c r="T371" s="38">
        <v>1</v>
      </c>
      <c r="V371" s="1">
        <v>5.23</v>
      </c>
      <c r="Y371" s="1">
        <v>1.2196719250000001</v>
      </c>
      <c r="Z371" s="1">
        <v>1.628439642</v>
      </c>
      <c r="AA371" s="1">
        <v>1.5412863859999999</v>
      </c>
      <c r="AD371" s="1">
        <v>0.90565774378585095</v>
      </c>
      <c r="AS371" s="1">
        <v>1.4209769999999999E-3</v>
      </c>
      <c r="AU371" s="1">
        <v>1.8946360000000001E-3</v>
      </c>
      <c r="AV371" s="1">
        <v>9.4731800000000005E-4</v>
      </c>
      <c r="AW371" s="1">
        <v>0.16862260400000001</v>
      </c>
      <c r="AY371" s="1">
        <v>2.4156608999999999E-2</v>
      </c>
      <c r="BA371" s="1">
        <v>0.78485296299999996</v>
      </c>
      <c r="BD371" s="1">
        <v>3.9787356000000003E-2</v>
      </c>
      <c r="BG371" s="1">
        <v>0.164833332</v>
      </c>
      <c r="BI371" s="1">
        <v>1.7051724000000001E-2</v>
      </c>
      <c r="BJ371" s="1">
        <v>5.6839079999999997E-3</v>
      </c>
      <c r="BK371" s="1">
        <v>5.2102490000000001E-3</v>
      </c>
      <c r="BL371" s="1">
        <v>1.4209769999999999E-3</v>
      </c>
      <c r="BM371" s="1">
        <v>4.7365899999999997E-3</v>
      </c>
      <c r="BO371" s="1">
        <v>4.7365899999999997E-3</v>
      </c>
      <c r="BT371" s="1">
        <v>5.6839079999999997E-3</v>
      </c>
      <c r="BZ371" s="1">
        <v>0.22925095600000001</v>
      </c>
      <c r="CB371" s="1">
        <v>2.1788314E-2</v>
      </c>
      <c r="CI371" s="1">
        <v>1.1367815999999999</v>
      </c>
      <c r="CJ371" s="1">
        <v>1.7525382999999999E-2</v>
      </c>
      <c r="CV371" s="1">
        <v>0.133571838</v>
      </c>
      <c r="DB371" s="1">
        <v>5.9681034000000001E-2</v>
      </c>
      <c r="DE371" s="1">
        <v>1.9420019E-2</v>
      </c>
      <c r="DK371" s="1">
        <v>0.59823131699999998</v>
      </c>
      <c r="DT371" s="1">
        <v>2.9366857999999999E-2</v>
      </c>
      <c r="ED371" s="1">
        <v>8.0522030000000008E-3</v>
      </c>
      <c r="EH371" s="1">
        <v>8.3363984000000002E-2</v>
      </c>
      <c r="EL371" s="1">
        <v>5.2102490000000001E-3</v>
      </c>
      <c r="EX371" s="1">
        <v>2.9840517E-2</v>
      </c>
      <c r="FE371" s="1">
        <v>0.24156609000000001</v>
      </c>
      <c r="FM371" s="1">
        <v>0.54565516800000002</v>
      </c>
    </row>
    <row r="372" spans="1:175" x14ac:dyDescent="0.2">
      <c r="A372" s="1" t="s">
        <v>2951</v>
      </c>
      <c r="B372" s="1" t="s">
        <v>55</v>
      </c>
      <c r="C372" s="1" t="s">
        <v>2055</v>
      </c>
      <c r="D372" s="1" t="s">
        <v>2</v>
      </c>
      <c r="E372" s="1">
        <v>33</v>
      </c>
      <c r="F372" s="1" t="s">
        <v>1288</v>
      </c>
      <c r="H372" s="1" t="s">
        <v>2952</v>
      </c>
      <c r="I372" s="1" t="s">
        <v>11</v>
      </c>
      <c r="J372" s="1" t="s">
        <v>1290</v>
      </c>
      <c r="K372" s="1" t="s">
        <v>1291</v>
      </c>
      <c r="L372" s="1" t="s">
        <v>1290</v>
      </c>
      <c r="N372" s="1" t="s">
        <v>2943</v>
      </c>
      <c r="P372" s="1" t="s">
        <v>1269</v>
      </c>
      <c r="Q372" s="1">
        <v>2007</v>
      </c>
      <c r="R372" s="1" t="s">
        <v>2944</v>
      </c>
      <c r="S372" s="1" t="s">
        <v>27</v>
      </c>
      <c r="T372" s="38">
        <v>1</v>
      </c>
      <c r="V372" s="1">
        <v>5.6</v>
      </c>
      <c r="Y372" s="1">
        <v>1.30500624</v>
      </c>
      <c r="Z372" s="1">
        <v>1.77761364</v>
      </c>
      <c r="AA372" s="1">
        <v>1.63837232</v>
      </c>
      <c r="AD372" s="1">
        <v>0.90746428571428595</v>
      </c>
      <c r="AS372" s="1">
        <v>1.52454E-3</v>
      </c>
      <c r="AU372" s="1">
        <v>2.03272E-3</v>
      </c>
      <c r="AV372" s="1">
        <v>1.01636E-3</v>
      </c>
      <c r="AW372" s="1">
        <v>0.18294479999999999</v>
      </c>
      <c r="AY372" s="1">
        <v>2.5917180000000001E-2</v>
      </c>
      <c r="BA372" s="1">
        <v>0.85221785999999999</v>
      </c>
      <c r="BD372" s="1">
        <v>4.0146220000000003E-2</v>
      </c>
      <c r="BG372" s="1">
        <v>0.16566668000000001</v>
      </c>
      <c r="BI372" s="1">
        <v>1.7278120000000001E-2</v>
      </c>
      <c r="BJ372" s="1">
        <v>5.5899799999999996E-3</v>
      </c>
      <c r="BK372" s="1">
        <v>5.0818E-3</v>
      </c>
      <c r="BL372" s="1">
        <v>1.01636E-3</v>
      </c>
      <c r="BM372" s="1">
        <v>4.5736199999999996E-3</v>
      </c>
      <c r="BO372" s="1">
        <v>5.5899799999999996E-3</v>
      </c>
      <c r="BT372" s="1">
        <v>6.6063399999999996E-3</v>
      </c>
      <c r="BZ372" s="1">
        <v>0.25408999999999998</v>
      </c>
      <c r="CB372" s="1">
        <v>2.439264E-2</v>
      </c>
      <c r="CI372" s="1">
        <v>1.2409755600000001</v>
      </c>
      <c r="CJ372" s="1">
        <v>1.7786300000000001E-2</v>
      </c>
      <c r="CV372" s="1">
        <v>0.14229040000000001</v>
      </c>
      <c r="DB372" s="1">
        <v>6.1489780000000001E-2</v>
      </c>
      <c r="DE372" s="1">
        <v>2.439264E-2</v>
      </c>
      <c r="DK372" s="1">
        <v>0.64996222000000003</v>
      </c>
      <c r="DT372" s="1">
        <v>3.3539880000000001E-2</v>
      </c>
      <c r="ED372" s="1">
        <v>8.1308800000000001E-3</v>
      </c>
      <c r="EH372" s="1">
        <v>8.9947860000000004E-2</v>
      </c>
      <c r="EL372" s="1">
        <v>5.0818E-3</v>
      </c>
      <c r="EX372" s="1">
        <v>3.0998979999999999E-2</v>
      </c>
      <c r="FE372" s="1">
        <v>0.26781085999999998</v>
      </c>
      <c r="FM372" s="1">
        <v>0.55289984000000003</v>
      </c>
    </row>
    <row r="373" spans="1:175" x14ac:dyDescent="0.2">
      <c r="A373" s="1" t="s">
        <v>2953</v>
      </c>
      <c r="B373" s="1" t="s">
        <v>55</v>
      </c>
      <c r="C373" s="1" t="s">
        <v>2954</v>
      </c>
      <c r="D373" s="1" t="s">
        <v>2</v>
      </c>
      <c r="E373" s="1">
        <v>21</v>
      </c>
      <c r="F373" s="1" t="s">
        <v>2955</v>
      </c>
      <c r="H373" s="1" t="s">
        <v>2956</v>
      </c>
      <c r="I373" s="1" t="s">
        <v>7</v>
      </c>
      <c r="J373" s="1" t="s">
        <v>2957</v>
      </c>
      <c r="K373" s="1" t="s">
        <v>2958</v>
      </c>
      <c r="L373" s="1" t="s">
        <v>2959</v>
      </c>
      <c r="M373" s="1" t="s">
        <v>2960</v>
      </c>
      <c r="N373" s="1" t="s">
        <v>2961</v>
      </c>
      <c r="O373" s="1">
        <v>30</v>
      </c>
      <c r="Q373" s="1">
        <v>1996</v>
      </c>
      <c r="R373" s="1" t="s">
        <v>2962</v>
      </c>
      <c r="S373" s="1" t="s">
        <v>27</v>
      </c>
      <c r="T373" s="38">
        <v>1</v>
      </c>
      <c r="U373" s="1">
        <v>72.489999999999995</v>
      </c>
      <c r="V373" s="1">
        <v>7.63</v>
      </c>
      <c r="Y373" s="1">
        <v>1.762</v>
      </c>
      <c r="Z373" s="1">
        <v>3.1150000000000002</v>
      </c>
      <c r="AA373" s="1">
        <v>1.458</v>
      </c>
      <c r="AB373" s="1">
        <v>0.10100000000000001</v>
      </c>
      <c r="AF373" s="1">
        <v>1.1779999999999999</v>
      </c>
      <c r="AG373" s="1">
        <v>0.28000000000000003</v>
      </c>
      <c r="AW373" s="1">
        <v>0.23799999999999999</v>
      </c>
      <c r="AY373" s="1">
        <v>2.3E-2</v>
      </c>
      <c r="BA373" s="1">
        <v>1.36</v>
      </c>
      <c r="BG373" s="1">
        <v>0.125</v>
      </c>
      <c r="BH373" s="1">
        <v>1.7000000000000001E-2</v>
      </c>
      <c r="BS373" s="1">
        <v>1.0999999999999999E-2</v>
      </c>
      <c r="BZ373" s="1">
        <v>0.51100000000000001</v>
      </c>
      <c r="CK373" s="1">
        <v>1.7789999999999999</v>
      </c>
      <c r="CM373" s="1">
        <v>0.16600000000000001</v>
      </c>
      <c r="CU373" s="1">
        <v>0.10199999999999999</v>
      </c>
      <c r="CV373" s="1">
        <v>0.317</v>
      </c>
      <c r="DA373" s="1">
        <v>0.19500000000000001</v>
      </c>
      <c r="DB373" s="1">
        <v>2.5000000000000001E-2</v>
      </c>
      <c r="DF373" s="1">
        <v>1.4E-2</v>
      </c>
      <c r="DK373" s="1">
        <v>0.20499999999999999</v>
      </c>
      <c r="DT373" s="1">
        <v>1.6E-2</v>
      </c>
      <c r="ED373" s="1">
        <v>0.01</v>
      </c>
      <c r="EF373" s="1">
        <v>4.5999999999999999E-2</v>
      </c>
      <c r="EK373" s="1">
        <v>8.0000000000000002E-3</v>
      </c>
      <c r="ET373" s="1">
        <v>7.4999999999999997E-2</v>
      </c>
      <c r="EW373" s="1">
        <v>4.7E-2</v>
      </c>
      <c r="FD373" s="1">
        <v>0.36199999999999999</v>
      </c>
      <c r="FG373" s="1">
        <v>1.7000000000000001E-2</v>
      </c>
      <c r="FJ373" s="1">
        <v>7.5999999999999998E-2</v>
      </c>
      <c r="FL373" s="1">
        <v>0.60099999999999998</v>
      </c>
    </row>
    <row r="374" spans="1:175" x14ac:dyDescent="0.2">
      <c r="A374" s="1" t="s">
        <v>2963</v>
      </c>
      <c r="B374" s="1" t="s">
        <v>55</v>
      </c>
      <c r="C374" s="1" t="s">
        <v>2964</v>
      </c>
      <c r="D374" s="1" t="s">
        <v>2</v>
      </c>
      <c r="E374" s="1">
        <v>33</v>
      </c>
      <c r="F374" s="1" t="s">
        <v>1297</v>
      </c>
      <c r="H374" s="1" t="s">
        <v>2965</v>
      </c>
      <c r="I374" s="1" t="s">
        <v>7</v>
      </c>
      <c r="J374" s="1" t="s">
        <v>1299</v>
      </c>
      <c r="K374" s="1" t="s">
        <v>1300</v>
      </c>
      <c r="L374" s="1" t="s">
        <v>1299</v>
      </c>
      <c r="M374" s="1" t="s">
        <v>2966</v>
      </c>
      <c r="N374" s="1" t="s">
        <v>2967</v>
      </c>
      <c r="P374" s="1" t="s">
        <v>2968</v>
      </c>
      <c r="Q374" s="1">
        <v>2002</v>
      </c>
      <c r="R374" s="1" t="s">
        <v>2969</v>
      </c>
      <c r="S374" s="1" t="s">
        <v>27</v>
      </c>
      <c r="T374" s="38">
        <v>1</v>
      </c>
      <c r="U374" s="1">
        <v>71.2</v>
      </c>
      <c r="X374" s="1">
        <v>9.8000000000000007</v>
      </c>
    </row>
    <row r="375" spans="1:175" x14ac:dyDescent="0.2">
      <c r="A375" s="1" t="s">
        <v>2970</v>
      </c>
      <c r="B375" s="1" t="s">
        <v>55</v>
      </c>
      <c r="C375" s="1" t="s">
        <v>2964</v>
      </c>
      <c r="D375" s="1" t="s">
        <v>2</v>
      </c>
      <c r="E375" s="1">
        <v>33</v>
      </c>
      <c r="F375" s="1" t="s">
        <v>1297</v>
      </c>
      <c r="H375" s="1" t="s">
        <v>2965</v>
      </c>
      <c r="I375" s="1" t="s">
        <v>7</v>
      </c>
      <c r="J375" s="1" t="s">
        <v>1299</v>
      </c>
      <c r="K375" s="1" t="s">
        <v>1300</v>
      </c>
      <c r="L375" s="1" t="s">
        <v>1299</v>
      </c>
      <c r="M375" s="1" t="s">
        <v>748</v>
      </c>
      <c r="N375" s="1" t="s">
        <v>2971</v>
      </c>
      <c r="P375" s="1" t="s">
        <v>2968</v>
      </c>
      <c r="Q375" s="1">
        <v>2002</v>
      </c>
      <c r="R375" s="1" t="s">
        <v>2969</v>
      </c>
      <c r="S375" s="1" t="s">
        <v>27</v>
      </c>
      <c r="T375" s="38">
        <v>1</v>
      </c>
      <c r="U375" s="1">
        <v>74.739999999999995</v>
      </c>
      <c r="X375" s="1">
        <v>6.53</v>
      </c>
    </row>
    <row r="376" spans="1:175" x14ac:dyDescent="0.2">
      <c r="A376" s="1" t="s">
        <v>2972</v>
      </c>
      <c r="B376" s="1" t="s">
        <v>55</v>
      </c>
      <c r="C376" s="1" t="s">
        <v>2964</v>
      </c>
      <c r="D376" s="1" t="s">
        <v>2</v>
      </c>
      <c r="E376" s="1">
        <v>33</v>
      </c>
      <c r="F376" s="1" t="s">
        <v>1297</v>
      </c>
      <c r="H376" s="1" t="s">
        <v>2965</v>
      </c>
      <c r="I376" s="1" t="s">
        <v>7</v>
      </c>
      <c r="J376" s="1" t="s">
        <v>1299</v>
      </c>
      <c r="K376" s="1" t="s">
        <v>1300</v>
      </c>
      <c r="L376" s="1" t="s">
        <v>1299</v>
      </c>
      <c r="M376" s="1" t="s">
        <v>2973</v>
      </c>
      <c r="N376" s="1" t="s">
        <v>2974</v>
      </c>
      <c r="P376" s="1" t="s">
        <v>2968</v>
      </c>
      <c r="Q376" s="1">
        <v>2002</v>
      </c>
      <c r="R376" s="1" t="s">
        <v>2969</v>
      </c>
      <c r="S376" s="1" t="s">
        <v>27</v>
      </c>
      <c r="T376" s="38">
        <v>1</v>
      </c>
      <c r="U376" s="1">
        <v>69.91</v>
      </c>
      <c r="X376" s="1">
        <v>10.37</v>
      </c>
    </row>
    <row r="377" spans="1:175" x14ac:dyDescent="0.2">
      <c r="A377" s="1" t="s">
        <v>2975</v>
      </c>
      <c r="B377" s="1" t="s">
        <v>55</v>
      </c>
      <c r="C377" s="1" t="s">
        <v>2583</v>
      </c>
      <c r="D377" s="1" t="s">
        <v>2</v>
      </c>
      <c r="E377" s="1">
        <v>23</v>
      </c>
      <c r="F377" s="1" t="s">
        <v>1734</v>
      </c>
      <c r="H377" s="1" t="s">
        <v>2976</v>
      </c>
      <c r="I377" s="1" t="s">
        <v>7</v>
      </c>
      <c r="J377" s="1" t="s">
        <v>1737</v>
      </c>
      <c r="K377" s="1" t="s">
        <v>1738</v>
      </c>
      <c r="L377" s="1" t="s">
        <v>1737</v>
      </c>
      <c r="P377" s="1" t="s">
        <v>2977</v>
      </c>
      <c r="Q377" s="1">
        <v>2007</v>
      </c>
      <c r="R377" s="1" t="s">
        <v>2978</v>
      </c>
      <c r="S377" s="1" t="s">
        <v>27</v>
      </c>
      <c r="T377" s="38">
        <v>1</v>
      </c>
      <c r="U377" s="1">
        <v>64.099999999999994</v>
      </c>
      <c r="AE377" s="1">
        <v>2.2006700000000001</v>
      </c>
      <c r="AF377" s="1">
        <v>0.59953000000000001</v>
      </c>
      <c r="AG377" s="1">
        <v>0.14216400000000001</v>
      </c>
      <c r="AW377" s="1">
        <v>0.111649</v>
      </c>
      <c r="AY377" s="1">
        <v>1.3283E-2</v>
      </c>
      <c r="BA377" s="1">
        <v>0.37012899999999999</v>
      </c>
      <c r="BD377" s="1">
        <v>1.4718999999999999E-2</v>
      </c>
      <c r="BG377" s="1">
        <v>6.1030000000000001E-2</v>
      </c>
      <c r="BZ377" s="1">
        <v>0.105187</v>
      </c>
      <c r="CK377" s="1">
        <v>0.44049300000000002</v>
      </c>
      <c r="CM377" s="1">
        <v>6.5337999999999993E-2</v>
      </c>
      <c r="DI377" s="1">
        <v>8.9750000000000003E-3</v>
      </c>
      <c r="DN377" s="1">
        <v>0.124573</v>
      </c>
      <c r="DT377" s="1">
        <v>8.9750000000000003E-3</v>
      </c>
      <c r="DZ377" s="1">
        <v>7.1799999999999998E-3</v>
      </c>
      <c r="ED377" s="1">
        <v>5.744E-3</v>
      </c>
      <c r="EH377" s="1">
        <v>4.8823999999999999E-2</v>
      </c>
      <c r="EK377" s="1">
        <v>3.2309999999999999E-3</v>
      </c>
      <c r="EL377" s="1">
        <v>4.3080000000000002E-3</v>
      </c>
      <c r="ER377" s="1">
        <v>1.077E-2</v>
      </c>
      <c r="ET377" s="1">
        <v>2.6207000000000001E-2</v>
      </c>
      <c r="EX377" s="1">
        <v>1.3283E-2</v>
      </c>
      <c r="EY377" s="1">
        <v>2.3694E-2</v>
      </c>
      <c r="FA377" s="1">
        <v>7.8980000000000005E-3</v>
      </c>
      <c r="FB377" s="1">
        <v>5.385E-3</v>
      </c>
      <c r="FE377" s="1">
        <v>0.13498399999999999</v>
      </c>
      <c r="FI377" s="1">
        <v>1.7949999999999999E-3</v>
      </c>
      <c r="FJ377" s="1">
        <v>5.1695999999999999E-2</v>
      </c>
      <c r="FM377" s="1">
        <v>0.36976999999999999</v>
      </c>
      <c r="FQ377" s="1">
        <v>9.3340000000000006E-2</v>
      </c>
      <c r="FS377" s="1">
        <v>7.0004999999999998E-2</v>
      </c>
    </row>
    <row r="378" spans="1:175" x14ac:dyDescent="0.2">
      <c r="A378" s="1" t="s">
        <v>2979</v>
      </c>
      <c r="B378" s="1" t="s">
        <v>55</v>
      </c>
      <c r="C378" s="1" t="s">
        <v>2583</v>
      </c>
      <c r="D378" s="1" t="s">
        <v>2</v>
      </c>
      <c r="E378" s="1">
        <v>23</v>
      </c>
      <c r="F378" s="1" t="s">
        <v>1734</v>
      </c>
      <c r="H378" s="1" t="s">
        <v>2980</v>
      </c>
      <c r="I378" s="1" t="s">
        <v>11</v>
      </c>
      <c r="J378" s="1" t="s">
        <v>1737</v>
      </c>
      <c r="K378" s="1" t="s">
        <v>1738</v>
      </c>
      <c r="L378" s="1" t="s">
        <v>1737</v>
      </c>
      <c r="N378" s="1" t="s">
        <v>2981</v>
      </c>
      <c r="P378" s="1" t="s">
        <v>2977</v>
      </c>
      <c r="Q378" s="1">
        <v>2007</v>
      </c>
      <c r="R378" s="1" t="s">
        <v>2978</v>
      </c>
      <c r="S378" s="1" t="s">
        <v>27</v>
      </c>
      <c r="T378" s="38">
        <v>1</v>
      </c>
      <c r="U378" s="1">
        <v>64.599999999999994</v>
      </c>
      <c r="AE378" s="1">
        <v>2.1947999999999999</v>
      </c>
      <c r="AF378" s="1">
        <v>0.60887999999999998</v>
      </c>
      <c r="AG378" s="1">
        <v>0.14584800000000001</v>
      </c>
      <c r="AW378" s="1">
        <v>7.9296000000000005E-2</v>
      </c>
      <c r="AY378" s="1">
        <v>8.1419999999999999E-3</v>
      </c>
      <c r="BA378" s="1">
        <v>0.33099000000000001</v>
      </c>
      <c r="BD378" s="1">
        <v>6.7260000000000002E-3</v>
      </c>
      <c r="BG378" s="1">
        <v>0.105846</v>
      </c>
      <c r="BZ378" s="1">
        <v>7.8941999999999998E-2</v>
      </c>
      <c r="CK378" s="1">
        <v>0.43577399999999999</v>
      </c>
      <c r="CM378" s="1">
        <v>3.363E-2</v>
      </c>
      <c r="DI378" s="1">
        <v>4.6020000000000002E-3</v>
      </c>
      <c r="DN378" s="1">
        <v>0.12956400000000001</v>
      </c>
      <c r="DT378" s="1">
        <v>7.4339999999999996E-3</v>
      </c>
      <c r="DZ378" s="1">
        <v>4.248E-3</v>
      </c>
      <c r="ED378" s="1">
        <v>3.5399999999999999E-4</v>
      </c>
      <c r="EH378" s="1">
        <v>5.5224000000000002E-2</v>
      </c>
      <c r="EK378" s="1">
        <v>2.4780000000000002E-3</v>
      </c>
      <c r="EL378" s="1">
        <v>3.5400000000000002E-3</v>
      </c>
      <c r="ER378" s="1">
        <v>4.9560000000000003E-3</v>
      </c>
      <c r="ET378" s="1">
        <v>2.2301999999999999E-2</v>
      </c>
      <c r="EX378" s="1">
        <v>1.3098E-2</v>
      </c>
      <c r="EY378" s="1">
        <v>2.3009999999999999E-2</v>
      </c>
      <c r="FA378" s="1">
        <v>4.9560000000000003E-3</v>
      </c>
      <c r="FB378" s="1">
        <v>5.3099999999999996E-3</v>
      </c>
      <c r="FE378" s="1">
        <v>0.140184</v>
      </c>
      <c r="FI378" s="1">
        <v>2.4780000000000002E-3</v>
      </c>
      <c r="FJ378" s="1">
        <v>5.3454000000000002E-2</v>
      </c>
      <c r="FM378" s="1">
        <v>0.43541999999999997</v>
      </c>
      <c r="FQ378" s="1">
        <v>0.101952</v>
      </c>
      <c r="FS378" s="1">
        <v>0.10088999999999999</v>
      </c>
    </row>
    <row r="379" spans="1:175" x14ac:dyDescent="0.2">
      <c r="A379" s="1" t="s">
        <v>2982</v>
      </c>
      <c r="B379" s="1" t="s">
        <v>55</v>
      </c>
      <c r="C379" s="1" t="s">
        <v>2583</v>
      </c>
      <c r="D379" s="1" t="s">
        <v>2</v>
      </c>
      <c r="E379" s="1">
        <v>23</v>
      </c>
      <c r="F379" s="1" t="s">
        <v>1734</v>
      </c>
      <c r="H379" s="1" t="s">
        <v>2983</v>
      </c>
      <c r="I379" s="1" t="s">
        <v>11</v>
      </c>
      <c r="J379" s="1" t="s">
        <v>1737</v>
      </c>
      <c r="K379" s="1" t="s">
        <v>1738</v>
      </c>
      <c r="L379" s="1" t="s">
        <v>1737</v>
      </c>
      <c r="N379" s="1" t="s">
        <v>2984</v>
      </c>
      <c r="P379" s="1" t="s">
        <v>2977</v>
      </c>
      <c r="Q379" s="1">
        <v>2007</v>
      </c>
      <c r="R379" s="1" t="s">
        <v>2978</v>
      </c>
      <c r="S379" s="1" t="s">
        <v>27</v>
      </c>
      <c r="T379" s="38">
        <v>1</v>
      </c>
      <c r="U379" s="1">
        <v>61.3</v>
      </c>
      <c r="AE379" s="1">
        <v>1.4009400000000001</v>
      </c>
      <c r="AF379" s="1">
        <v>0.49923000000000001</v>
      </c>
      <c r="AG379" s="1">
        <v>0.11687400000000001</v>
      </c>
      <c r="AW379" s="1">
        <v>5.9597999999999998E-2</v>
      </c>
      <c r="AY379" s="1">
        <v>5.8050000000000003E-3</v>
      </c>
      <c r="BA379" s="1">
        <v>0.229491</v>
      </c>
      <c r="BD379" s="1">
        <v>5.0309999999999999E-3</v>
      </c>
      <c r="BG379" s="1">
        <v>6.2694E-2</v>
      </c>
      <c r="BZ379" s="1">
        <v>5.1083999999999997E-2</v>
      </c>
      <c r="CK379" s="1">
        <v>0.25851600000000002</v>
      </c>
      <c r="CM379" s="1">
        <v>8.1270000000000005E-3</v>
      </c>
      <c r="DI379" s="1">
        <v>3.483E-3</v>
      </c>
      <c r="DN379" s="1">
        <v>0.10603799999999999</v>
      </c>
      <c r="DT379" s="1">
        <v>3.8700000000000002E-3</v>
      </c>
      <c r="DZ379" s="1">
        <v>3.0959999999999998E-3</v>
      </c>
      <c r="ED379" s="1" t="s">
        <v>15</v>
      </c>
      <c r="EH379" s="1">
        <v>3.483E-2</v>
      </c>
      <c r="EK379" s="1">
        <v>1.5479999999999999E-3</v>
      </c>
      <c r="EL379" s="1">
        <v>1.9350000000000001E-3</v>
      </c>
      <c r="ER379" s="1">
        <v>4.6439999999999997E-3</v>
      </c>
      <c r="ET379" s="1">
        <v>1.7415E-2</v>
      </c>
      <c r="EX379" s="1">
        <v>8.9009999999999992E-3</v>
      </c>
      <c r="EY379" s="1">
        <v>1.5093000000000001E-2</v>
      </c>
      <c r="FA379" s="1">
        <v>5.4180000000000001E-3</v>
      </c>
      <c r="FB379" s="1">
        <v>3.0959999999999998E-3</v>
      </c>
      <c r="FE379" s="1">
        <v>9.7910999999999998E-2</v>
      </c>
      <c r="FI379" s="1">
        <v>1.1609999999999999E-3</v>
      </c>
      <c r="FJ379" s="1">
        <v>3.3281999999999999E-2</v>
      </c>
      <c r="FM379" s="1">
        <v>0.277866</v>
      </c>
      <c r="FQ379" s="1">
        <v>5.5728E-2</v>
      </c>
      <c r="FS379" s="1">
        <v>4.6052999999999997E-2</v>
      </c>
    </row>
    <row r="380" spans="1:175" x14ac:dyDescent="0.2">
      <c r="A380" s="1" t="s">
        <v>2985</v>
      </c>
      <c r="B380" s="1" t="s">
        <v>55</v>
      </c>
      <c r="C380" s="1" t="s">
        <v>2986</v>
      </c>
      <c r="D380" s="1" t="s">
        <v>2</v>
      </c>
      <c r="E380" s="1">
        <v>23</v>
      </c>
      <c r="F380" s="1" t="s">
        <v>1734</v>
      </c>
      <c r="H380" s="1" t="s">
        <v>2976</v>
      </c>
      <c r="I380" s="1" t="s">
        <v>7</v>
      </c>
      <c r="J380" s="1" t="s">
        <v>1737</v>
      </c>
      <c r="K380" s="1" t="s">
        <v>1738</v>
      </c>
      <c r="L380" s="1" t="s">
        <v>1737</v>
      </c>
      <c r="P380" s="1" t="s">
        <v>2977</v>
      </c>
      <c r="Q380" s="1">
        <v>2007</v>
      </c>
      <c r="R380" s="1" t="s">
        <v>2978</v>
      </c>
      <c r="S380" s="1" t="s">
        <v>27</v>
      </c>
      <c r="T380" s="38">
        <v>1</v>
      </c>
      <c r="U380" s="1">
        <v>73.599999999999994</v>
      </c>
      <c r="AE380" s="1">
        <v>1.2645599999999999</v>
      </c>
      <c r="AF380" s="1">
        <v>0.48311999999999999</v>
      </c>
      <c r="AG380" s="1">
        <v>6.6792000000000004E-2</v>
      </c>
      <c r="AW380" s="1">
        <v>5.5176000000000003E-2</v>
      </c>
      <c r="AY380" s="1">
        <v>9.5040000000000003E-3</v>
      </c>
      <c r="BA380" s="1">
        <v>0.23311200000000001</v>
      </c>
      <c r="BD380" s="1">
        <v>1.0031999999999999E-2</v>
      </c>
      <c r="BG380" s="1">
        <v>4.5671999999999997E-2</v>
      </c>
      <c r="BZ380" s="1">
        <v>5.808E-2</v>
      </c>
      <c r="CK380" s="1">
        <v>0.158136</v>
      </c>
      <c r="CM380" s="1">
        <v>2.4024E-2</v>
      </c>
      <c r="DI380" s="1">
        <v>2.9039999999999999E-3</v>
      </c>
      <c r="DN380" s="1">
        <v>5.7551999999999999E-2</v>
      </c>
      <c r="DT380" s="1">
        <v>5.0159999999999996E-3</v>
      </c>
      <c r="DZ380" s="1">
        <v>1.5839999999999999E-3</v>
      </c>
      <c r="ED380" s="1">
        <v>1.5839999999999999E-3</v>
      </c>
      <c r="EH380" s="1">
        <v>1.6896000000000001E-2</v>
      </c>
      <c r="EK380" s="1">
        <v>1.848E-3</v>
      </c>
      <c r="EL380" s="1">
        <v>1.848E-3</v>
      </c>
      <c r="ER380" s="1">
        <v>2.1120000000000002E-3</v>
      </c>
      <c r="ET380" s="1">
        <v>1.6632000000000001E-2</v>
      </c>
      <c r="EX380" s="1">
        <v>8.4480000000000006E-3</v>
      </c>
      <c r="EY380" s="1">
        <v>1.3991999999999999E-2</v>
      </c>
      <c r="FA380" s="1">
        <v>3.1679999999999998E-3</v>
      </c>
      <c r="FB380" s="1">
        <v>3.6960000000000001E-3</v>
      </c>
      <c r="FE380" s="1">
        <v>7.3655999999999999E-2</v>
      </c>
      <c r="FI380" s="1">
        <v>1.0560000000000001E-3</v>
      </c>
      <c r="FJ380" s="1">
        <v>2.0856E-2</v>
      </c>
      <c r="FM380" s="1">
        <v>0.31152000000000002</v>
      </c>
      <c r="FQ380" s="1">
        <v>5.9400000000000001E-2</v>
      </c>
      <c r="FS380" s="1">
        <v>4.5407999999999997E-2</v>
      </c>
    </row>
    <row r="381" spans="1:175" x14ac:dyDescent="0.2">
      <c r="A381" s="1" t="s">
        <v>2987</v>
      </c>
      <c r="B381" s="1" t="s">
        <v>55</v>
      </c>
      <c r="C381" s="1" t="s">
        <v>2986</v>
      </c>
      <c r="D381" s="1" t="s">
        <v>2</v>
      </c>
      <c r="E381" s="1">
        <v>23</v>
      </c>
      <c r="F381" s="1" t="s">
        <v>1734</v>
      </c>
      <c r="H381" s="1" t="s">
        <v>2980</v>
      </c>
      <c r="I381" s="1" t="s">
        <v>11</v>
      </c>
      <c r="J381" s="1" t="s">
        <v>1737</v>
      </c>
      <c r="K381" s="1" t="s">
        <v>1738</v>
      </c>
      <c r="L381" s="1" t="s">
        <v>1737</v>
      </c>
      <c r="N381" s="1" t="s">
        <v>2988</v>
      </c>
      <c r="P381" s="1" t="s">
        <v>2977</v>
      </c>
      <c r="Q381" s="1">
        <v>2007</v>
      </c>
      <c r="R381" s="1" t="s">
        <v>2978</v>
      </c>
      <c r="S381" s="1" t="s">
        <v>27</v>
      </c>
      <c r="T381" s="38">
        <v>1</v>
      </c>
      <c r="U381" s="1">
        <v>68.3</v>
      </c>
      <c r="AE381" s="1">
        <v>1.81324</v>
      </c>
      <c r="AF381" s="1">
        <v>0.62448999999999999</v>
      </c>
      <c r="AG381" s="1">
        <v>0.113803</v>
      </c>
      <c r="AW381" s="1">
        <v>6.2766000000000002E-2</v>
      </c>
      <c r="AY381" s="1">
        <v>1.0461E-2</v>
      </c>
      <c r="BA381" s="1">
        <v>0.30558800000000003</v>
      </c>
      <c r="BD381" s="1">
        <v>1.2045999999999999E-2</v>
      </c>
      <c r="BG381" s="1">
        <v>6.8789000000000003E-2</v>
      </c>
      <c r="BZ381" s="1">
        <v>8.0518000000000006E-2</v>
      </c>
      <c r="CK381" s="1">
        <v>0.241871</v>
      </c>
      <c r="CM381" s="1">
        <v>3.3602E-2</v>
      </c>
      <c r="DI381" s="1">
        <v>3.8040000000000001E-3</v>
      </c>
      <c r="DN381" s="1">
        <v>0.10080600000000001</v>
      </c>
      <c r="DT381" s="1">
        <v>7.2909999999999997E-3</v>
      </c>
      <c r="DZ381" s="1">
        <v>9.5100000000000002E-4</v>
      </c>
      <c r="ED381" s="1">
        <v>2.5360000000000001E-3</v>
      </c>
      <c r="EH381" s="1">
        <v>2.9798000000000002E-2</v>
      </c>
      <c r="EK381" s="1">
        <v>2.8530000000000001E-3</v>
      </c>
      <c r="EL381" s="1">
        <v>2.8530000000000001E-3</v>
      </c>
      <c r="ER381" s="1">
        <v>2.5360000000000001E-3</v>
      </c>
      <c r="ET381" s="1">
        <v>2.4091999999999999E-2</v>
      </c>
      <c r="EX381" s="1">
        <v>1.1412E-2</v>
      </c>
      <c r="EY381" s="1">
        <v>2.1239000000000001E-2</v>
      </c>
      <c r="FA381" s="1">
        <v>5.0720000000000001E-3</v>
      </c>
      <c r="FB381" s="1">
        <v>4.4380000000000001E-3</v>
      </c>
      <c r="FE381" s="1">
        <v>0.114437</v>
      </c>
      <c r="FI381" s="1">
        <v>9.5100000000000002E-4</v>
      </c>
      <c r="FJ381" s="1">
        <v>3.6455000000000001E-2</v>
      </c>
      <c r="FM381" s="1">
        <v>0.44696999999999998</v>
      </c>
      <c r="FQ381" s="1">
        <v>9.6684999999999993E-2</v>
      </c>
      <c r="FS381" s="1">
        <v>8.1152000000000002E-2</v>
      </c>
    </row>
    <row r="382" spans="1:175" x14ac:dyDescent="0.2">
      <c r="A382" s="1" t="s">
        <v>2989</v>
      </c>
      <c r="B382" s="1" t="s">
        <v>55</v>
      </c>
      <c r="C382" s="1" t="s">
        <v>2986</v>
      </c>
      <c r="D382" s="1" t="s">
        <v>2</v>
      </c>
      <c r="E382" s="1">
        <v>23</v>
      </c>
      <c r="F382" s="1" t="s">
        <v>1734</v>
      </c>
      <c r="H382" s="1" t="s">
        <v>2983</v>
      </c>
      <c r="I382" s="1" t="s">
        <v>11</v>
      </c>
      <c r="J382" s="1" t="s">
        <v>1737</v>
      </c>
      <c r="K382" s="1" t="s">
        <v>1738</v>
      </c>
      <c r="L382" s="1" t="s">
        <v>1737</v>
      </c>
      <c r="N382" s="1" t="s">
        <v>2984</v>
      </c>
      <c r="P382" s="1" t="s">
        <v>2977</v>
      </c>
      <c r="Q382" s="1">
        <v>2007</v>
      </c>
      <c r="R382" s="1" t="s">
        <v>2978</v>
      </c>
      <c r="S382" s="1" t="s">
        <v>27</v>
      </c>
      <c r="T382" s="38">
        <v>1</v>
      </c>
      <c r="U382" s="1">
        <v>65.900000000000006</v>
      </c>
      <c r="AE382" s="1">
        <v>1.2514700000000001</v>
      </c>
      <c r="AF382" s="1">
        <v>0.57628999999999997</v>
      </c>
      <c r="AG382" s="1">
        <v>0.11559899999999999</v>
      </c>
      <c r="AW382" s="1">
        <v>3.1031E-2</v>
      </c>
      <c r="AY382" s="1">
        <v>4.0920000000000002E-3</v>
      </c>
      <c r="BA382" s="1">
        <v>0.219945</v>
      </c>
      <c r="BD382" s="1">
        <v>2.0460000000000001E-3</v>
      </c>
      <c r="BG382" s="1">
        <v>8.9682999999999999E-2</v>
      </c>
      <c r="BZ382" s="1">
        <v>3.9897000000000002E-2</v>
      </c>
      <c r="CK382" s="1">
        <v>0.143902</v>
      </c>
      <c r="CM382" s="1">
        <v>0</v>
      </c>
      <c r="DI382" s="1">
        <v>1.364E-3</v>
      </c>
      <c r="DN382" s="1">
        <v>0.108097</v>
      </c>
      <c r="DT382" s="1">
        <v>2.728E-3</v>
      </c>
      <c r="DZ382" s="1">
        <v>1.364E-3</v>
      </c>
      <c r="ED382" s="1" t="s">
        <v>15</v>
      </c>
      <c r="EH382" s="1">
        <v>1.7732000000000001E-2</v>
      </c>
      <c r="EK382" s="1">
        <v>6.8199999999999999E-4</v>
      </c>
      <c r="EL382" s="1">
        <v>1.023E-3</v>
      </c>
      <c r="ER382" s="1">
        <v>6.8199999999999999E-4</v>
      </c>
      <c r="ET382" s="1">
        <v>1.9436999999999999E-2</v>
      </c>
      <c r="EX382" s="1">
        <v>8.5249999999999996E-3</v>
      </c>
      <c r="EY382" s="1">
        <v>1.1594E-2</v>
      </c>
      <c r="FA382" s="1">
        <v>3.4099999999999999E-4</v>
      </c>
      <c r="FB382" s="1">
        <v>4.4330000000000003E-3</v>
      </c>
      <c r="FE382" s="1">
        <v>8.3886000000000002E-2</v>
      </c>
      <c r="FI382" s="1">
        <v>3.4099999999999998E-3</v>
      </c>
      <c r="FJ382" s="1">
        <v>2.0119000000000001E-2</v>
      </c>
      <c r="FM382" s="1">
        <v>0.35634500000000002</v>
      </c>
      <c r="FQ382" s="1">
        <v>4.6717000000000002E-2</v>
      </c>
      <c r="FS382" s="1">
        <v>3.3077000000000002E-2</v>
      </c>
    </row>
    <row r="383" spans="1:175" x14ac:dyDescent="0.2">
      <c r="A383" s="1" t="s">
        <v>2990</v>
      </c>
      <c r="B383" s="1" t="s">
        <v>55</v>
      </c>
      <c r="C383" s="1" t="s">
        <v>2991</v>
      </c>
      <c r="D383" s="1" t="s">
        <v>2</v>
      </c>
      <c r="E383" s="1">
        <v>37</v>
      </c>
      <c r="F383" s="1" t="s">
        <v>2245</v>
      </c>
      <c r="H383" s="1" t="s">
        <v>2992</v>
      </c>
      <c r="I383" s="1" t="s">
        <v>7</v>
      </c>
      <c r="J383" s="1" t="s">
        <v>2247</v>
      </c>
      <c r="K383" s="1" t="s">
        <v>2248</v>
      </c>
      <c r="L383" s="1" t="s">
        <v>2247</v>
      </c>
      <c r="M383" s="1" t="s">
        <v>2993</v>
      </c>
      <c r="O383" s="1">
        <v>3</v>
      </c>
      <c r="Q383" s="1">
        <v>2009</v>
      </c>
      <c r="R383" s="1" t="s">
        <v>2994</v>
      </c>
      <c r="S383" s="1" t="s">
        <v>27</v>
      </c>
      <c r="T383" s="38">
        <v>1</v>
      </c>
      <c r="U383" s="1">
        <v>70.099999999999994</v>
      </c>
      <c r="V383" s="1">
        <v>6</v>
      </c>
    </row>
    <row r="384" spans="1:175" x14ac:dyDescent="0.2">
      <c r="A384" s="1" t="s">
        <v>2995</v>
      </c>
      <c r="B384" s="1" t="s">
        <v>55</v>
      </c>
      <c r="C384" s="1" t="s">
        <v>2991</v>
      </c>
      <c r="D384" s="1" t="s">
        <v>2</v>
      </c>
      <c r="E384" s="1">
        <v>37</v>
      </c>
      <c r="F384" s="1" t="s">
        <v>2245</v>
      </c>
      <c r="H384" s="1" t="s">
        <v>2992</v>
      </c>
      <c r="I384" s="1" t="s">
        <v>7</v>
      </c>
      <c r="J384" s="1" t="s">
        <v>2247</v>
      </c>
      <c r="K384" s="1" t="s">
        <v>2248</v>
      </c>
      <c r="L384" s="1" t="s">
        <v>2247</v>
      </c>
      <c r="M384" s="1" t="s">
        <v>2996</v>
      </c>
      <c r="O384" s="1">
        <v>3</v>
      </c>
      <c r="Q384" s="1">
        <v>2009</v>
      </c>
      <c r="R384" s="1" t="s">
        <v>2994</v>
      </c>
      <c r="S384" s="1" t="s">
        <v>27</v>
      </c>
      <c r="T384" s="38">
        <v>1</v>
      </c>
      <c r="U384" s="1">
        <v>72</v>
      </c>
      <c r="V384" s="1">
        <v>4.9000000000000004</v>
      </c>
    </row>
    <row r="385" spans="1:169" x14ac:dyDescent="0.2">
      <c r="A385" s="1" t="s">
        <v>2997</v>
      </c>
      <c r="B385" s="1" t="s">
        <v>55</v>
      </c>
      <c r="C385" s="1" t="s">
        <v>2991</v>
      </c>
      <c r="D385" s="1" t="s">
        <v>2</v>
      </c>
      <c r="E385" s="1">
        <v>37</v>
      </c>
      <c r="F385" s="1" t="s">
        <v>2245</v>
      </c>
      <c r="H385" s="1" t="s">
        <v>2992</v>
      </c>
      <c r="I385" s="1" t="s">
        <v>7</v>
      </c>
      <c r="J385" s="1" t="s">
        <v>2247</v>
      </c>
      <c r="K385" s="1" t="s">
        <v>2248</v>
      </c>
      <c r="L385" s="1" t="s">
        <v>2247</v>
      </c>
      <c r="M385" s="1" t="s">
        <v>2998</v>
      </c>
      <c r="O385" s="1">
        <v>3</v>
      </c>
      <c r="Q385" s="1">
        <v>2009</v>
      </c>
      <c r="R385" s="1" t="s">
        <v>2994</v>
      </c>
      <c r="S385" s="1" t="s">
        <v>27</v>
      </c>
      <c r="T385" s="38">
        <v>1</v>
      </c>
      <c r="U385" s="1">
        <v>68.5</v>
      </c>
      <c r="V385" s="1">
        <v>7.7</v>
      </c>
    </row>
    <row r="386" spans="1:169" x14ac:dyDescent="0.2">
      <c r="A386" s="1" t="s">
        <v>2999</v>
      </c>
      <c r="B386" s="1" t="s">
        <v>55</v>
      </c>
      <c r="C386" s="1" t="s">
        <v>2991</v>
      </c>
      <c r="D386" s="1" t="s">
        <v>2</v>
      </c>
      <c r="E386" s="1">
        <v>37</v>
      </c>
      <c r="F386" s="1" t="s">
        <v>2245</v>
      </c>
      <c r="H386" s="1" t="s">
        <v>2992</v>
      </c>
      <c r="I386" s="1" t="s">
        <v>7</v>
      </c>
      <c r="J386" s="1" t="s">
        <v>2247</v>
      </c>
      <c r="K386" s="1" t="s">
        <v>2248</v>
      </c>
      <c r="L386" s="1" t="s">
        <v>2247</v>
      </c>
      <c r="M386" s="1" t="s">
        <v>3000</v>
      </c>
      <c r="O386" s="1">
        <v>3</v>
      </c>
      <c r="Q386" s="1">
        <v>2009</v>
      </c>
      <c r="R386" s="1" t="s">
        <v>2994</v>
      </c>
      <c r="S386" s="1" t="s">
        <v>27</v>
      </c>
      <c r="T386" s="38">
        <v>1</v>
      </c>
      <c r="U386" s="1">
        <v>70.099999999999994</v>
      </c>
      <c r="V386" s="1">
        <v>6.3</v>
      </c>
    </row>
    <row r="387" spans="1:169" x14ac:dyDescent="0.2">
      <c r="A387" s="1" t="s">
        <v>3001</v>
      </c>
      <c r="B387" s="1" t="s">
        <v>55</v>
      </c>
      <c r="C387" s="1" t="s">
        <v>2991</v>
      </c>
      <c r="D387" s="1" t="s">
        <v>2</v>
      </c>
      <c r="E387" s="1">
        <v>37</v>
      </c>
      <c r="F387" s="1" t="s">
        <v>2245</v>
      </c>
      <c r="H387" s="1" t="s">
        <v>2992</v>
      </c>
      <c r="I387" s="1" t="s">
        <v>7</v>
      </c>
      <c r="J387" s="1" t="s">
        <v>2247</v>
      </c>
      <c r="K387" s="1" t="s">
        <v>2248</v>
      </c>
      <c r="L387" s="1" t="s">
        <v>2247</v>
      </c>
      <c r="M387" s="1" t="s">
        <v>3002</v>
      </c>
      <c r="O387" s="1">
        <v>3</v>
      </c>
      <c r="Q387" s="1">
        <v>2009</v>
      </c>
      <c r="R387" s="1" t="s">
        <v>2994</v>
      </c>
      <c r="S387" s="1" t="s">
        <v>27</v>
      </c>
      <c r="T387" s="38">
        <v>1</v>
      </c>
      <c r="U387" s="1">
        <v>71.900000000000006</v>
      </c>
      <c r="V387" s="1">
        <v>4.5999999999999996</v>
      </c>
    </row>
    <row r="388" spans="1:169" x14ac:dyDescent="0.2">
      <c r="A388" s="1" t="s">
        <v>3003</v>
      </c>
      <c r="B388" s="1" t="s">
        <v>55</v>
      </c>
      <c r="C388" s="1" t="s">
        <v>2991</v>
      </c>
      <c r="D388" s="1" t="s">
        <v>2</v>
      </c>
      <c r="E388" s="1">
        <v>37</v>
      </c>
      <c r="F388" s="1" t="s">
        <v>2245</v>
      </c>
      <c r="H388" s="1" t="s">
        <v>2992</v>
      </c>
      <c r="I388" s="1" t="s">
        <v>7</v>
      </c>
      <c r="J388" s="1" t="s">
        <v>2247</v>
      </c>
      <c r="K388" s="1" t="s">
        <v>2248</v>
      </c>
      <c r="L388" s="1" t="s">
        <v>2247</v>
      </c>
      <c r="M388" s="1" t="s">
        <v>3004</v>
      </c>
      <c r="O388" s="1">
        <v>3</v>
      </c>
      <c r="Q388" s="1">
        <v>2009</v>
      </c>
      <c r="R388" s="1" t="s">
        <v>2994</v>
      </c>
      <c r="S388" s="1" t="s">
        <v>27</v>
      </c>
      <c r="T388" s="38">
        <v>1</v>
      </c>
      <c r="U388" s="1">
        <v>72.7</v>
      </c>
      <c r="V388" s="1">
        <v>3.8</v>
      </c>
    </row>
    <row r="389" spans="1:169" x14ac:dyDescent="0.2">
      <c r="A389" s="1" t="s">
        <v>3005</v>
      </c>
      <c r="B389" s="1" t="s">
        <v>55</v>
      </c>
      <c r="C389" s="1" t="s">
        <v>2991</v>
      </c>
      <c r="D389" s="1" t="s">
        <v>2</v>
      </c>
      <c r="E389" s="1">
        <v>37</v>
      </c>
      <c r="F389" s="1" t="s">
        <v>2245</v>
      </c>
      <c r="H389" s="1" t="s">
        <v>2992</v>
      </c>
      <c r="I389" s="1" t="s">
        <v>7</v>
      </c>
      <c r="J389" s="1" t="s">
        <v>2247</v>
      </c>
      <c r="K389" s="1" t="s">
        <v>2248</v>
      </c>
      <c r="L389" s="1" t="s">
        <v>2247</v>
      </c>
      <c r="M389" s="1" t="s">
        <v>3006</v>
      </c>
      <c r="O389" s="1">
        <v>3</v>
      </c>
      <c r="Q389" s="1">
        <v>2009</v>
      </c>
      <c r="R389" s="1" t="s">
        <v>2994</v>
      </c>
      <c r="S389" s="1" t="s">
        <v>27</v>
      </c>
      <c r="T389" s="38">
        <v>1</v>
      </c>
      <c r="U389" s="1">
        <v>72.8</v>
      </c>
      <c r="V389" s="1">
        <v>3.5</v>
      </c>
    </row>
    <row r="390" spans="1:169" x14ac:dyDescent="0.2">
      <c r="A390" s="1" t="s">
        <v>3007</v>
      </c>
      <c r="B390" s="1" t="s">
        <v>55</v>
      </c>
      <c r="C390" s="1" t="s">
        <v>2991</v>
      </c>
      <c r="D390" s="1" t="s">
        <v>2</v>
      </c>
      <c r="E390" s="1">
        <v>37</v>
      </c>
      <c r="F390" s="1" t="s">
        <v>2245</v>
      </c>
      <c r="H390" s="1" t="s">
        <v>2992</v>
      </c>
      <c r="I390" s="1" t="s">
        <v>7</v>
      </c>
      <c r="J390" s="1" t="s">
        <v>2247</v>
      </c>
      <c r="K390" s="1" t="s">
        <v>2248</v>
      </c>
      <c r="L390" s="1" t="s">
        <v>2247</v>
      </c>
      <c r="M390" s="1" t="s">
        <v>3008</v>
      </c>
      <c r="O390" s="1">
        <v>3</v>
      </c>
      <c r="Q390" s="1">
        <v>2009</v>
      </c>
      <c r="R390" s="1" t="s">
        <v>2994</v>
      </c>
      <c r="S390" s="1" t="s">
        <v>27</v>
      </c>
      <c r="T390" s="38">
        <v>1</v>
      </c>
      <c r="U390" s="1">
        <v>73.8</v>
      </c>
      <c r="V390" s="1">
        <v>2.9</v>
      </c>
    </row>
    <row r="391" spans="1:169" x14ac:dyDescent="0.2">
      <c r="A391" s="1" t="s">
        <v>3009</v>
      </c>
      <c r="B391" s="1" t="s">
        <v>55</v>
      </c>
      <c r="C391" s="1" t="s">
        <v>2991</v>
      </c>
      <c r="D391" s="1" t="s">
        <v>2</v>
      </c>
      <c r="E391" s="1">
        <v>37</v>
      </c>
      <c r="F391" s="1" t="s">
        <v>2245</v>
      </c>
      <c r="H391" s="1" t="s">
        <v>2992</v>
      </c>
      <c r="I391" s="1" t="s">
        <v>7</v>
      </c>
      <c r="J391" s="1" t="s">
        <v>2247</v>
      </c>
      <c r="K391" s="1" t="s">
        <v>2248</v>
      </c>
      <c r="L391" s="1" t="s">
        <v>2247</v>
      </c>
      <c r="M391" s="1" t="s">
        <v>3010</v>
      </c>
      <c r="O391" s="1">
        <v>3</v>
      </c>
      <c r="Q391" s="1">
        <v>2009</v>
      </c>
      <c r="R391" s="1" t="s">
        <v>2994</v>
      </c>
      <c r="S391" s="1" t="s">
        <v>27</v>
      </c>
      <c r="T391" s="38">
        <v>1</v>
      </c>
      <c r="U391" s="1">
        <v>72.2</v>
      </c>
      <c r="V391" s="1">
        <v>3.2</v>
      </c>
    </row>
    <row r="392" spans="1:169" x14ac:dyDescent="0.2">
      <c r="A392" s="1" t="s">
        <v>3011</v>
      </c>
      <c r="B392" s="1" t="s">
        <v>55</v>
      </c>
      <c r="C392" s="1" t="s">
        <v>2991</v>
      </c>
      <c r="D392" s="1" t="s">
        <v>2</v>
      </c>
      <c r="E392" s="1">
        <v>37</v>
      </c>
      <c r="F392" s="1" t="s">
        <v>2245</v>
      </c>
      <c r="H392" s="1" t="s">
        <v>2992</v>
      </c>
      <c r="I392" s="1" t="s">
        <v>7</v>
      </c>
      <c r="J392" s="1" t="s">
        <v>2247</v>
      </c>
      <c r="K392" s="1" t="s">
        <v>2248</v>
      </c>
      <c r="L392" s="1" t="s">
        <v>2247</v>
      </c>
      <c r="M392" s="1" t="s">
        <v>3012</v>
      </c>
      <c r="O392" s="1">
        <v>3</v>
      </c>
      <c r="Q392" s="1">
        <v>2009</v>
      </c>
      <c r="R392" s="1" t="s">
        <v>2994</v>
      </c>
      <c r="S392" s="1" t="s">
        <v>27</v>
      </c>
      <c r="T392" s="38">
        <v>1</v>
      </c>
      <c r="U392" s="1">
        <v>71</v>
      </c>
      <c r="V392" s="1">
        <v>4.9000000000000004</v>
      </c>
    </row>
    <row r="393" spans="1:169" x14ac:dyDescent="0.2">
      <c r="A393" s="1" t="s">
        <v>3013</v>
      </c>
      <c r="B393" s="1" t="s">
        <v>55</v>
      </c>
      <c r="C393" s="1" t="s">
        <v>3014</v>
      </c>
      <c r="E393" s="1">
        <v>36</v>
      </c>
      <c r="F393" s="1" t="s">
        <v>3015</v>
      </c>
      <c r="H393" s="1" t="s">
        <v>3016</v>
      </c>
      <c r="I393" s="1" t="s">
        <v>7</v>
      </c>
      <c r="J393" s="1" t="s">
        <v>3017</v>
      </c>
      <c r="K393" s="1" t="s">
        <v>3018</v>
      </c>
      <c r="L393" s="1" t="s">
        <v>3017</v>
      </c>
      <c r="N393" s="1" t="s">
        <v>3019</v>
      </c>
      <c r="O393" s="1">
        <v>1</v>
      </c>
      <c r="P393" s="1" t="s">
        <v>3020</v>
      </c>
      <c r="Q393" s="1">
        <v>2010</v>
      </c>
      <c r="R393" s="1" t="s">
        <v>3021</v>
      </c>
      <c r="S393" s="1" t="s">
        <v>27</v>
      </c>
      <c r="T393" s="38">
        <v>1</v>
      </c>
      <c r="U393" s="1">
        <v>71.8</v>
      </c>
      <c r="V393" s="1">
        <v>2.6789999999999998</v>
      </c>
      <c r="Y393" s="1">
        <v>0.36472241253341797</v>
      </c>
      <c r="Z393" s="1">
        <v>0.43315621462735698</v>
      </c>
      <c r="AA393" s="1">
        <v>1.3630768406009699</v>
      </c>
      <c r="AB393" s="1">
        <v>0.195551532238258</v>
      </c>
      <c r="AD393" s="1">
        <v>0.87962187383351997</v>
      </c>
      <c r="AF393" s="1">
        <v>0.12516533480412401</v>
      </c>
      <c r="AG393" s="1">
        <v>0.45078098253839499</v>
      </c>
      <c r="AW393" s="1">
        <v>2.1014130948214301E-2</v>
      </c>
      <c r="AY393" s="1">
        <v>5.8568682525274203E-3</v>
      </c>
      <c r="BA393" s="1">
        <v>0.183987639049466</v>
      </c>
      <c r="BD393" s="1">
        <v>7.3039651877561404E-3</v>
      </c>
      <c r="BG393" s="1">
        <v>6.9438612753099302E-2</v>
      </c>
      <c r="BK393" s="1">
        <v>7.7121196342354204E-2</v>
      </c>
      <c r="BS393" s="1">
        <v>9.1948227973384006E-2</v>
      </c>
      <c r="BV393" s="1">
        <v>2.3650984424552698E-2</v>
      </c>
      <c r="CA393" s="1">
        <v>9.3952865898859293E-3</v>
      </c>
      <c r="CF393" s="1">
        <v>4.9460258248100603E-3</v>
      </c>
      <c r="CQ393" s="1">
        <v>3.2582792927211598E-2</v>
      </c>
      <c r="CZ393" s="1">
        <v>6.4022555932259102E-3</v>
      </c>
      <c r="DD393" s="1">
        <v>3.0936473041453202E-3</v>
      </c>
      <c r="DF393" s="1">
        <v>0.26113699399014101</v>
      </c>
      <c r="DN393" s="1">
        <v>0.25231360712623802</v>
      </c>
      <c r="DT393" s="1">
        <v>4.1247443478670598E-2</v>
      </c>
      <c r="DY393" s="1">
        <v>1.9271242336541299E-2</v>
      </c>
      <c r="DZ393" s="1">
        <v>0.68763082761601102</v>
      </c>
      <c r="ED393" s="1">
        <v>0.13850088366874899</v>
      </c>
      <c r="EH393" s="1">
        <v>2.61901159918758E-2</v>
      </c>
      <c r="EK393" s="1">
        <v>8.5315332690762604E-3</v>
      </c>
      <c r="EP393" s="1">
        <v>8.02284533058958E-2</v>
      </c>
      <c r="EX393" s="1">
        <v>1.0187514995661701E-2</v>
      </c>
      <c r="FE393" s="1">
        <v>3.9553951882197097E-2</v>
      </c>
      <c r="FM393" s="1">
        <v>5.9421266930051099E-2</v>
      </c>
    </row>
    <row r="394" spans="1:169" x14ac:dyDescent="0.2">
      <c r="A394" s="1" t="s">
        <v>3022</v>
      </c>
      <c r="B394" s="1" t="s">
        <v>55</v>
      </c>
      <c r="C394" s="1" t="s">
        <v>3014</v>
      </c>
      <c r="E394" s="1">
        <v>36</v>
      </c>
      <c r="F394" s="1" t="s">
        <v>3015</v>
      </c>
      <c r="H394" s="1" t="s">
        <v>3023</v>
      </c>
      <c r="I394" s="1" t="s">
        <v>11</v>
      </c>
      <c r="J394" s="1" t="s">
        <v>3017</v>
      </c>
      <c r="K394" s="1" t="s">
        <v>3018</v>
      </c>
      <c r="L394" s="1" t="s">
        <v>3017</v>
      </c>
      <c r="N394" s="1" t="s">
        <v>3024</v>
      </c>
      <c r="O394" s="1">
        <v>1</v>
      </c>
      <c r="P394" s="1" t="s">
        <v>3020</v>
      </c>
      <c r="Q394" s="1">
        <v>2010</v>
      </c>
      <c r="R394" s="1" t="s">
        <v>3021</v>
      </c>
      <c r="S394" s="1" t="s">
        <v>27</v>
      </c>
      <c r="T394" s="38">
        <v>1</v>
      </c>
      <c r="U394" s="1">
        <v>68.8</v>
      </c>
      <c r="V394" s="1">
        <v>4.056</v>
      </c>
      <c r="Y394" s="1">
        <v>0.63132114865467703</v>
      </c>
      <c r="Z394" s="1">
        <v>0.686196445104307</v>
      </c>
      <c r="AA394" s="1">
        <v>2.0047909103520301</v>
      </c>
      <c r="AB394" s="1">
        <v>0.31893949588899001</v>
      </c>
      <c r="AD394" s="1">
        <v>0.89774358974359003</v>
      </c>
      <c r="AF394" s="1">
        <v>0.18947808428051899</v>
      </c>
      <c r="AG394" s="1">
        <v>0.66467218165504005</v>
      </c>
      <c r="AW394" s="1">
        <v>7.5795926648448905E-2</v>
      </c>
      <c r="AY394" s="1">
        <v>1.48479655166783E-2</v>
      </c>
      <c r="BA394" s="1">
        <v>0.30002992892139702</v>
      </c>
      <c r="BD394" s="1">
        <v>1.1654794662471201E-2</v>
      </c>
      <c r="BG394" s="1">
        <v>0.11829226922172301</v>
      </c>
      <c r="BI394" s="1">
        <v>1.4665847090828001E-2</v>
      </c>
      <c r="BK394" s="1">
        <v>9.6034416593130195E-2</v>
      </c>
      <c r="BS394" s="1">
        <v>0.21680997603258401</v>
      </c>
      <c r="CA394" s="1">
        <v>2.2874322383355499E-2</v>
      </c>
      <c r="CF394" s="1">
        <v>7.6456432009452497E-3</v>
      </c>
      <c r="CQ394" s="1">
        <v>4.4162356534286303E-2</v>
      </c>
      <c r="CZ394" s="1">
        <v>1.6494509491345399E-2</v>
      </c>
      <c r="DF394" s="1">
        <v>0.37820963746178998</v>
      </c>
      <c r="DN394" s="1">
        <v>0.53195897250259805</v>
      </c>
      <c r="DT394" s="1">
        <v>4.6538154395315903E-2</v>
      </c>
      <c r="DY394" s="1">
        <v>1.9859856264809399E-2</v>
      </c>
      <c r="DZ394" s="1">
        <v>1.1079352964171101</v>
      </c>
      <c r="ED394" s="1">
        <v>6.3098377717159607E-2</v>
      </c>
      <c r="EH394" s="1">
        <v>3.24610151261688E-2</v>
      </c>
      <c r="EK394" s="1">
        <v>1.39208524986968E-2</v>
      </c>
      <c r="EP394" s="1">
        <v>2.2845491734552099E-2</v>
      </c>
      <c r="EX394" s="1">
        <v>9.1558245412700408E-3</v>
      </c>
      <c r="FE394" s="1">
        <v>6.7367259414337896E-2</v>
      </c>
      <c r="FM394" s="1">
        <v>8.9649809740012604E-2</v>
      </c>
    </row>
    <row r="395" spans="1:169" x14ac:dyDescent="0.2">
      <c r="A395" s="1" t="s">
        <v>3025</v>
      </c>
      <c r="B395" s="1" t="s">
        <v>55</v>
      </c>
      <c r="C395" s="1" t="s">
        <v>3014</v>
      </c>
      <c r="E395" s="1">
        <v>36</v>
      </c>
      <c r="F395" s="1" t="s">
        <v>3015</v>
      </c>
      <c r="H395" s="1" t="s">
        <v>3023</v>
      </c>
      <c r="I395" s="1" t="s">
        <v>11</v>
      </c>
      <c r="J395" s="1" t="s">
        <v>3017</v>
      </c>
      <c r="K395" s="1" t="s">
        <v>3018</v>
      </c>
      <c r="L395" s="1" t="s">
        <v>3017</v>
      </c>
      <c r="N395" s="1" t="s">
        <v>3026</v>
      </c>
      <c r="O395" s="1">
        <v>1</v>
      </c>
      <c r="P395" s="1" t="s">
        <v>3020</v>
      </c>
      <c r="Q395" s="1">
        <v>2010</v>
      </c>
      <c r="R395" s="1" t="s">
        <v>3021</v>
      </c>
      <c r="S395" s="1" t="s">
        <v>27</v>
      </c>
      <c r="T395" s="38">
        <v>1</v>
      </c>
      <c r="U395" s="1">
        <v>65.599999999999994</v>
      </c>
      <c r="V395" s="1">
        <v>4.9880000000000004</v>
      </c>
      <c r="Y395" s="1">
        <v>0.762609014658572</v>
      </c>
      <c r="Z395" s="1">
        <v>0.82230506144958004</v>
      </c>
      <c r="AA395" s="1">
        <v>2.5296253403261</v>
      </c>
      <c r="AB395" s="1">
        <v>0.39626458356574601</v>
      </c>
      <c r="AD395" s="1">
        <v>0.90433119486768299</v>
      </c>
      <c r="AF395" s="1">
        <v>0.232034022562216</v>
      </c>
      <c r="AG395" s="1">
        <v>0.847387764532749</v>
      </c>
      <c r="AW395" s="1">
        <v>7.3774737474435303E-2</v>
      </c>
      <c r="AY395" s="1">
        <v>1.88421102390539E-2</v>
      </c>
      <c r="BA395" s="1">
        <v>0.39642186159933102</v>
      </c>
      <c r="BD395" s="1">
        <v>1.5340189394210901E-2</v>
      </c>
      <c r="BG395" s="1">
        <v>0.14427769399079399</v>
      </c>
      <c r="BK395" s="1">
        <v>0.11395242196074699</v>
      </c>
      <c r="BS395" s="1">
        <v>0.25383428522433199</v>
      </c>
      <c r="CA395" s="1">
        <v>2.6087522592012202E-2</v>
      </c>
      <c r="CF395" s="1">
        <v>9.9223506225094293E-3</v>
      </c>
      <c r="CQ395" s="1">
        <v>5.60642105155266E-3</v>
      </c>
      <c r="CZ395" s="1">
        <v>2.63361350995839E-2</v>
      </c>
      <c r="DF395" s="1">
        <v>0.50051834685958996</v>
      </c>
      <c r="DN395" s="1">
        <v>0.46011410711787798</v>
      </c>
      <c r="DT395" s="1">
        <v>8.4887588864815802E-2</v>
      </c>
      <c r="DZ395" s="1">
        <v>1.3522740365742301</v>
      </c>
      <c r="ED395" s="1">
        <v>0.27516078480659401</v>
      </c>
      <c r="EH395" s="1">
        <v>3.4338620107226797E-2</v>
      </c>
      <c r="EK395" s="1">
        <v>1.4522098226975399E-2</v>
      </c>
      <c r="EP395" s="1">
        <v>9.7929516656907994E-2</v>
      </c>
      <c r="EX395" s="1">
        <v>1.2703185516485501E-2</v>
      </c>
      <c r="FE395" s="1">
        <v>8.3907337765671705E-2</v>
      </c>
      <c r="FM395" s="1">
        <v>0.113788064689318</v>
      </c>
    </row>
    <row r="396" spans="1:169" x14ac:dyDescent="0.2">
      <c r="A396" s="1" t="s">
        <v>3027</v>
      </c>
      <c r="B396" s="1" t="s">
        <v>55</v>
      </c>
      <c r="C396" s="1" t="s">
        <v>3014</v>
      </c>
      <c r="E396" s="1">
        <v>36</v>
      </c>
      <c r="F396" s="1" t="s">
        <v>3015</v>
      </c>
      <c r="H396" s="1" t="s">
        <v>3023</v>
      </c>
      <c r="I396" s="1" t="s">
        <v>11</v>
      </c>
      <c r="J396" s="1" t="s">
        <v>3017</v>
      </c>
      <c r="K396" s="1" t="s">
        <v>3018</v>
      </c>
      <c r="L396" s="1" t="s">
        <v>3017</v>
      </c>
      <c r="N396" s="1" t="s">
        <v>3028</v>
      </c>
      <c r="O396" s="1">
        <v>1</v>
      </c>
      <c r="P396" s="1" t="s">
        <v>3020</v>
      </c>
      <c r="Q396" s="1">
        <v>2010</v>
      </c>
      <c r="R396" s="1" t="s">
        <v>3021</v>
      </c>
      <c r="S396" s="1" t="s">
        <v>27</v>
      </c>
      <c r="T396" s="38">
        <v>1</v>
      </c>
      <c r="U396" s="1">
        <v>60.7</v>
      </c>
      <c r="V396" s="1">
        <v>6.4451999999999998</v>
      </c>
      <c r="Y396" s="1">
        <v>0.64583325043251105</v>
      </c>
      <c r="Z396" s="1">
        <v>1.45052626462905</v>
      </c>
      <c r="AA396" s="1">
        <v>3.2275964841478699</v>
      </c>
      <c r="AB396" s="1">
        <v>0.54641560079056395</v>
      </c>
      <c r="AD396" s="1">
        <v>0.91081294606839203</v>
      </c>
      <c r="AF396" s="1">
        <v>0.30179067392542003</v>
      </c>
      <c r="AG396" s="1">
        <v>1.35559135236262</v>
      </c>
      <c r="AW396" s="1">
        <v>2.67160508130189E-2</v>
      </c>
      <c r="AY396" s="1">
        <v>5.2446131556810596E-3</v>
      </c>
      <c r="BA396" s="1">
        <v>0.198724450999859</v>
      </c>
      <c r="BD396" s="1">
        <v>3.8093937222538801E-2</v>
      </c>
      <c r="BG396" s="1">
        <v>8.8123242548929101E-2</v>
      </c>
      <c r="BK396" s="1">
        <v>0.288930955692485</v>
      </c>
      <c r="BS396" s="1">
        <v>0.19039980101519699</v>
      </c>
      <c r="CA396" s="1">
        <v>3.03807778340127E-2</v>
      </c>
      <c r="CF396" s="1">
        <v>1.23027410776054E-2</v>
      </c>
      <c r="CQ396" s="1">
        <v>6.3427629663739299E-2</v>
      </c>
      <c r="CZ396" s="1">
        <v>3.2439745465313197E-2</v>
      </c>
      <c r="DF396" s="1">
        <v>1.1215755695731899</v>
      </c>
      <c r="DN396" s="1">
        <v>0.55539198487193797</v>
      </c>
      <c r="DT396" s="1">
        <v>2.5944539620948E-2</v>
      </c>
      <c r="DZ396" s="1">
        <v>1.3455633588721201</v>
      </c>
      <c r="ED396" s="1">
        <v>0.74124759616534597</v>
      </c>
      <c r="EH396" s="1">
        <v>6.8079747549628006E-2</v>
      </c>
      <c r="EK396" s="1">
        <v>2.00423669525252E-2</v>
      </c>
      <c r="EP396" s="1">
        <v>0.22465109898770899</v>
      </c>
      <c r="EX396" s="1">
        <v>1.29648647518613E-2</v>
      </c>
      <c r="FE396" s="1">
        <v>0.116649828425532</v>
      </c>
      <c r="FM396" s="1">
        <v>0.11706109795026</v>
      </c>
    </row>
    <row r="397" spans="1:169" x14ac:dyDescent="0.2">
      <c r="A397" s="1" t="s">
        <v>3029</v>
      </c>
      <c r="B397" s="1" t="s">
        <v>55</v>
      </c>
      <c r="C397" s="1" t="s">
        <v>3014</v>
      </c>
      <c r="E397" s="1">
        <v>36</v>
      </c>
      <c r="F397" s="1" t="s">
        <v>3015</v>
      </c>
      <c r="H397" s="1" t="s">
        <v>3030</v>
      </c>
      <c r="I397" s="1" t="s">
        <v>11</v>
      </c>
      <c r="J397" s="1" t="s">
        <v>3017</v>
      </c>
      <c r="K397" s="1" t="s">
        <v>3018</v>
      </c>
      <c r="L397" s="1" t="s">
        <v>3017</v>
      </c>
      <c r="N397" s="1" t="s">
        <v>3031</v>
      </c>
      <c r="O397" s="1">
        <v>1</v>
      </c>
      <c r="P397" s="1" t="s">
        <v>3020</v>
      </c>
      <c r="Q397" s="1">
        <v>2010</v>
      </c>
      <c r="R397" s="1" t="s">
        <v>3021</v>
      </c>
      <c r="S397" s="1" t="s">
        <v>27</v>
      </c>
      <c r="T397" s="38">
        <v>1</v>
      </c>
      <c r="U397" s="1">
        <v>57.7</v>
      </c>
      <c r="V397" s="1">
        <v>13.536</v>
      </c>
      <c r="Y397" s="1">
        <v>1.44890429616807</v>
      </c>
      <c r="Z397" s="1">
        <v>1.9948258863564601</v>
      </c>
      <c r="AA397" s="1">
        <v>8.7065112793205106</v>
      </c>
      <c r="AB397" s="1">
        <v>0.33584653815495502</v>
      </c>
      <c r="AD397" s="1">
        <v>0.92243557919621799</v>
      </c>
      <c r="AF397" s="1">
        <v>2.8079213083230199</v>
      </c>
      <c r="AG397" s="1">
        <v>3.67038449914739</v>
      </c>
      <c r="AW397" s="1">
        <v>7.1662797179273596E-2</v>
      </c>
      <c r="AY397" s="1">
        <v>1.9835459531825899E-2</v>
      </c>
      <c r="BA397" s="1">
        <v>0.67642962786873595</v>
      </c>
      <c r="BD397" s="1">
        <v>2.7429413339806599E-2</v>
      </c>
      <c r="BG397" s="1">
        <v>0.32245584151243201</v>
      </c>
      <c r="BI397" s="1">
        <v>5.0204927326050801E-2</v>
      </c>
      <c r="BK397" s="1">
        <v>0.28088622940995001</v>
      </c>
      <c r="BS397" s="1">
        <v>0.203764218768097</v>
      </c>
      <c r="BV397" s="1">
        <v>5.5761853297009598E-2</v>
      </c>
      <c r="CA397" s="1">
        <v>5.9660668543883001E-2</v>
      </c>
      <c r="CQ397" s="1">
        <v>0.59347122826237197</v>
      </c>
      <c r="CZ397" s="1">
        <v>5.0191025912910803E-2</v>
      </c>
      <c r="DF397" s="1">
        <v>1.0319768915721801</v>
      </c>
      <c r="DN397" s="1">
        <v>1.5674854940620699</v>
      </c>
      <c r="DT397" s="1">
        <v>5.3940265631914799E-2</v>
      </c>
      <c r="DY397" s="1">
        <v>0.20647400376069799</v>
      </c>
      <c r="DZ397" s="1">
        <v>1.85290596232993</v>
      </c>
      <c r="ED397" s="1">
        <v>1.72926301856194</v>
      </c>
      <c r="EH397" s="1">
        <v>2.6007616373029001</v>
      </c>
      <c r="EP397" s="1">
        <v>0.168825505759472</v>
      </c>
      <c r="EX397" s="1">
        <v>0.31969572089146597</v>
      </c>
      <c r="FE397" s="1">
        <v>0.105280886509317</v>
      </c>
      <c r="FM397" s="1">
        <v>0.10187878451080799</v>
      </c>
    </row>
    <row r="398" spans="1:169" x14ac:dyDescent="0.2">
      <c r="A398" s="1" t="s">
        <v>3032</v>
      </c>
      <c r="B398" s="1" t="s">
        <v>55</v>
      </c>
      <c r="C398" s="1" t="s">
        <v>3014</v>
      </c>
      <c r="E398" s="1">
        <v>36</v>
      </c>
      <c r="F398" s="1" t="s">
        <v>3015</v>
      </c>
      <c r="H398" s="1" t="s">
        <v>3030</v>
      </c>
      <c r="I398" s="1" t="s">
        <v>11</v>
      </c>
      <c r="J398" s="1" t="s">
        <v>3017</v>
      </c>
      <c r="K398" s="1" t="s">
        <v>3018</v>
      </c>
      <c r="L398" s="1" t="s">
        <v>3017</v>
      </c>
      <c r="N398" s="1" t="s">
        <v>3033</v>
      </c>
      <c r="O398" s="1">
        <v>1</v>
      </c>
      <c r="P398" s="1" t="s">
        <v>3020</v>
      </c>
      <c r="Q398" s="1">
        <v>2010</v>
      </c>
      <c r="R398" s="1" t="s">
        <v>3021</v>
      </c>
      <c r="S398" s="1" t="s">
        <v>27</v>
      </c>
      <c r="T398" s="38">
        <v>1</v>
      </c>
      <c r="U398" s="1">
        <v>54.6</v>
      </c>
      <c r="V398" s="1">
        <v>16.571000000000002</v>
      </c>
      <c r="Y398" s="1">
        <v>1.66775577405112</v>
      </c>
      <c r="Z398" s="1">
        <v>1.86813649252069</v>
      </c>
      <c r="AA398" s="1">
        <v>11.319458105108</v>
      </c>
      <c r="AB398" s="1">
        <v>0.46239262832019301</v>
      </c>
      <c r="AD398" s="1">
        <v>0.92437046647758103</v>
      </c>
      <c r="AF398" s="1">
        <v>3.8043369169243402</v>
      </c>
      <c r="AG398" s="1">
        <v>5.0620547943659799</v>
      </c>
      <c r="AW398" s="1">
        <v>8.4921864783070997E-2</v>
      </c>
      <c r="AY398" s="1">
        <v>7.6077813257657096E-3</v>
      </c>
      <c r="BA398" s="1">
        <v>0.94466995708201396</v>
      </c>
      <c r="BD398" s="1">
        <v>3.3665281633384801E-2</v>
      </c>
      <c r="BG398" s="1">
        <v>0.37582213921958102</v>
      </c>
      <c r="BK398" s="1">
        <v>0.221068750007306</v>
      </c>
      <c r="BS398" s="1">
        <v>0.33193559578853399</v>
      </c>
      <c r="BV398" s="1">
        <v>7.9084935061125794E-2</v>
      </c>
      <c r="CA398" s="1">
        <v>2.4408022440288502E-2</v>
      </c>
      <c r="CQ398" s="1">
        <v>0.63025110277183205</v>
      </c>
      <c r="CZ398" s="1">
        <v>8.9322281623246902E-2</v>
      </c>
      <c r="DF398" s="1">
        <v>0.71313455483566401</v>
      </c>
      <c r="DN398" s="1">
        <v>2.0311472814649401</v>
      </c>
      <c r="DT398" s="1">
        <v>8.4678478830239198E-2</v>
      </c>
      <c r="DY398" s="1">
        <v>0.27195680606501199</v>
      </c>
      <c r="DZ398" s="1">
        <v>2.0348460353978699</v>
      </c>
      <c r="ED398" s="1">
        <v>2.3476631264839098</v>
      </c>
      <c r="EH398" s="1">
        <v>3.6379583957394299</v>
      </c>
      <c r="EP398" s="1">
        <v>0.14626355235478899</v>
      </c>
      <c r="EX398" s="1">
        <v>0.59856590758688599</v>
      </c>
      <c r="FE398" s="1">
        <v>9.6911770889161003E-2</v>
      </c>
      <c r="FM398" s="1">
        <v>6.9466750295746005E-2</v>
      </c>
    </row>
    <row r="399" spans="1:169" x14ac:dyDescent="0.2">
      <c r="A399" s="1" t="s">
        <v>3034</v>
      </c>
      <c r="B399" s="1" t="s">
        <v>55</v>
      </c>
      <c r="C399" s="1" t="s">
        <v>3014</v>
      </c>
      <c r="E399" s="1">
        <v>36</v>
      </c>
      <c r="F399" s="1" t="s">
        <v>3015</v>
      </c>
      <c r="H399" s="1" t="s">
        <v>3030</v>
      </c>
      <c r="I399" s="1" t="s">
        <v>11</v>
      </c>
      <c r="J399" s="1" t="s">
        <v>3017</v>
      </c>
      <c r="K399" s="1" t="s">
        <v>3018</v>
      </c>
      <c r="L399" s="1" t="s">
        <v>3017</v>
      </c>
      <c r="N399" s="1" t="s">
        <v>3035</v>
      </c>
      <c r="O399" s="1">
        <v>1</v>
      </c>
      <c r="P399" s="1" t="s">
        <v>3020</v>
      </c>
      <c r="Q399" s="1">
        <v>2010</v>
      </c>
      <c r="R399" s="1" t="s">
        <v>3021</v>
      </c>
      <c r="S399" s="1" t="s">
        <v>27</v>
      </c>
      <c r="T399" s="38">
        <v>1</v>
      </c>
      <c r="U399" s="1">
        <v>45</v>
      </c>
      <c r="V399" s="1">
        <v>23.594999999999999</v>
      </c>
      <c r="Y399" s="1">
        <v>1.0203921482581</v>
      </c>
      <c r="Z399" s="1">
        <v>2.2914528207551501</v>
      </c>
      <c r="AA399" s="1">
        <v>17.825492207556199</v>
      </c>
      <c r="AB399" s="1">
        <v>0.73379782343051103</v>
      </c>
      <c r="AD399" s="1">
        <v>0.92693939393939395</v>
      </c>
      <c r="AF399" s="1">
        <v>6.32659670680804</v>
      </c>
      <c r="AG399" s="1">
        <v>8.5745025299531097</v>
      </c>
      <c r="AW399" s="1">
        <v>4.5454113361672502E-2</v>
      </c>
      <c r="AY399" s="1">
        <v>1.30305176202341E-2</v>
      </c>
      <c r="BA399" s="1">
        <v>0.61209407501053403</v>
      </c>
      <c r="BD399" s="1">
        <v>1.52890327873607E-2</v>
      </c>
      <c r="BG399" s="1">
        <v>0.111662887167662</v>
      </c>
      <c r="BK399" s="1">
        <v>0.22286152231063699</v>
      </c>
      <c r="BS399" s="1">
        <v>0.18172362831342101</v>
      </c>
      <c r="BV399" s="1">
        <v>7.3806011504056898E-2</v>
      </c>
      <c r="CA399" s="1">
        <v>3.9192910627992399E-2</v>
      </c>
      <c r="CQ399" s="1">
        <v>0.90176091803537906</v>
      </c>
      <c r="CZ399" s="1">
        <v>5.2755222251257297E-2</v>
      </c>
      <c r="DF399" s="1">
        <v>1.0422141300230401</v>
      </c>
      <c r="DN399" s="1">
        <v>3.3060727255503499</v>
      </c>
      <c r="DT399" s="1">
        <v>8.5703264745149499E-2</v>
      </c>
      <c r="DY399" s="1">
        <v>0.35729314143518398</v>
      </c>
      <c r="DZ399" s="1">
        <v>2.4018272225654602</v>
      </c>
      <c r="ED399" s="1">
        <v>4.3766972178056296</v>
      </c>
      <c r="EH399" s="1">
        <v>6.1286884579167298</v>
      </c>
      <c r="EP399" s="1">
        <v>0.165272606794449</v>
      </c>
      <c r="EX399" s="1">
        <v>0.80602932185197995</v>
      </c>
      <c r="FE399" s="1">
        <v>0.111976930132434</v>
      </c>
      <c r="FM399" s="1">
        <v>8.5931318758868697E-2</v>
      </c>
    </row>
    <row r="400" spans="1:169" x14ac:dyDescent="0.2">
      <c r="A400" s="1" t="s">
        <v>3036</v>
      </c>
      <c r="B400" s="1" t="s">
        <v>55</v>
      </c>
      <c r="C400" s="1" t="s">
        <v>3014</v>
      </c>
      <c r="E400" s="1">
        <v>36</v>
      </c>
      <c r="F400" s="1" t="s">
        <v>3015</v>
      </c>
      <c r="H400" s="1" t="s">
        <v>3037</v>
      </c>
      <c r="I400" s="1" t="s">
        <v>11</v>
      </c>
      <c r="J400" s="1" t="s">
        <v>3017</v>
      </c>
      <c r="K400" s="1" t="s">
        <v>3018</v>
      </c>
      <c r="L400" s="1" t="s">
        <v>3017</v>
      </c>
      <c r="N400" s="1" t="s">
        <v>3038</v>
      </c>
      <c r="O400" s="1">
        <v>1</v>
      </c>
      <c r="P400" s="1" t="s">
        <v>3020</v>
      </c>
      <c r="Q400" s="1">
        <v>2010</v>
      </c>
      <c r="R400" s="1" t="s">
        <v>3021</v>
      </c>
      <c r="S400" s="1" t="s">
        <v>27</v>
      </c>
      <c r="T400" s="38">
        <v>1</v>
      </c>
      <c r="U400" s="1">
        <v>64</v>
      </c>
      <c r="V400" s="1">
        <v>4.8959999999999999</v>
      </c>
      <c r="Y400" s="1">
        <v>0.63342352853335004</v>
      </c>
      <c r="Z400" s="1">
        <v>0.52454593427408402</v>
      </c>
      <c r="AA400" s="1">
        <v>3.0703943195227201</v>
      </c>
      <c r="AB400" s="1">
        <v>0.19660421766984201</v>
      </c>
      <c r="AD400" s="1">
        <v>0.90379248366013099</v>
      </c>
      <c r="AF400" s="1">
        <v>0.83323710754274205</v>
      </c>
      <c r="AG400" s="1">
        <v>1.1741100697401901</v>
      </c>
      <c r="AW400" s="1">
        <v>2.3679539049817601E-2</v>
      </c>
      <c r="AY400" s="1">
        <v>4.8398142158355504E-3</v>
      </c>
      <c r="BA400" s="1">
        <v>0.38084498371137099</v>
      </c>
      <c r="BD400" s="1">
        <v>9.7348719000222503E-3</v>
      </c>
      <c r="BG400" s="1">
        <v>0.14682237966947001</v>
      </c>
      <c r="BK400" s="1">
        <v>6.7501939986833903E-2</v>
      </c>
      <c r="BS400" s="1">
        <v>6.2236626791326501E-2</v>
      </c>
      <c r="CQ400" s="1">
        <v>0.34365406382371599</v>
      </c>
      <c r="CZ400" s="1">
        <v>2.1375734219607399E-2</v>
      </c>
      <c r="DF400" s="1">
        <v>9.7279509439434406E-2</v>
      </c>
      <c r="DN400" s="1">
        <v>0.62590471535204895</v>
      </c>
      <c r="DT400" s="1">
        <v>8.1026995466843096E-2</v>
      </c>
      <c r="DY400" s="1">
        <v>2.8596654432118399E-2</v>
      </c>
      <c r="EB400" s="1">
        <v>1.02519856143768</v>
      </c>
      <c r="ED400" s="1">
        <v>0.43647686874053898</v>
      </c>
      <c r="EH400" s="1">
        <v>0.790089600979067</v>
      </c>
      <c r="ES400" s="1">
        <v>9.2519263699963102E-3</v>
      </c>
      <c r="EX400" s="1">
        <v>3.0701490180759201E-2</v>
      </c>
      <c r="FE400" s="1">
        <v>4.31475065636742E-2</v>
      </c>
    </row>
    <row r="401" spans="1:169" x14ac:dyDescent="0.2">
      <c r="A401" s="1" t="s">
        <v>3039</v>
      </c>
      <c r="B401" s="1" t="s">
        <v>55</v>
      </c>
      <c r="C401" s="1" t="s">
        <v>3014</v>
      </c>
      <c r="E401" s="1">
        <v>36</v>
      </c>
      <c r="F401" s="1" t="s">
        <v>3015</v>
      </c>
      <c r="H401" s="1" t="s">
        <v>3037</v>
      </c>
      <c r="I401" s="1" t="s">
        <v>11</v>
      </c>
      <c r="J401" s="1" t="s">
        <v>3017</v>
      </c>
      <c r="K401" s="1" t="s">
        <v>3018</v>
      </c>
      <c r="L401" s="1" t="s">
        <v>3017</v>
      </c>
      <c r="N401" s="1" t="s">
        <v>3040</v>
      </c>
      <c r="O401" s="1">
        <v>1</v>
      </c>
      <c r="P401" s="1" t="s">
        <v>3020</v>
      </c>
      <c r="Q401" s="1">
        <v>2010</v>
      </c>
      <c r="R401" s="1" t="s">
        <v>3021</v>
      </c>
      <c r="S401" s="1" t="s">
        <v>27</v>
      </c>
      <c r="T401" s="38">
        <v>1</v>
      </c>
      <c r="U401" s="1">
        <v>60.8</v>
      </c>
      <c r="V401" s="1">
        <v>9.6432000000000002</v>
      </c>
      <c r="Y401" s="1">
        <v>0.87285596554490696</v>
      </c>
      <c r="Z401" s="1">
        <v>1.16677374935036</v>
      </c>
      <c r="AA401" s="1">
        <v>5.7677622670169502</v>
      </c>
      <c r="AB401" s="1">
        <v>1.0467136180877901</v>
      </c>
      <c r="AD401" s="1">
        <v>0.91817089762734405</v>
      </c>
      <c r="AF401" s="1">
        <v>1.7759874389432799</v>
      </c>
      <c r="AG401" s="1">
        <v>2.9731654889401602</v>
      </c>
      <c r="AW401" s="1">
        <v>2.45546145728196E-2</v>
      </c>
      <c r="AY401" s="1">
        <v>6.1592758039386601E-3</v>
      </c>
      <c r="BA401" s="1">
        <v>0.46774474766047403</v>
      </c>
      <c r="BD401" s="1">
        <v>1.50436107471278E-2</v>
      </c>
      <c r="BG401" s="1">
        <v>0.23330047305043899</v>
      </c>
      <c r="BK401" s="1">
        <v>0.12605324371010901</v>
      </c>
      <c r="BS401" s="1">
        <v>4.3825139971632898E-2</v>
      </c>
      <c r="CQ401" s="1">
        <v>0.84953425739301203</v>
      </c>
      <c r="CZ401" s="1">
        <v>0.138040685607385</v>
      </c>
      <c r="DF401" s="1">
        <v>0.13537366637833001</v>
      </c>
      <c r="DN401" s="1">
        <v>1.3270611427994901</v>
      </c>
      <c r="DT401" s="1">
        <v>0.15580880687102699</v>
      </c>
      <c r="DY401" s="1">
        <v>0.17067276583035701</v>
      </c>
      <c r="EB401" s="1">
        <v>0.82238565714245204</v>
      </c>
      <c r="ED401" s="1">
        <v>1.336355329519</v>
      </c>
      <c r="EH401" s="1">
        <v>1.7528586484009201</v>
      </c>
      <c r="ES401" s="1">
        <v>2.5550916160702999E-2</v>
      </c>
      <c r="EX401" s="1">
        <v>0.15394020975063799</v>
      </c>
      <c r="FE401" s="1">
        <v>2.3128790542356999E-2</v>
      </c>
    </row>
    <row r="402" spans="1:169" x14ac:dyDescent="0.2">
      <c r="A402" s="1" t="s">
        <v>3041</v>
      </c>
      <c r="B402" s="1" t="s">
        <v>55</v>
      </c>
      <c r="C402" s="1" t="s">
        <v>3014</v>
      </c>
      <c r="E402" s="1">
        <v>36</v>
      </c>
      <c r="F402" s="1" t="s">
        <v>3015</v>
      </c>
      <c r="H402" s="1" t="s">
        <v>3037</v>
      </c>
      <c r="I402" s="1" t="s">
        <v>11</v>
      </c>
      <c r="J402" s="1" t="s">
        <v>3017</v>
      </c>
      <c r="K402" s="1" t="s">
        <v>3018</v>
      </c>
      <c r="L402" s="1" t="s">
        <v>3017</v>
      </c>
      <c r="N402" s="1" t="s">
        <v>3042</v>
      </c>
      <c r="O402" s="1">
        <v>1</v>
      </c>
      <c r="P402" s="1" t="s">
        <v>3020</v>
      </c>
      <c r="Q402" s="1">
        <v>2010</v>
      </c>
      <c r="R402" s="1" t="s">
        <v>3021</v>
      </c>
      <c r="S402" s="1" t="s">
        <v>27</v>
      </c>
      <c r="T402" s="38">
        <v>1</v>
      </c>
      <c r="U402" s="1">
        <v>58.8</v>
      </c>
      <c r="V402" s="1">
        <v>11.000400000000001</v>
      </c>
      <c r="Y402" s="1">
        <v>0.95438041081015201</v>
      </c>
      <c r="Z402" s="1">
        <v>1.45900264401184</v>
      </c>
      <c r="AA402" s="1">
        <v>6.6080734968351003</v>
      </c>
      <c r="AB402" s="1">
        <v>1.09891664834291</v>
      </c>
      <c r="AD402" s="1">
        <v>0.92000047271008301</v>
      </c>
      <c r="AF402" s="1">
        <v>1.07779641331863</v>
      </c>
      <c r="AG402" s="1">
        <v>4.0780966972170098</v>
      </c>
      <c r="AW402" s="1">
        <v>2.00295689746539E-2</v>
      </c>
      <c r="AY402" s="1">
        <v>4.01937124064546E-3</v>
      </c>
      <c r="BA402" s="1">
        <v>0.51904713320061202</v>
      </c>
      <c r="BD402" s="1">
        <v>1.31375092931719E-2</v>
      </c>
      <c r="BG402" s="1">
        <v>0.26440331507766401</v>
      </c>
      <c r="BK402" s="1">
        <v>0.13374351302340501</v>
      </c>
      <c r="BS402" s="1">
        <v>4.6044488938395599E-2</v>
      </c>
      <c r="CQ402" s="1">
        <v>0.94485148263270102</v>
      </c>
      <c r="CZ402" s="1">
        <v>0.42817767840879201</v>
      </c>
      <c r="DF402" s="1">
        <v>3.9928994031950701E-2</v>
      </c>
      <c r="DN402" s="1">
        <v>0.61551583415561295</v>
      </c>
      <c r="DT402" s="1">
        <v>0.89271942923082204</v>
      </c>
      <c r="DY402" s="1">
        <v>0.41941040342868202</v>
      </c>
      <c r="EB402" s="1">
        <v>1.0096278793042599</v>
      </c>
      <c r="ED402" s="1">
        <v>1.4967707937072801</v>
      </c>
      <c r="EH402" s="1">
        <v>1.07779641331863</v>
      </c>
      <c r="ES402" s="1">
        <v>2.3142103566521501E-2</v>
      </c>
      <c r="EX402" s="1">
        <v>1.07309064012329</v>
      </c>
    </row>
    <row r="403" spans="1:169" x14ac:dyDescent="0.2">
      <c r="A403" s="1" t="s">
        <v>3043</v>
      </c>
      <c r="B403" s="1" t="s">
        <v>55</v>
      </c>
      <c r="C403" s="1" t="s">
        <v>3014</v>
      </c>
      <c r="E403" s="1">
        <v>36</v>
      </c>
      <c r="F403" s="1" t="s">
        <v>3015</v>
      </c>
      <c r="H403" s="1" t="s">
        <v>3044</v>
      </c>
      <c r="I403" s="1" t="s">
        <v>11</v>
      </c>
      <c r="J403" s="1" t="s">
        <v>3017</v>
      </c>
      <c r="K403" s="1" t="s">
        <v>3018</v>
      </c>
      <c r="L403" s="1" t="s">
        <v>3017</v>
      </c>
      <c r="N403" s="1" t="s">
        <v>3045</v>
      </c>
      <c r="O403" s="1">
        <v>1</v>
      </c>
      <c r="P403" s="1" t="s">
        <v>3020</v>
      </c>
      <c r="Q403" s="1">
        <v>2010</v>
      </c>
      <c r="R403" s="1" t="s">
        <v>3021</v>
      </c>
      <c r="S403" s="1" t="s">
        <v>27</v>
      </c>
      <c r="T403" s="38">
        <v>1</v>
      </c>
      <c r="U403" s="1">
        <v>60.1</v>
      </c>
      <c r="V403" s="1">
        <v>7.4214000000000002</v>
      </c>
      <c r="Y403" s="1">
        <v>1.04659850696734</v>
      </c>
      <c r="Z403" s="1">
        <v>1.0780745423495901</v>
      </c>
      <c r="AA403" s="1">
        <v>3.8554631260178001</v>
      </c>
      <c r="AB403" s="1">
        <v>0.80103002466526396</v>
      </c>
      <c r="AD403" s="1">
        <v>0.91373139838844397</v>
      </c>
      <c r="AF403" s="1">
        <v>0.358239434628631</v>
      </c>
      <c r="AG403" s="1">
        <v>1.4997037662695401</v>
      </c>
      <c r="AW403" s="1">
        <v>6.9913311056367902E-2</v>
      </c>
      <c r="AY403" s="1">
        <v>2.0235051191968799E-2</v>
      </c>
      <c r="BA403" s="1">
        <v>0.50130576492160395</v>
      </c>
      <c r="BD403" s="1">
        <v>3.6630965614282397E-2</v>
      </c>
      <c r="BG403" s="1">
        <v>0.20264111949991601</v>
      </c>
      <c r="BK403" s="1">
        <v>0.21587229468320601</v>
      </c>
      <c r="BS403" s="1">
        <v>0.24860306154371101</v>
      </c>
      <c r="BV403" s="1">
        <v>7.3487242721889098E-2</v>
      </c>
      <c r="CA403" s="1">
        <v>3.2460027597089797E-2</v>
      </c>
      <c r="CQ403" s="1">
        <v>0.18150061035137999</v>
      </c>
      <c r="CZ403" s="1">
        <v>3.1403979286959101E-2</v>
      </c>
      <c r="DF403" s="1">
        <v>0.51061962084856305</v>
      </c>
      <c r="DN403" s="1">
        <v>0.83924262072973199</v>
      </c>
      <c r="DT403" s="1">
        <v>4.2997771137153903E-2</v>
      </c>
      <c r="DY403" s="1">
        <v>6.7813708471897494E-2</v>
      </c>
      <c r="DZ403" s="1">
        <v>1.8013805523655</v>
      </c>
      <c r="ED403" s="1">
        <v>0.46872826219159303</v>
      </c>
      <c r="EH403" s="1">
        <v>0.18817062119865399</v>
      </c>
      <c r="EK403" s="1">
        <v>0.11872206520491101</v>
      </c>
      <c r="EP403" s="1">
        <v>0.12832566428223399</v>
      </c>
      <c r="EX403" s="1">
        <v>3.00130470061481E-2</v>
      </c>
      <c r="FE403" s="1">
        <v>9.2740604974108895E-2</v>
      </c>
      <c r="FM403" s="1">
        <v>7.7328208455867797E-2</v>
      </c>
    </row>
    <row r="404" spans="1:169" x14ac:dyDescent="0.2">
      <c r="A404" s="1" t="s">
        <v>3046</v>
      </c>
      <c r="B404" s="1" t="s">
        <v>55</v>
      </c>
      <c r="C404" s="1" t="s">
        <v>3014</v>
      </c>
      <c r="E404" s="1">
        <v>36</v>
      </c>
      <c r="F404" s="1" t="s">
        <v>3015</v>
      </c>
      <c r="H404" s="1" t="s">
        <v>3044</v>
      </c>
      <c r="I404" s="1" t="s">
        <v>11</v>
      </c>
      <c r="J404" s="1" t="s">
        <v>3017</v>
      </c>
      <c r="K404" s="1" t="s">
        <v>3018</v>
      </c>
      <c r="L404" s="1" t="s">
        <v>3017</v>
      </c>
      <c r="N404" s="1" t="s">
        <v>3047</v>
      </c>
      <c r="O404" s="1">
        <v>1</v>
      </c>
      <c r="P404" s="1" t="s">
        <v>3020</v>
      </c>
      <c r="Q404" s="1">
        <v>2010</v>
      </c>
      <c r="R404" s="1" t="s">
        <v>3021</v>
      </c>
      <c r="S404" s="1" t="s">
        <v>27</v>
      </c>
      <c r="T404" s="38">
        <v>1</v>
      </c>
      <c r="U404" s="1">
        <v>60</v>
      </c>
      <c r="V404" s="1">
        <v>7.8</v>
      </c>
      <c r="Y404" s="1">
        <v>0.97100081655901704</v>
      </c>
      <c r="Z404" s="1">
        <v>1.78400690821948</v>
      </c>
      <c r="AA404" s="1">
        <v>3.5562639833106702</v>
      </c>
      <c r="AB404" s="1">
        <v>0.82312829191083603</v>
      </c>
      <c r="AD404" s="1">
        <v>0.91466666666666696</v>
      </c>
      <c r="AF404" s="1">
        <v>0.28426357162014099</v>
      </c>
      <c r="AG404" s="1">
        <v>1.48203702332716</v>
      </c>
      <c r="AW404" s="1">
        <v>6.2149587475983599E-2</v>
      </c>
      <c r="AY404" s="1">
        <v>1.7715446725278802E-2</v>
      </c>
      <c r="BA404" s="1">
        <v>0.41862853962743402</v>
      </c>
      <c r="BD404" s="1">
        <v>7.8392829358526397E-3</v>
      </c>
      <c r="BG404" s="1">
        <v>0.14788042987106501</v>
      </c>
      <c r="BK404" s="1">
        <v>0.31678752992340298</v>
      </c>
      <c r="BS404" s="1">
        <v>0.26541266358072102</v>
      </c>
      <c r="BV404" s="1">
        <v>7.7204212892367396E-2</v>
      </c>
      <c r="CA404" s="1">
        <v>3.5522759748784202E-2</v>
      </c>
      <c r="CQ404" s="1">
        <v>0.10998072954293101</v>
      </c>
      <c r="CZ404" s="1">
        <v>1.5778967377370501E-2</v>
      </c>
      <c r="DF404" s="1">
        <v>1.2801075750773001</v>
      </c>
      <c r="DN404" s="1">
        <v>0.62253834318152401</v>
      </c>
      <c r="DT404" s="1">
        <v>3.2983160863591501E-2</v>
      </c>
      <c r="DY404" s="1">
        <v>3.59816729316162E-2</v>
      </c>
      <c r="DZ404" s="1">
        <v>1.54537115133737</v>
      </c>
      <c r="ED404" s="1">
        <v>0.80788123984771099</v>
      </c>
      <c r="EH404" s="1">
        <v>0.109192429060689</v>
      </c>
      <c r="EK404" s="1">
        <v>7.8850404657076906E-3</v>
      </c>
      <c r="EP404" s="1">
        <v>0.208610564094379</v>
      </c>
      <c r="EX404" s="1">
        <v>1.07492389686251E-2</v>
      </c>
      <c r="FE404" s="1">
        <v>9.8864221190834795E-2</v>
      </c>
      <c r="FM404" s="1">
        <v>7.6206921368616898E-2</v>
      </c>
    </row>
    <row r="405" spans="1:169" x14ac:dyDescent="0.2">
      <c r="A405" s="1" t="s">
        <v>3048</v>
      </c>
      <c r="B405" s="1" t="s">
        <v>55</v>
      </c>
      <c r="C405" s="1" t="s">
        <v>3014</v>
      </c>
      <c r="E405" s="1">
        <v>36</v>
      </c>
      <c r="F405" s="1" t="s">
        <v>3015</v>
      </c>
      <c r="H405" s="1" t="s">
        <v>3044</v>
      </c>
      <c r="I405" s="1" t="s">
        <v>11</v>
      </c>
      <c r="J405" s="1" t="s">
        <v>3017</v>
      </c>
      <c r="K405" s="1" t="s">
        <v>3018</v>
      </c>
      <c r="L405" s="1" t="s">
        <v>3017</v>
      </c>
      <c r="N405" s="1" t="s">
        <v>3049</v>
      </c>
      <c r="O405" s="1">
        <v>1</v>
      </c>
      <c r="P405" s="1" t="s">
        <v>3020</v>
      </c>
      <c r="Q405" s="1">
        <v>2010</v>
      </c>
      <c r="R405" s="1" t="s">
        <v>3021</v>
      </c>
      <c r="S405" s="1" t="s">
        <v>27</v>
      </c>
      <c r="T405" s="38">
        <v>1</v>
      </c>
      <c r="U405" s="1">
        <v>60.2</v>
      </c>
      <c r="V405" s="1">
        <v>7.4425999999999997</v>
      </c>
      <c r="Y405" s="1">
        <v>0.86012868453666202</v>
      </c>
      <c r="Z405" s="1">
        <v>1.7536336994452999</v>
      </c>
      <c r="AA405" s="1">
        <v>3.2276564254834601</v>
      </c>
      <c r="AB405" s="1">
        <v>0.95952699053458101</v>
      </c>
      <c r="AD405" s="1">
        <v>0.91378628436299103</v>
      </c>
      <c r="AF405" s="1">
        <v>0.22672210243517699</v>
      </c>
      <c r="AG405" s="1">
        <v>1.3480116127477499</v>
      </c>
      <c r="AW405" s="1">
        <v>4.9818312707688099E-2</v>
      </c>
      <c r="AY405" s="1">
        <v>1.2834159048888299E-2</v>
      </c>
      <c r="BA405" s="1">
        <v>0.32791449613768697</v>
      </c>
      <c r="BD405" s="1">
        <v>8.8313830659711191E-3</v>
      </c>
      <c r="BG405" s="1">
        <v>0.14777528622630101</v>
      </c>
      <c r="BK405" s="1">
        <v>0.31295504735012702</v>
      </c>
      <c r="BS405" s="1">
        <v>0.25838466583818898</v>
      </c>
      <c r="BV405" s="1">
        <v>7.5619576504519406E-2</v>
      </c>
      <c r="CA405" s="1">
        <v>3.9279541006149103E-2</v>
      </c>
      <c r="CQ405" s="1">
        <v>7.6245745387794703E-2</v>
      </c>
      <c r="CZ405" s="1">
        <v>1.6408499027109402E-2</v>
      </c>
      <c r="DF405" s="1">
        <v>1.28769567168154</v>
      </c>
      <c r="DN405" s="1">
        <v>0.34775408253581502</v>
      </c>
      <c r="DT405" s="1">
        <v>2.6656355071224599E-2</v>
      </c>
      <c r="DY405" s="1">
        <v>4.2530917651255502E-2</v>
      </c>
      <c r="DZ405" s="1">
        <v>1.4237109444115801</v>
      </c>
      <c r="ED405" s="1">
        <v>0.95310543968741002</v>
      </c>
      <c r="EH405" s="1">
        <v>6.9390974195657207E-2</v>
      </c>
      <c r="EK405" s="1">
        <v>8.8829314381384701E-3</v>
      </c>
      <c r="EP405" s="1">
        <v>0.18668084823769501</v>
      </c>
      <c r="EX405" s="1">
        <v>1.16128040151613E-2</v>
      </c>
      <c r="FE405" s="1">
        <v>8.2631787946719201E-2</v>
      </c>
      <c r="FM405" s="1">
        <v>7.4699340292800398E-2</v>
      </c>
    </row>
    <row r="406" spans="1:169" x14ac:dyDescent="0.2">
      <c r="A406" s="1" t="s">
        <v>3050</v>
      </c>
      <c r="B406" s="1" t="s">
        <v>55</v>
      </c>
      <c r="C406" s="1" t="s">
        <v>236</v>
      </c>
      <c r="E406" s="1">
        <v>23</v>
      </c>
      <c r="F406" s="1" t="s">
        <v>2833</v>
      </c>
      <c r="G406" s="1" t="s">
        <v>3051</v>
      </c>
      <c r="H406" s="1" t="s">
        <v>3052</v>
      </c>
      <c r="I406" s="1" t="s">
        <v>7</v>
      </c>
      <c r="J406" s="1" t="s">
        <v>2835</v>
      </c>
      <c r="K406" s="1" t="s">
        <v>2836</v>
      </c>
      <c r="L406" s="1" t="s">
        <v>2835</v>
      </c>
      <c r="P406" s="1" t="s">
        <v>3053</v>
      </c>
      <c r="Q406" s="1">
        <v>2008</v>
      </c>
      <c r="R406" s="1" t="s">
        <v>3054</v>
      </c>
      <c r="S406" s="1" t="s">
        <v>27</v>
      </c>
      <c r="T406" s="38">
        <v>1</v>
      </c>
      <c r="U406" s="1" t="s">
        <v>3055</v>
      </c>
      <c r="W406" s="1" t="s">
        <v>3057</v>
      </c>
      <c r="AW406" s="1" t="s">
        <v>5523</v>
      </c>
      <c r="BA406" s="1" t="s">
        <v>5524</v>
      </c>
      <c r="BG406" s="1" t="s">
        <v>5525</v>
      </c>
      <c r="CQ406" s="1" t="s">
        <v>5526</v>
      </c>
      <c r="DN406" s="1" t="s">
        <v>5527</v>
      </c>
      <c r="ED406" s="1" t="s">
        <v>5528</v>
      </c>
      <c r="EH406" s="1" t="s">
        <v>5529</v>
      </c>
      <c r="FE406" s="1">
        <v>0.41</v>
      </c>
      <c r="FJ406" s="1" t="s">
        <v>5530</v>
      </c>
    </row>
    <row r="407" spans="1:169" x14ac:dyDescent="0.2">
      <c r="A407" s="1" t="s">
        <v>3060</v>
      </c>
      <c r="B407" s="1" t="s">
        <v>55</v>
      </c>
      <c r="C407" s="1" t="s">
        <v>3061</v>
      </c>
      <c r="D407" s="1" t="s">
        <v>2</v>
      </c>
      <c r="E407" s="1">
        <v>23</v>
      </c>
      <c r="F407" s="1" t="s">
        <v>1471</v>
      </c>
      <c r="G407" s="1" t="s">
        <v>3062</v>
      </c>
      <c r="H407" s="1" t="s">
        <v>3063</v>
      </c>
      <c r="I407" s="1" t="s">
        <v>7</v>
      </c>
      <c r="J407" s="1" t="s">
        <v>3064</v>
      </c>
      <c r="K407" s="1" t="s">
        <v>1474</v>
      </c>
      <c r="L407" s="1" t="s">
        <v>1473</v>
      </c>
      <c r="P407" s="1" t="s">
        <v>3053</v>
      </c>
      <c r="Q407" s="1">
        <v>2008</v>
      </c>
      <c r="R407" s="1" t="s">
        <v>3054</v>
      </c>
      <c r="S407" s="1" t="s">
        <v>27</v>
      </c>
      <c r="T407" s="38">
        <v>1</v>
      </c>
      <c r="U407" s="1" t="s">
        <v>3065</v>
      </c>
      <c r="W407" s="1" t="s">
        <v>3067</v>
      </c>
      <c r="AW407" s="1" t="s">
        <v>5531</v>
      </c>
      <c r="BA407" s="1" t="s">
        <v>5532</v>
      </c>
      <c r="BG407" s="1" t="s">
        <v>5533</v>
      </c>
      <c r="CQ407" s="1">
        <v>12.2</v>
      </c>
      <c r="DN407" s="1" t="s">
        <v>5534</v>
      </c>
      <c r="ED407" s="1" t="s">
        <v>5535</v>
      </c>
      <c r="EH407" s="1" t="s">
        <v>5529</v>
      </c>
      <c r="FE407" s="1" t="s">
        <v>5529</v>
      </c>
      <c r="FJ407" s="1" t="s">
        <v>5536</v>
      </c>
    </row>
    <row r="408" spans="1:169" x14ac:dyDescent="0.2">
      <c r="A408" s="1" t="s">
        <v>3071</v>
      </c>
      <c r="B408" s="1" t="s">
        <v>55</v>
      </c>
      <c r="C408" s="1" t="s">
        <v>3061</v>
      </c>
      <c r="D408" s="1" t="s">
        <v>2</v>
      </c>
      <c r="E408" s="1">
        <v>12</v>
      </c>
      <c r="F408" s="1" t="s">
        <v>2515</v>
      </c>
      <c r="G408" s="1" t="s">
        <v>3072</v>
      </c>
      <c r="H408" s="1" t="s">
        <v>3073</v>
      </c>
      <c r="I408" s="1" t="s">
        <v>7</v>
      </c>
      <c r="J408" s="1" t="s">
        <v>3074</v>
      </c>
      <c r="K408" s="1" t="s">
        <v>2519</v>
      </c>
      <c r="L408" s="1" t="s">
        <v>2520</v>
      </c>
      <c r="P408" s="1" t="s">
        <v>3053</v>
      </c>
      <c r="Q408" s="1">
        <v>2008</v>
      </c>
      <c r="R408" s="1" t="s">
        <v>3054</v>
      </c>
      <c r="S408" s="1" t="s">
        <v>27</v>
      </c>
      <c r="T408" s="38">
        <v>1</v>
      </c>
      <c r="U408" s="1" t="s">
        <v>3075</v>
      </c>
      <c r="W408" s="1" t="s">
        <v>3077</v>
      </c>
      <c r="AW408" s="1" t="s">
        <v>5537</v>
      </c>
      <c r="BA408" s="1" t="s">
        <v>5534</v>
      </c>
      <c r="BG408" s="1" t="s">
        <v>5538</v>
      </c>
      <c r="CQ408" s="1">
        <v>0.1</v>
      </c>
      <c r="DN408" s="1" t="s">
        <v>5539</v>
      </c>
      <c r="ED408" s="1" t="s">
        <v>5540</v>
      </c>
      <c r="EH408" s="1" t="s">
        <v>5529</v>
      </c>
      <c r="FE408" s="1">
        <v>0.01</v>
      </c>
      <c r="FJ408" s="1" t="s">
        <v>5541</v>
      </c>
    </row>
    <row r="409" spans="1:169" x14ac:dyDescent="0.2">
      <c r="A409" s="1" t="s">
        <v>3081</v>
      </c>
      <c r="B409" s="1" t="s">
        <v>55</v>
      </c>
      <c r="C409" s="1" t="s">
        <v>3061</v>
      </c>
      <c r="D409" s="1" t="s">
        <v>2</v>
      </c>
      <c r="E409" s="1">
        <v>13</v>
      </c>
      <c r="F409" s="1" t="s">
        <v>3082</v>
      </c>
      <c r="G409" s="1" t="s">
        <v>3083</v>
      </c>
      <c r="H409" s="1" t="s">
        <v>3084</v>
      </c>
      <c r="I409" s="1" t="s">
        <v>7</v>
      </c>
      <c r="J409" s="1" t="s">
        <v>3085</v>
      </c>
      <c r="K409" s="1" t="s">
        <v>3086</v>
      </c>
      <c r="L409" s="1" t="s">
        <v>3085</v>
      </c>
      <c r="P409" s="1" t="s">
        <v>3053</v>
      </c>
      <c r="Q409" s="1">
        <v>2008</v>
      </c>
      <c r="R409" s="1" t="s">
        <v>3054</v>
      </c>
      <c r="S409" s="1" t="s">
        <v>27</v>
      </c>
      <c r="T409" s="38">
        <v>1</v>
      </c>
      <c r="U409" s="1" t="s">
        <v>3087</v>
      </c>
      <c r="W409" s="1" t="s">
        <v>3089</v>
      </c>
      <c r="AW409" s="1" t="s">
        <v>5531</v>
      </c>
      <c r="BA409" s="1" t="s">
        <v>5542</v>
      </c>
      <c r="BG409" s="1" t="s">
        <v>5543</v>
      </c>
      <c r="CQ409" s="1" t="s">
        <v>5544</v>
      </c>
      <c r="DN409" s="1" t="s">
        <v>5545</v>
      </c>
      <c r="ED409" s="1" t="s">
        <v>5546</v>
      </c>
      <c r="EH409" s="1">
        <v>2E-3</v>
      </c>
      <c r="FE409" s="1">
        <v>0.01</v>
      </c>
      <c r="FJ409" s="1" t="s">
        <v>5547</v>
      </c>
    </row>
    <row r="410" spans="1:169" x14ac:dyDescent="0.2">
      <c r="A410" s="1" t="s">
        <v>3091</v>
      </c>
      <c r="B410" s="1" t="s">
        <v>55</v>
      </c>
      <c r="C410" s="1" t="s">
        <v>3092</v>
      </c>
      <c r="E410" s="1">
        <v>36</v>
      </c>
      <c r="F410" s="1" t="s">
        <v>3093</v>
      </c>
      <c r="G410" s="1" t="s">
        <v>3094</v>
      </c>
      <c r="H410" s="1" t="s">
        <v>3095</v>
      </c>
      <c r="I410" s="1" t="s">
        <v>7</v>
      </c>
      <c r="J410" s="1" t="s">
        <v>3096</v>
      </c>
      <c r="K410" s="1" t="s">
        <v>3097</v>
      </c>
      <c r="L410" s="1" t="s">
        <v>3096</v>
      </c>
      <c r="O410" s="1">
        <v>4</v>
      </c>
      <c r="Q410" s="1">
        <v>2004</v>
      </c>
      <c r="R410" s="1" t="s">
        <v>3098</v>
      </c>
      <c r="S410" s="1" t="s">
        <v>27</v>
      </c>
      <c r="T410" s="38">
        <v>1</v>
      </c>
      <c r="U410" s="1">
        <v>76.31</v>
      </c>
      <c r="V410" s="1">
        <v>4.9400000000000004</v>
      </c>
      <c r="Y410" s="1">
        <v>0.42542000000000002</v>
      </c>
      <c r="Z410" s="1">
        <v>0.38156000000000001</v>
      </c>
      <c r="AA410" s="1">
        <v>1.0504100000000001</v>
      </c>
      <c r="AF410" s="1">
        <v>1.3302499999999999</v>
      </c>
      <c r="AG410" s="1">
        <v>7.3219999999999993E-2</v>
      </c>
      <c r="EF410" s="1">
        <v>2.86E-2</v>
      </c>
      <c r="EL410" s="1">
        <v>1.6500000000000001E-2</v>
      </c>
      <c r="FE410" s="1">
        <v>0.33915000000000001</v>
      </c>
      <c r="FM410" s="1">
        <v>0.96250000000000002</v>
      </c>
    </row>
    <row r="411" spans="1:169" x14ac:dyDescent="0.2">
      <c r="A411" s="1" t="s">
        <v>3099</v>
      </c>
      <c r="B411" s="1" t="s">
        <v>55</v>
      </c>
      <c r="C411" s="1" t="s">
        <v>3092</v>
      </c>
      <c r="E411" s="1">
        <v>38</v>
      </c>
      <c r="F411" s="1" t="s">
        <v>3100</v>
      </c>
      <c r="G411" s="1" t="s">
        <v>3101</v>
      </c>
      <c r="H411" s="1" t="s">
        <v>3102</v>
      </c>
      <c r="I411" s="1" t="s">
        <v>7</v>
      </c>
      <c r="J411" s="1" t="s">
        <v>3103</v>
      </c>
      <c r="K411" s="1" t="s">
        <v>3104</v>
      </c>
      <c r="L411" s="1" t="s">
        <v>3103</v>
      </c>
      <c r="O411" s="1">
        <v>4</v>
      </c>
      <c r="Q411" s="1">
        <v>2004</v>
      </c>
      <c r="R411" s="1" t="s">
        <v>3098</v>
      </c>
      <c r="S411" s="1" t="s">
        <v>27</v>
      </c>
      <c r="T411" s="38">
        <v>1</v>
      </c>
      <c r="U411" s="1">
        <v>72.739999999999995</v>
      </c>
      <c r="V411" s="1">
        <v>1.64</v>
      </c>
      <c r="Y411" s="1">
        <v>9.9299999999999999E-2</v>
      </c>
      <c r="Z411" s="1">
        <v>6.1550000000000001E-2</v>
      </c>
      <c r="AA411" s="1">
        <v>0.16239999999999999</v>
      </c>
      <c r="AF411" s="1">
        <v>0.13905000000000001</v>
      </c>
      <c r="AG411" s="1">
        <v>5.3659999999999999E-2</v>
      </c>
      <c r="EF411" s="1">
        <v>1.75E-3</v>
      </c>
      <c r="EL411" s="1">
        <v>9.4999999999999998E-3</v>
      </c>
      <c r="FE411" s="1">
        <v>1.0659999999999999E-2</v>
      </c>
      <c r="FM411" s="1">
        <v>0.12662999999999999</v>
      </c>
    </row>
    <row r="412" spans="1:169" x14ac:dyDescent="0.2">
      <c r="A412" s="1" t="s">
        <v>3105</v>
      </c>
      <c r="B412" s="1" t="s">
        <v>55</v>
      </c>
      <c r="C412" s="1" t="s">
        <v>3092</v>
      </c>
      <c r="E412" s="1">
        <v>36</v>
      </c>
      <c r="F412" s="1" t="s">
        <v>1814</v>
      </c>
      <c r="G412" s="1" t="s">
        <v>3106</v>
      </c>
      <c r="H412" s="1" t="s">
        <v>3107</v>
      </c>
      <c r="I412" s="1" t="s">
        <v>7</v>
      </c>
      <c r="J412" s="1" t="s">
        <v>1816</v>
      </c>
      <c r="K412" s="1" t="s">
        <v>1817</v>
      </c>
      <c r="L412" s="1" t="s">
        <v>1816</v>
      </c>
      <c r="O412" s="1">
        <v>4</v>
      </c>
      <c r="Q412" s="1">
        <v>2004</v>
      </c>
      <c r="R412" s="1" t="s">
        <v>3098</v>
      </c>
      <c r="S412" s="1" t="s">
        <v>27</v>
      </c>
      <c r="T412" s="38">
        <v>1</v>
      </c>
      <c r="U412" s="1">
        <v>73.2</v>
      </c>
      <c r="V412" s="1">
        <v>1.2</v>
      </c>
      <c r="Y412" s="1">
        <v>0.11217000000000001</v>
      </c>
      <c r="Z412" s="1">
        <v>7.5300000000000006E-2</v>
      </c>
      <c r="AA412" s="1">
        <v>0.22659000000000001</v>
      </c>
      <c r="AF412" s="1">
        <v>0.17177000000000001</v>
      </c>
      <c r="AG412" s="1">
        <v>4.8009999999999997E-2</v>
      </c>
      <c r="EF412" s="1">
        <v>2.16E-3</v>
      </c>
      <c r="EL412" s="1">
        <v>2.69E-2</v>
      </c>
      <c r="FE412" s="1">
        <v>1.337E-2</v>
      </c>
      <c r="FM412" s="1">
        <v>0.15623999999999999</v>
      </c>
    </row>
    <row r="413" spans="1:169" x14ac:dyDescent="0.2">
      <c r="A413" s="1" t="s">
        <v>3108</v>
      </c>
      <c r="B413" s="1" t="s">
        <v>55</v>
      </c>
      <c r="C413" s="1" t="s">
        <v>3092</v>
      </c>
      <c r="E413" s="1">
        <v>33</v>
      </c>
      <c r="F413" s="1" t="s">
        <v>3109</v>
      </c>
      <c r="G413" s="1" t="s">
        <v>3110</v>
      </c>
      <c r="H413" s="1" t="s">
        <v>3111</v>
      </c>
      <c r="I413" s="1" t="s">
        <v>7</v>
      </c>
      <c r="J413" s="1" t="s">
        <v>3112</v>
      </c>
      <c r="K413" s="1" t="s">
        <v>3113</v>
      </c>
      <c r="L413" s="1" t="s">
        <v>3112</v>
      </c>
      <c r="O413" s="1">
        <v>4</v>
      </c>
      <c r="Q413" s="1">
        <v>2004</v>
      </c>
      <c r="R413" s="1" t="s">
        <v>3098</v>
      </c>
      <c r="S413" s="1" t="s">
        <v>27</v>
      </c>
      <c r="T413" s="38">
        <v>1</v>
      </c>
      <c r="U413" s="1">
        <v>79.8</v>
      </c>
      <c r="V413" s="1">
        <v>2.65</v>
      </c>
      <c r="Y413" s="1">
        <v>0.40455000000000002</v>
      </c>
      <c r="Z413" s="1">
        <v>0.33204</v>
      </c>
      <c r="AA413" s="1">
        <v>0.53703999999999996</v>
      </c>
      <c r="AF413" s="1">
        <v>0.38218000000000002</v>
      </c>
      <c r="AG413" s="1">
        <v>0.14149</v>
      </c>
      <c r="EF413" s="1">
        <v>1.0999999999999999E-2</v>
      </c>
      <c r="EL413" s="1">
        <v>1.03E-2</v>
      </c>
      <c r="FE413" s="1">
        <v>2.7380000000000002E-2</v>
      </c>
      <c r="FM413" s="1">
        <v>0.34379999999999999</v>
      </c>
    </row>
    <row r="414" spans="1:169" x14ac:dyDescent="0.2">
      <c r="A414" s="1" t="s">
        <v>3114</v>
      </c>
      <c r="B414" s="1" t="s">
        <v>55</v>
      </c>
      <c r="C414" s="1" t="s">
        <v>3092</v>
      </c>
      <c r="E414" s="1">
        <v>33</v>
      </c>
      <c r="F414" s="1" t="s">
        <v>3115</v>
      </c>
      <c r="G414" s="1" t="s">
        <v>3116</v>
      </c>
      <c r="H414" s="1" t="s">
        <v>3117</v>
      </c>
      <c r="I414" s="1" t="s">
        <v>7</v>
      </c>
      <c r="J414" s="1" t="s">
        <v>3118</v>
      </c>
      <c r="K414" s="1" t="s">
        <v>3119</v>
      </c>
      <c r="L414" s="1" t="s">
        <v>3118</v>
      </c>
      <c r="O414" s="1">
        <v>4</v>
      </c>
      <c r="Q414" s="1">
        <v>2004</v>
      </c>
      <c r="R414" s="1" t="s">
        <v>3098</v>
      </c>
      <c r="S414" s="1" t="s">
        <v>27</v>
      </c>
      <c r="T414" s="38">
        <v>1</v>
      </c>
      <c r="U414" s="1">
        <v>76.23</v>
      </c>
      <c r="V414" s="1">
        <v>3.13</v>
      </c>
      <c r="Y414" s="1">
        <v>0.13900000000000001</v>
      </c>
      <c r="Z414" s="1">
        <v>6.198E-2</v>
      </c>
      <c r="AA414" s="1">
        <v>0.25092999999999999</v>
      </c>
      <c r="AF414" s="1">
        <v>0.23429</v>
      </c>
      <c r="AG414" s="1">
        <v>4.215E-2</v>
      </c>
      <c r="EF414" s="1">
        <v>3.8800000000000002E-3</v>
      </c>
      <c r="EL414" s="1">
        <v>2.4799999999999999E-2</v>
      </c>
      <c r="FE414" s="1">
        <v>2.2599999999999999E-2</v>
      </c>
      <c r="FM414" s="1">
        <v>0.20780999999999999</v>
      </c>
    </row>
    <row r="415" spans="1:169" x14ac:dyDescent="0.2">
      <c r="A415" s="1" t="s">
        <v>3120</v>
      </c>
      <c r="B415" s="1" t="s">
        <v>55</v>
      </c>
      <c r="C415" s="1" t="s">
        <v>3092</v>
      </c>
      <c r="E415" s="1">
        <v>38</v>
      </c>
      <c r="F415" s="1" t="s">
        <v>3121</v>
      </c>
      <c r="G415" s="1" t="s">
        <v>3122</v>
      </c>
      <c r="H415" s="1" t="s">
        <v>3123</v>
      </c>
      <c r="I415" s="1" t="s">
        <v>7</v>
      </c>
      <c r="J415" s="1" t="s">
        <v>3124</v>
      </c>
      <c r="K415" s="1" t="s">
        <v>3125</v>
      </c>
      <c r="L415" s="1" t="s">
        <v>3124</v>
      </c>
      <c r="O415" s="1">
        <v>4</v>
      </c>
      <c r="Q415" s="1">
        <v>2004</v>
      </c>
      <c r="R415" s="1" t="s">
        <v>3098</v>
      </c>
      <c r="S415" s="1" t="s">
        <v>27</v>
      </c>
      <c r="T415" s="38">
        <v>1</v>
      </c>
      <c r="U415" s="1">
        <v>72.89</v>
      </c>
      <c r="V415" s="1">
        <v>2.37</v>
      </c>
      <c r="Y415" s="1">
        <v>0.10009</v>
      </c>
      <c r="Z415" s="1">
        <v>5.3870000000000001E-2</v>
      </c>
      <c r="AA415" s="1">
        <v>9.4270000000000007E-2</v>
      </c>
      <c r="AF415" s="1">
        <v>2.3439999999999999E-2</v>
      </c>
      <c r="AG415" s="1">
        <v>2.7199999999999998E-2</v>
      </c>
      <c r="EF415" s="1">
        <v>1.1999999999999999E-3</v>
      </c>
      <c r="EL415" s="1">
        <v>0.10009999999999999</v>
      </c>
      <c r="FE415" s="1">
        <v>1.5299999999999999E-3</v>
      </c>
      <c r="FM415" s="1">
        <v>2.0719999999999999E-2</v>
      </c>
    </row>
    <row r="416" spans="1:169" x14ac:dyDescent="0.2">
      <c r="A416" s="1" t="s">
        <v>3126</v>
      </c>
      <c r="B416" s="1" t="s">
        <v>55</v>
      </c>
      <c r="C416" s="1" t="s">
        <v>3092</v>
      </c>
      <c r="E416" s="1">
        <v>33</v>
      </c>
      <c r="F416" s="1" t="s">
        <v>3127</v>
      </c>
      <c r="G416" s="1" t="s">
        <v>3128</v>
      </c>
      <c r="H416" s="1" t="s">
        <v>3129</v>
      </c>
      <c r="I416" s="1" t="s">
        <v>7</v>
      </c>
      <c r="J416" s="1" t="s">
        <v>3130</v>
      </c>
      <c r="K416" s="1" t="s">
        <v>3131</v>
      </c>
      <c r="L416" s="1" t="s">
        <v>3130</v>
      </c>
      <c r="O416" s="1">
        <v>4</v>
      </c>
      <c r="Q416" s="1">
        <v>2004</v>
      </c>
      <c r="R416" s="1" t="s">
        <v>3098</v>
      </c>
      <c r="S416" s="1" t="s">
        <v>27</v>
      </c>
      <c r="T416" s="38">
        <v>1</v>
      </c>
      <c r="U416" s="1">
        <v>79.64</v>
      </c>
      <c r="V416" s="1">
        <v>2.82</v>
      </c>
      <c r="Y416" s="1">
        <v>0.19625999999999999</v>
      </c>
      <c r="Z416" s="1">
        <v>0.11074000000000001</v>
      </c>
      <c r="AA416" s="1">
        <v>0.31558000000000003</v>
      </c>
      <c r="AF416" s="1">
        <v>0.2301</v>
      </c>
      <c r="AG416" s="1">
        <v>3.4360000000000002E-2</v>
      </c>
      <c r="EF416" s="1">
        <v>3.1800000000000001E-3</v>
      </c>
      <c r="EL416" s="1">
        <v>7.3599999999999999E-2</v>
      </c>
      <c r="FE416" s="1">
        <v>1.6619999999999999E-2</v>
      </c>
      <c r="FM416" s="1">
        <v>0.21029999999999999</v>
      </c>
    </row>
    <row r="417" spans="1:169" x14ac:dyDescent="0.2">
      <c r="A417" s="1" t="s">
        <v>3132</v>
      </c>
      <c r="B417" s="1" t="s">
        <v>55</v>
      </c>
      <c r="C417" s="1" t="s">
        <v>3092</v>
      </c>
      <c r="E417" s="1">
        <v>37</v>
      </c>
      <c r="F417" s="1" t="s">
        <v>3133</v>
      </c>
      <c r="G417" s="1" t="s">
        <v>3134</v>
      </c>
      <c r="H417" s="1" t="s">
        <v>3135</v>
      </c>
      <c r="I417" s="1" t="s">
        <v>7</v>
      </c>
      <c r="J417" s="1" t="s">
        <v>3136</v>
      </c>
      <c r="K417" s="1" t="s">
        <v>3137</v>
      </c>
      <c r="L417" s="1" t="s">
        <v>3138</v>
      </c>
      <c r="O417" s="1">
        <v>4</v>
      </c>
      <c r="Q417" s="1">
        <v>2004</v>
      </c>
      <c r="R417" s="1" t="s">
        <v>3098</v>
      </c>
      <c r="S417" s="1" t="s">
        <v>27</v>
      </c>
      <c r="T417" s="38">
        <v>1</v>
      </c>
      <c r="U417" s="1">
        <v>79.94</v>
      </c>
      <c r="V417" s="1">
        <v>3.58</v>
      </c>
      <c r="Y417" s="1">
        <v>1.66242</v>
      </c>
      <c r="Z417" s="1">
        <v>1.3128599999999999</v>
      </c>
      <c r="AA417" s="1">
        <v>0.26733000000000001</v>
      </c>
      <c r="AF417" s="1">
        <v>0.54327999999999999</v>
      </c>
      <c r="AG417" s="1">
        <v>8.4029999999999994E-2</v>
      </c>
      <c r="EF417" s="1">
        <v>8.43E-3</v>
      </c>
      <c r="EL417" s="1">
        <v>1.24E-2</v>
      </c>
      <c r="FE417" s="1">
        <v>6.8000000000000005E-2</v>
      </c>
      <c r="FM417" s="1">
        <v>0.46684999999999999</v>
      </c>
    </row>
    <row r="418" spans="1:169" x14ac:dyDescent="0.2">
      <c r="A418" s="1" t="s">
        <v>3139</v>
      </c>
      <c r="B418" s="1" t="s">
        <v>55</v>
      </c>
      <c r="C418" s="1" t="s">
        <v>3092</v>
      </c>
      <c r="E418" s="1">
        <v>33</v>
      </c>
      <c r="F418" s="1" t="s">
        <v>3140</v>
      </c>
      <c r="G418" s="1" t="s">
        <v>3141</v>
      </c>
      <c r="H418" s="1" t="s">
        <v>3142</v>
      </c>
      <c r="I418" s="1" t="s">
        <v>7</v>
      </c>
      <c r="J418" s="1" t="s">
        <v>3143</v>
      </c>
      <c r="K418" s="1" t="s">
        <v>3144</v>
      </c>
      <c r="L418" s="1" t="s">
        <v>3143</v>
      </c>
      <c r="O418" s="1">
        <v>4</v>
      </c>
      <c r="Q418" s="1">
        <v>2004</v>
      </c>
      <c r="R418" s="1" t="s">
        <v>3098</v>
      </c>
      <c r="S418" s="1" t="s">
        <v>27</v>
      </c>
      <c r="T418" s="38">
        <v>1</v>
      </c>
      <c r="U418" s="1">
        <v>73.599999999999994</v>
      </c>
      <c r="V418" s="1">
        <v>2.82</v>
      </c>
      <c r="Y418" s="1">
        <v>7.5359999999999996E-2</v>
      </c>
      <c r="Z418" s="1">
        <v>6.4369999999999997E-2</v>
      </c>
      <c r="AA418" s="1">
        <v>4.811E-2</v>
      </c>
      <c r="AF418" s="1">
        <v>2.3879999999999998E-2</v>
      </c>
      <c r="AG418" s="1">
        <v>2.1440000000000001E-2</v>
      </c>
      <c r="EF418" s="1">
        <v>5.8E-4</v>
      </c>
      <c r="FE418" s="1">
        <v>4.7099999999999998E-3</v>
      </c>
      <c r="FM418" s="1">
        <v>1.8589999999999999E-2</v>
      </c>
    </row>
    <row r="419" spans="1:169" x14ac:dyDescent="0.2">
      <c r="A419" s="1" t="s">
        <v>3145</v>
      </c>
      <c r="B419" s="1" t="s">
        <v>55</v>
      </c>
      <c r="C419" s="1" t="s">
        <v>3092</v>
      </c>
      <c r="E419" s="1">
        <v>33</v>
      </c>
      <c r="F419" s="1" t="s">
        <v>3146</v>
      </c>
      <c r="G419" s="1" t="s">
        <v>3147</v>
      </c>
      <c r="H419" s="1" t="s">
        <v>3148</v>
      </c>
      <c r="I419" s="1" t="s">
        <v>7</v>
      </c>
      <c r="J419" s="1" t="s">
        <v>3149</v>
      </c>
      <c r="K419" s="1" t="s">
        <v>3150</v>
      </c>
      <c r="L419" s="1" t="s">
        <v>3149</v>
      </c>
      <c r="O419" s="1">
        <v>4</v>
      </c>
      <c r="Q419" s="1">
        <v>2004</v>
      </c>
      <c r="R419" s="1" t="s">
        <v>3098</v>
      </c>
      <c r="S419" s="1" t="s">
        <v>27</v>
      </c>
      <c r="T419" s="38">
        <v>1</v>
      </c>
      <c r="U419" s="1">
        <v>81.459999999999994</v>
      </c>
      <c r="V419" s="1">
        <v>2.78</v>
      </c>
      <c r="Y419" s="1">
        <v>6.4420000000000005E-2</v>
      </c>
      <c r="Z419" s="1">
        <v>3.7089999999999998E-2</v>
      </c>
      <c r="AA419" s="1">
        <v>9.7280000000000005E-2</v>
      </c>
      <c r="AF419" s="1">
        <v>9.3049999999999994E-2</v>
      </c>
      <c r="AG419" s="1">
        <v>1.908E-2</v>
      </c>
      <c r="EF419" s="1">
        <v>1.2199999999999999E-3</v>
      </c>
      <c r="EL419" s="1">
        <v>6.8999999999999999E-3</v>
      </c>
      <c r="FE419" s="1">
        <v>6.0699999999999999E-3</v>
      </c>
      <c r="FM419" s="1">
        <v>8.5760000000000003E-2</v>
      </c>
    </row>
    <row r="420" spans="1:169" x14ac:dyDescent="0.2">
      <c r="A420" s="1" t="s">
        <v>3151</v>
      </c>
      <c r="B420" s="1" t="s">
        <v>55</v>
      </c>
      <c r="C420" s="1" t="s">
        <v>3092</v>
      </c>
      <c r="E420" s="1">
        <v>37</v>
      </c>
      <c r="F420" s="1" t="s">
        <v>3152</v>
      </c>
      <c r="G420" s="1" t="s">
        <v>3153</v>
      </c>
      <c r="H420" s="1" t="s">
        <v>3154</v>
      </c>
      <c r="I420" s="1" t="s">
        <v>7</v>
      </c>
      <c r="J420" s="1" t="s">
        <v>3155</v>
      </c>
      <c r="K420" s="1" t="s">
        <v>3156</v>
      </c>
      <c r="L420" s="1" t="s">
        <v>3155</v>
      </c>
      <c r="O420" s="1">
        <v>4</v>
      </c>
      <c r="Q420" s="1">
        <v>2004</v>
      </c>
      <c r="R420" s="1" t="s">
        <v>3098</v>
      </c>
      <c r="S420" s="1" t="s">
        <v>27</v>
      </c>
      <c r="T420" s="38">
        <v>1</v>
      </c>
      <c r="U420" s="1">
        <v>74.099999999999994</v>
      </c>
      <c r="V420" s="1">
        <v>2.52</v>
      </c>
      <c r="Y420" s="1">
        <v>9.9339999999999998E-2</v>
      </c>
      <c r="Z420" s="1">
        <v>6.9610000000000005E-2</v>
      </c>
      <c r="AA420" s="1">
        <v>0.12758</v>
      </c>
      <c r="AF420" s="1">
        <v>0.12385</v>
      </c>
      <c r="AG420" s="1">
        <v>3.056E-2</v>
      </c>
      <c r="EF420" s="1">
        <v>2.1700000000000001E-3</v>
      </c>
      <c r="EL420" s="1">
        <v>6.1000000000000004E-3</v>
      </c>
      <c r="FE420" s="1">
        <v>4.0099999999999997E-3</v>
      </c>
      <c r="FM420" s="1">
        <v>0.11767</v>
      </c>
    </row>
    <row r="421" spans="1:169" x14ac:dyDescent="0.2">
      <c r="A421" s="1" t="s">
        <v>3157</v>
      </c>
      <c r="B421" s="1" t="s">
        <v>55</v>
      </c>
      <c r="C421" s="1" t="s">
        <v>3092</v>
      </c>
      <c r="E421" s="1">
        <v>33</v>
      </c>
      <c r="F421" s="1" t="s">
        <v>3158</v>
      </c>
      <c r="G421" s="1" t="s">
        <v>2498</v>
      </c>
      <c r="H421" s="1" t="s">
        <v>3159</v>
      </c>
      <c r="I421" s="1" t="s">
        <v>7</v>
      </c>
      <c r="J421" s="1" t="s">
        <v>3160</v>
      </c>
      <c r="K421" s="1" t="s">
        <v>3161</v>
      </c>
      <c r="L421" s="1" t="s">
        <v>3160</v>
      </c>
      <c r="O421" s="1">
        <v>4</v>
      </c>
      <c r="Q421" s="1">
        <v>2004</v>
      </c>
      <c r="R421" s="1" t="s">
        <v>3098</v>
      </c>
      <c r="S421" s="1" t="s">
        <v>27</v>
      </c>
      <c r="T421" s="38">
        <v>1</v>
      </c>
      <c r="U421" s="1">
        <v>79.5</v>
      </c>
      <c r="V421" s="1">
        <v>2.98</v>
      </c>
      <c r="Y421" s="1">
        <v>0.11554</v>
      </c>
      <c r="Z421" s="1">
        <v>7.3810000000000001E-2</v>
      </c>
      <c r="AA421" s="1">
        <v>9.3869999999999995E-2</v>
      </c>
      <c r="AF421" s="1">
        <v>7.4859999999999996E-2</v>
      </c>
      <c r="AG421" s="1">
        <v>2.8850000000000001E-2</v>
      </c>
      <c r="EF421" s="1">
        <v>1.6199999999999999E-3</v>
      </c>
      <c r="EL421" s="1">
        <v>1.5E-3</v>
      </c>
      <c r="FE421" s="1">
        <v>9.8700000000000003E-3</v>
      </c>
      <c r="FM421" s="1">
        <v>6.3380000000000006E-2</v>
      </c>
    </row>
    <row r="422" spans="1:169" x14ac:dyDescent="0.2">
      <c r="A422" s="1" t="s">
        <v>3162</v>
      </c>
      <c r="B422" s="1" t="s">
        <v>55</v>
      </c>
      <c r="C422" s="1" t="s">
        <v>3092</v>
      </c>
      <c r="E422" s="1">
        <v>33</v>
      </c>
      <c r="F422" s="1" t="s">
        <v>3163</v>
      </c>
      <c r="G422" s="1" t="s">
        <v>3164</v>
      </c>
      <c r="H422" s="1" t="s">
        <v>3165</v>
      </c>
      <c r="I422" s="1" t="s">
        <v>7</v>
      </c>
      <c r="J422" s="1" t="s">
        <v>3166</v>
      </c>
      <c r="L422" s="1" t="s">
        <v>3167</v>
      </c>
      <c r="O422" s="1">
        <v>4</v>
      </c>
      <c r="Q422" s="1">
        <v>2005</v>
      </c>
      <c r="R422" s="1" t="s">
        <v>3098</v>
      </c>
      <c r="S422" s="1" t="s">
        <v>27</v>
      </c>
      <c r="T422" s="38">
        <v>1</v>
      </c>
      <c r="U422" s="1">
        <v>79.599999999999994</v>
      </c>
      <c r="V422" s="1">
        <v>4.0599999999999996</v>
      </c>
      <c r="Y422" s="1">
        <v>1.08954</v>
      </c>
      <c r="Z422" s="1">
        <v>0.61124999999999996</v>
      </c>
      <c r="AA422" s="1">
        <v>0.39721000000000001</v>
      </c>
      <c r="AF422" s="1">
        <v>0.23719999999999999</v>
      </c>
      <c r="AG422" s="1">
        <v>0.12645999999999999</v>
      </c>
      <c r="EF422" s="1">
        <v>9.0740000000000001E-2</v>
      </c>
      <c r="EL422" s="1">
        <v>1.03E-2</v>
      </c>
      <c r="FE422" s="1">
        <v>3.193E-2</v>
      </c>
      <c r="FM422" s="1">
        <v>0.11453000000000001</v>
      </c>
    </row>
    <row r="423" spans="1:169" x14ac:dyDescent="0.2">
      <c r="A423" s="1" t="s">
        <v>3168</v>
      </c>
      <c r="B423" s="1" t="s">
        <v>55</v>
      </c>
      <c r="C423" s="1" t="s">
        <v>3092</v>
      </c>
      <c r="E423" s="1">
        <v>36</v>
      </c>
      <c r="F423" s="1" t="s">
        <v>3169</v>
      </c>
      <c r="G423" s="1" t="s">
        <v>3170</v>
      </c>
      <c r="H423" s="1" t="s">
        <v>3171</v>
      </c>
      <c r="I423" s="1" t="s">
        <v>7</v>
      </c>
      <c r="J423" s="1" t="s">
        <v>3172</v>
      </c>
      <c r="K423" s="1" t="s">
        <v>3173</v>
      </c>
      <c r="L423" s="1" t="s">
        <v>3172</v>
      </c>
      <c r="O423" s="1">
        <v>4</v>
      </c>
      <c r="Q423" s="1">
        <v>2004</v>
      </c>
      <c r="R423" s="1" t="s">
        <v>3098</v>
      </c>
      <c r="S423" s="1" t="s">
        <v>27</v>
      </c>
      <c r="T423" s="38">
        <v>1</v>
      </c>
      <c r="U423" s="1">
        <v>74.8</v>
      </c>
      <c r="V423" s="1">
        <v>4.21</v>
      </c>
      <c r="Y423" s="1">
        <v>0.72662000000000004</v>
      </c>
      <c r="Z423" s="1">
        <v>0.24354000000000001</v>
      </c>
      <c r="AA423" s="1">
        <v>0.76112000000000002</v>
      </c>
      <c r="AF423" s="1">
        <v>0.63997999999999999</v>
      </c>
      <c r="AG423" s="1">
        <v>9.3810000000000004E-2</v>
      </c>
      <c r="EF423" s="1">
        <v>1.214E-2</v>
      </c>
      <c r="EL423" s="1">
        <v>1.55E-2</v>
      </c>
      <c r="FE423" s="1">
        <v>0.1061</v>
      </c>
      <c r="FM423" s="1">
        <v>0.52173999999999998</v>
      </c>
    </row>
    <row r="424" spans="1:169" x14ac:dyDescent="0.2">
      <c r="A424" s="1" t="s">
        <v>3174</v>
      </c>
      <c r="B424" s="1" t="s">
        <v>55</v>
      </c>
      <c r="C424" s="1" t="s">
        <v>3092</v>
      </c>
      <c r="E424" s="1">
        <v>33</v>
      </c>
      <c r="F424" s="1" t="s">
        <v>2509</v>
      </c>
      <c r="G424" s="1" t="s">
        <v>2510</v>
      </c>
      <c r="H424" s="1" t="s">
        <v>3175</v>
      </c>
      <c r="I424" s="1" t="s">
        <v>7</v>
      </c>
      <c r="J424" s="1" t="s">
        <v>2512</v>
      </c>
      <c r="K424" s="1" t="s">
        <v>2513</v>
      </c>
      <c r="L424" s="1" t="s">
        <v>2512</v>
      </c>
      <c r="O424" s="1">
        <v>4</v>
      </c>
      <c r="Q424" s="1">
        <v>2004</v>
      </c>
      <c r="R424" s="1" t="s">
        <v>3098</v>
      </c>
      <c r="S424" s="1" t="s">
        <v>27</v>
      </c>
      <c r="T424" s="38">
        <v>1</v>
      </c>
      <c r="U424" s="1">
        <v>78.5</v>
      </c>
      <c r="V424" s="1">
        <v>3.28</v>
      </c>
      <c r="Y424" s="1">
        <v>0.34151999999999999</v>
      </c>
      <c r="Z424" s="1">
        <v>0.45295000000000002</v>
      </c>
      <c r="AA424" s="1">
        <v>0.38255</v>
      </c>
      <c r="AF424" s="1">
        <v>0.15728</v>
      </c>
      <c r="AG424" s="1">
        <v>0.20476</v>
      </c>
      <c r="EF424" s="1">
        <v>2.2239999999999999E-2</v>
      </c>
      <c r="EL424" s="1">
        <v>1.4800000000000001E-2</v>
      </c>
      <c r="FE424" s="1">
        <v>2.256E-2</v>
      </c>
      <c r="FM424" s="1">
        <v>0.11248</v>
      </c>
    </row>
    <row r="425" spans="1:169" x14ac:dyDescent="0.2">
      <c r="A425" s="1" t="s">
        <v>3176</v>
      </c>
      <c r="B425" s="1" t="s">
        <v>55</v>
      </c>
      <c r="C425" s="1" t="s">
        <v>3092</v>
      </c>
      <c r="E425" s="1">
        <v>33</v>
      </c>
      <c r="F425" s="1" t="s">
        <v>3177</v>
      </c>
      <c r="G425" s="1" t="s">
        <v>2522</v>
      </c>
      <c r="H425" s="1" t="s">
        <v>3178</v>
      </c>
      <c r="I425" s="1" t="s">
        <v>7</v>
      </c>
      <c r="J425" s="1" t="s">
        <v>3179</v>
      </c>
      <c r="K425" s="1" t="s">
        <v>3180</v>
      </c>
      <c r="L425" s="1" t="s">
        <v>3179</v>
      </c>
      <c r="O425" s="1">
        <v>4</v>
      </c>
      <c r="Q425" s="1">
        <v>2004</v>
      </c>
      <c r="R425" s="1" t="s">
        <v>3098</v>
      </c>
      <c r="S425" s="1" t="s">
        <v>27</v>
      </c>
      <c r="T425" s="38">
        <v>1</v>
      </c>
      <c r="U425" s="1">
        <v>73.8</v>
      </c>
      <c r="V425" s="1">
        <v>5.01</v>
      </c>
      <c r="Y425" s="1">
        <v>0.85446999999999995</v>
      </c>
      <c r="Z425" s="1">
        <v>0.47677999999999998</v>
      </c>
      <c r="AA425" s="1">
        <v>0.59897999999999996</v>
      </c>
      <c r="AF425" s="1">
        <v>0.62341999999999997</v>
      </c>
      <c r="AG425" s="1">
        <v>8.0310000000000006E-2</v>
      </c>
      <c r="EF425" s="1">
        <v>1.057E-2</v>
      </c>
      <c r="EL425" s="1">
        <v>1.47E-2</v>
      </c>
      <c r="FE425" s="1">
        <v>0.10614999999999999</v>
      </c>
      <c r="FM425" s="1">
        <v>0.50670000000000004</v>
      </c>
    </row>
    <row r="426" spans="1:169" x14ac:dyDescent="0.2">
      <c r="A426" s="1" t="s">
        <v>3181</v>
      </c>
      <c r="B426" s="1" t="s">
        <v>55</v>
      </c>
      <c r="C426" s="1" t="s">
        <v>3092</v>
      </c>
      <c r="E426" s="1">
        <v>33</v>
      </c>
      <c r="F426" s="1" t="s">
        <v>3182</v>
      </c>
      <c r="G426" s="1" t="s">
        <v>3183</v>
      </c>
      <c r="H426" s="1" t="s">
        <v>3184</v>
      </c>
      <c r="I426" s="1" t="s">
        <v>7</v>
      </c>
      <c r="J426" s="1" t="s">
        <v>3185</v>
      </c>
      <c r="K426" s="1" t="s">
        <v>3186</v>
      </c>
      <c r="L426" s="1" t="s">
        <v>3185</v>
      </c>
      <c r="O426" s="1">
        <v>4</v>
      </c>
      <c r="Q426" s="1">
        <v>2004</v>
      </c>
      <c r="R426" s="1" t="s">
        <v>3098</v>
      </c>
      <c r="S426" s="1" t="s">
        <v>27</v>
      </c>
      <c r="T426" s="38">
        <v>1</v>
      </c>
      <c r="U426" s="1">
        <v>76.3</v>
      </c>
      <c r="V426" s="1">
        <v>2.65</v>
      </c>
      <c r="Y426" s="1">
        <v>0.23326</v>
      </c>
      <c r="Z426" s="1">
        <v>0.20433000000000001</v>
      </c>
      <c r="AA426" s="1">
        <v>0.29397000000000001</v>
      </c>
      <c r="AF426" s="1">
        <v>0.22609000000000001</v>
      </c>
      <c r="AG426" s="1">
        <v>7.0290000000000005E-2</v>
      </c>
      <c r="EF426" s="1">
        <v>3.6900000000000001E-3</v>
      </c>
      <c r="EL426" s="1">
        <v>7.1999999999999998E-3</v>
      </c>
      <c r="FE426" s="1">
        <v>4.0099999999999997E-2</v>
      </c>
      <c r="FM426" s="1">
        <v>0.18229999999999999</v>
      </c>
    </row>
    <row r="427" spans="1:169" x14ac:dyDescent="0.2">
      <c r="A427" s="1" t="s">
        <v>3187</v>
      </c>
      <c r="B427" s="1" t="s">
        <v>55</v>
      </c>
      <c r="C427" s="1" t="s">
        <v>3092</v>
      </c>
      <c r="E427" s="1">
        <v>37</v>
      </c>
      <c r="F427" s="1" t="s">
        <v>3188</v>
      </c>
      <c r="G427" s="1" t="s">
        <v>3189</v>
      </c>
      <c r="H427" s="1" t="s">
        <v>3190</v>
      </c>
      <c r="I427" s="1" t="s">
        <v>7</v>
      </c>
      <c r="J427" s="1" t="s">
        <v>3191</v>
      </c>
      <c r="K427" s="1" t="s">
        <v>3192</v>
      </c>
      <c r="L427" s="1" t="s">
        <v>3191</v>
      </c>
      <c r="O427" s="1">
        <v>4</v>
      </c>
      <c r="Q427" s="1">
        <v>2004</v>
      </c>
      <c r="R427" s="1" t="s">
        <v>3098</v>
      </c>
      <c r="S427" s="1" t="s">
        <v>27</v>
      </c>
      <c r="T427" s="38">
        <v>1</v>
      </c>
      <c r="U427" s="1">
        <v>72.400000000000006</v>
      </c>
      <c r="V427" s="1">
        <v>7.29</v>
      </c>
      <c r="Y427" s="1">
        <v>0.91661999999999999</v>
      </c>
      <c r="Z427" s="1">
        <v>0.80239000000000005</v>
      </c>
      <c r="AA427" s="1">
        <v>0.96636</v>
      </c>
      <c r="AF427" s="1">
        <v>0.82865</v>
      </c>
      <c r="AG427" s="1">
        <v>0.11219999999999999</v>
      </c>
      <c r="EF427" s="1">
        <v>1.5010000000000001E-2</v>
      </c>
      <c r="EL427" s="1">
        <v>3.5499999999999997E-2</v>
      </c>
      <c r="FE427" s="1">
        <v>0.12767999999999999</v>
      </c>
      <c r="FM427" s="1">
        <v>0.68596000000000001</v>
      </c>
    </row>
    <row r="428" spans="1:169" x14ac:dyDescent="0.2">
      <c r="A428" s="1" t="s">
        <v>3193</v>
      </c>
      <c r="B428" s="1" t="s">
        <v>55</v>
      </c>
      <c r="C428" s="1" t="s">
        <v>2564</v>
      </c>
      <c r="D428" s="1" t="s">
        <v>2</v>
      </c>
      <c r="E428" s="1">
        <v>23</v>
      </c>
      <c r="F428" s="1" t="s">
        <v>1471</v>
      </c>
      <c r="H428" s="1" t="s">
        <v>3194</v>
      </c>
      <c r="I428" s="1" t="s">
        <v>7</v>
      </c>
      <c r="J428" s="1" t="s">
        <v>1473</v>
      </c>
      <c r="K428" s="1" t="s">
        <v>1474</v>
      </c>
      <c r="L428" s="1" t="s">
        <v>1473</v>
      </c>
      <c r="N428" s="1" t="s">
        <v>3195</v>
      </c>
      <c r="P428" s="1" t="s">
        <v>3196</v>
      </c>
      <c r="Q428" s="1">
        <v>2010</v>
      </c>
      <c r="R428" s="1" t="s">
        <v>3197</v>
      </c>
      <c r="S428" s="1" t="s">
        <v>27</v>
      </c>
      <c r="T428" s="38">
        <v>1</v>
      </c>
      <c r="U428" s="1">
        <v>74.2</v>
      </c>
      <c r="X428" s="1">
        <v>4.7</v>
      </c>
      <c r="AD428" s="1">
        <v>0.902574468085106</v>
      </c>
      <c r="BG428" s="1">
        <v>0.13362615</v>
      </c>
      <c r="CT428" s="1">
        <v>0.21846815</v>
      </c>
      <c r="DN428" s="1">
        <v>0.32409643999999999</v>
      </c>
      <c r="FE428" s="1">
        <v>0.34530694000000001</v>
      </c>
      <c r="FM428" s="1">
        <v>0.70800649000000004</v>
      </c>
    </row>
    <row r="429" spans="1:169" x14ac:dyDescent="0.2">
      <c r="A429" s="1" t="s">
        <v>3198</v>
      </c>
      <c r="B429" s="1" t="s">
        <v>55</v>
      </c>
      <c r="C429" s="1" t="s">
        <v>2564</v>
      </c>
      <c r="D429" s="1" t="s">
        <v>2</v>
      </c>
      <c r="E429" s="1">
        <v>23</v>
      </c>
      <c r="F429" s="1" t="s">
        <v>1471</v>
      </c>
      <c r="H429" s="1" t="s">
        <v>3199</v>
      </c>
      <c r="I429" s="1" t="s">
        <v>7</v>
      </c>
      <c r="J429" s="1" t="s">
        <v>1473</v>
      </c>
      <c r="K429" s="1" t="s">
        <v>1474</v>
      </c>
      <c r="L429" s="1" t="s">
        <v>1473</v>
      </c>
      <c r="N429" s="1" t="s">
        <v>3200</v>
      </c>
      <c r="P429" s="1" t="s">
        <v>3196</v>
      </c>
      <c r="Q429" s="1">
        <v>2010</v>
      </c>
      <c r="R429" s="1" t="s">
        <v>3197</v>
      </c>
      <c r="S429" s="1" t="s">
        <v>27</v>
      </c>
      <c r="T429" s="38">
        <v>1</v>
      </c>
      <c r="U429" s="1">
        <v>77.7</v>
      </c>
      <c r="X429" s="1">
        <v>2.1</v>
      </c>
      <c r="AD429" s="1">
        <v>0.86490476190476195</v>
      </c>
      <c r="BG429" s="1">
        <v>4.2501419999999998E-2</v>
      </c>
      <c r="CT429" s="1">
        <v>8.046209E-2</v>
      </c>
      <c r="DN429" s="1">
        <v>0.14766519</v>
      </c>
      <c r="FE429" s="1">
        <v>0.14330607000000001</v>
      </c>
      <c r="FM429" s="1">
        <v>0.36053554999999998</v>
      </c>
    </row>
    <row r="430" spans="1:169" x14ac:dyDescent="0.2">
      <c r="A430" s="1" t="s">
        <v>3201</v>
      </c>
      <c r="B430" s="1" t="s">
        <v>55</v>
      </c>
      <c r="C430" s="1" t="s">
        <v>2564</v>
      </c>
      <c r="D430" s="1" t="s">
        <v>2</v>
      </c>
      <c r="E430" s="1">
        <v>23</v>
      </c>
      <c r="F430" s="1" t="s">
        <v>1471</v>
      </c>
      <c r="H430" s="1" t="s">
        <v>3202</v>
      </c>
      <c r="I430" s="1" t="s">
        <v>7</v>
      </c>
      <c r="J430" s="1" t="s">
        <v>1473</v>
      </c>
      <c r="K430" s="1" t="s">
        <v>1474</v>
      </c>
      <c r="L430" s="1" t="s">
        <v>1473</v>
      </c>
      <c r="N430" s="1" t="s">
        <v>3203</v>
      </c>
      <c r="P430" s="1" t="s">
        <v>3196</v>
      </c>
      <c r="Q430" s="1">
        <v>2010</v>
      </c>
      <c r="R430" s="1" t="s">
        <v>3197</v>
      </c>
      <c r="S430" s="1" t="s">
        <v>27</v>
      </c>
      <c r="T430" s="38">
        <v>1</v>
      </c>
      <c r="U430" s="1">
        <v>75.400000000000006</v>
      </c>
      <c r="X430" s="1">
        <v>4.2</v>
      </c>
      <c r="AD430" s="1">
        <v>0.89895238095238095</v>
      </c>
      <c r="BG430" s="1">
        <v>0.1170436</v>
      </c>
      <c r="CT430" s="1">
        <v>0.23786280000000001</v>
      </c>
      <c r="DN430" s="1">
        <v>0.45495980000000003</v>
      </c>
      <c r="FE430" s="1">
        <v>0.24692423999999999</v>
      </c>
      <c r="FM430" s="1">
        <v>0.54179860000000002</v>
      </c>
    </row>
    <row r="431" spans="1:169" x14ac:dyDescent="0.2">
      <c r="A431" s="1" t="s">
        <v>3204</v>
      </c>
      <c r="B431" s="1" t="s">
        <v>55</v>
      </c>
      <c r="C431" s="1" t="s">
        <v>2564</v>
      </c>
      <c r="D431" s="1" t="s">
        <v>2</v>
      </c>
      <c r="E431" s="1">
        <v>23</v>
      </c>
      <c r="F431" s="1" t="s">
        <v>1471</v>
      </c>
      <c r="H431" s="1" t="s">
        <v>3205</v>
      </c>
      <c r="I431" s="1" t="s">
        <v>7</v>
      </c>
      <c r="J431" s="1" t="s">
        <v>1473</v>
      </c>
      <c r="K431" s="1" t="s">
        <v>1474</v>
      </c>
      <c r="L431" s="1" t="s">
        <v>1473</v>
      </c>
      <c r="N431" s="1" t="s">
        <v>3206</v>
      </c>
      <c r="P431" s="1" t="s">
        <v>3196</v>
      </c>
      <c r="Q431" s="1">
        <v>2010</v>
      </c>
      <c r="R431" s="1" t="s">
        <v>3197</v>
      </c>
      <c r="S431" s="1" t="s">
        <v>27</v>
      </c>
      <c r="T431" s="38">
        <v>1</v>
      </c>
      <c r="U431" s="1">
        <v>76.7</v>
      </c>
      <c r="X431" s="1">
        <v>3.6</v>
      </c>
      <c r="AD431" s="1">
        <v>0.89327777777777795</v>
      </c>
      <c r="BG431" s="1">
        <v>7.6857620000000001E-2</v>
      </c>
      <c r="CT431" s="1">
        <v>0.35856169999999998</v>
      </c>
      <c r="DN431" s="1">
        <v>0.33058423999999997</v>
      </c>
      <c r="FE431" s="1">
        <v>0.1961638</v>
      </c>
      <c r="FM431" s="1">
        <v>0.47883261999999999</v>
      </c>
    </row>
    <row r="432" spans="1:169" x14ac:dyDescent="0.2">
      <c r="A432" s="1" t="s">
        <v>3207</v>
      </c>
      <c r="B432" s="1" t="s">
        <v>55</v>
      </c>
      <c r="C432" s="1" t="s">
        <v>2564</v>
      </c>
      <c r="D432" s="1" t="s">
        <v>2</v>
      </c>
      <c r="E432" s="1">
        <v>23</v>
      </c>
      <c r="F432" s="1" t="s">
        <v>1471</v>
      </c>
      <c r="H432" s="1" t="s">
        <v>3205</v>
      </c>
      <c r="I432" s="1" t="s">
        <v>7</v>
      </c>
      <c r="J432" s="1" t="s">
        <v>1473</v>
      </c>
      <c r="K432" s="1" t="s">
        <v>1474</v>
      </c>
      <c r="L432" s="1" t="s">
        <v>1473</v>
      </c>
      <c r="N432" s="1" t="s">
        <v>3208</v>
      </c>
      <c r="P432" s="1" t="s">
        <v>3196</v>
      </c>
      <c r="Q432" s="1">
        <v>2010</v>
      </c>
      <c r="R432" s="1" t="s">
        <v>3197</v>
      </c>
      <c r="S432" s="1" t="s">
        <v>27</v>
      </c>
      <c r="T432" s="38">
        <v>1</v>
      </c>
      <c r="U432" s="1">
        <v>79</v>
      </c>
      <c r="X432" s="1">
        <v>1.7</v>
      </c>
      <c r="AD432" s="1">
        <v>0.84888235294117698</v>
      </c>
      <c r="BG432" s="1">
        <v>2.59758E-2</v>
      </c>
      <c r="CT432" s="1">
        <v>0.11140732</v>
      </c>
      <c r="DN432" s="1">
        <v>0.15874099999999999</v>
      </c>
      <c r="FE432" s="1">
        <v>7.5618439999999995E-2</v>
      </c>
      <c r="FM432" s="1">
        <v>0.42946656</v>
      </c>
    </row>
    <row r="433" spans="1:24" x14ac:dyDescent="0.2">
      <c r="A433" s="1" t="s">
        <v>3209</v>
      </c>
      <c r="B433" s="1" t="s">
        <v>55</v>
      </c>
      <c r="C433" s="1" t="s">
        <v>2564</v>
      </c>
      <c r="D433" s="1" t="s">
        <v>2</v>
      </c>
      <c r="E433" s="1">
        <v>23</v>
      </c>
      <c r="F433" s="1" t="s">
        <v>1471</v>
      </c>
      <c r="H433" s="1" t="s">
        <v>3210</v>
      </c>
      <c r="I433" s="1" t="s">
        <v>11</v>
      </c>
      <c r="J433" s="1" t="s">
        <v>1473</v>
      </c>
      <c r="K433" s="1" t="s">
        <v>1474</v>
      </c>
      <c r="L433" s="1" t="s">
        <v>1473</v>
      </c>
      <c r="N433" s="1" t="s">
        <v>3195</v>
      </c>
      <c r="P433" s="1" t="s">
        <v>3196</v>
      </c>
      <c r="Q433" s="1">
        <v>2010</v>
      </c>
      <c r="R433" s="1" t="s">
        <v>3197</v>
      </c>
      <c r="S433" s="1" t="s">
        <v>27</v>
      </c>
      <c r="T433" s="38">
        <v>1</v>
      </c>
      <c r="U433" s="1">
        <v>70.8</v>
      </c>
      <c r="X433" s="1">
        <v>6.5</v>
      </c>
    </row>
    <row r="434" spans="1:24" x14ac:dyDescent="0.2">
      <c r="A434" s="1" t="s">
        <v>3211</v>
      </c>
      <c r="B434" s="1" t="s">
        <v>55</v>
      </c>
      <c r="C434" s="1" t="s">
        <v>2564</v>
      </c>
      <c r="D434" s="1" t="s">
        <v>2</v>
      </c>
      <c r="E434" s="1">
        <v>23</v>
      </c>
      <c r="F434" s="1" t="s">
        <v>1471</v>
      </c>
      <c r="H434" s="1" t="s">
        <v>3212</v>
      </c>
      <c r="I434" s="1" t="s">
        <v>11</v>
      </c>
      <c r="J434" s="1" t="s">
        <v>1473</v>
      </c>
      <c r="K434" s="1" t="s">
        <v>1474</v>
      </c>
      <c r="L434" s="1" t="s">
        <v>1473</v>
      </c>
      <c r="N434" s="1" t="s">
        <v>3195</v>
      </c>
      <c r="P434" s="1" t="s">
        <v>3196</v>
      </c>
      <c r="Q434" s="1">
        <v>2010</v>
      </c>
      <c r="R434" s="1" t="s">
        <v>3197</v>
      </c>
      <c r="S434" s="1" t="s">
        <v>27</v>
      </c>
      <c r="T434" s="38">
        <v>1</v>
      </c>
      <c r="U434" s="1">
        <v>65.900000000000006</v>
      </c>
      <c r="X434" s="1">
        <v>7.1</v>
      </c>
    </row>
    <row r="435" spans="1:24" x14ac:dyDescent="0.2">
      <c r="A435" s="1" t="s">
        <v>3213</v>
      </c>
      <c r="B435" s="1" t="s">
        <v>55</v>
      </c>
      <c r="C435" s="1" t="s">
        <v>236</v>
      </c>
      <c r="E435" s="1">
        <v>33</v>
      </c>
      <c r="F435" s="1" t="s">
        <v>3214</v>
      </c>
      <c r="H435" s="1" t="s">
        <v>3215</v>
      </c>
      <c r="I435" s="1" t="s">
        <v>7</v>
      </c>
      <c r="J435" s="1" t="s">
        <v>3216</v>
      </c>
      <c r="L435" s="1" t="s">
        <v>3217</v>
      </c>
      <c r="M435" s="1" t="s">
        <v>480</v>
      </c>
      <c r="O435" s="1">
        <v>1</v>
      </c>
      <c r="P435" s="1" t="s">
        <v>3218</v>
      </c>
      <c r="Q435" s="1">
        <v>1999</v>
      </c>
      <c r="R435" s="1" t="s">
        <v>3219</v>
      </c>
      <c r="S435" s="1" t="s">
        <v>27</v>
      </c>
      <c r="T435" s="38">
        <v>1</v>
      </c>
      <c r="V435" s="1">
        <v>0.99</v>
      </c>
    </row>
    <row r="436" spans="1:24" x14ac:dyDescent="0.2">
      <c r="A436" s="1" t="s">
        <v>3220</v>
      </c>
      <c r="B436" s="1" t="s">
        <v>55</v>
      </c>
      <c r="C436" s="1" t="s">
        <v>236</v>
      </c>
      <c r="E436" s="1">
        <v>33</v>
      </c>
      <c r="F436" s="1" t="s">
        <v>3221</v>
      </c>
      <c r="H436" s="1" t="s">
        <v>3222</v>
      </c>
      <c r="I436" s="1" t="s">
        <v>7</v>
      </c>
      <c r="J436" s="1" t="s">
        <v>3223</v>
      </c>
      <c r="K436" s="1" t="s">
        <v>3224</v>
      </c>
      <c r="L436" s="1" t="s">
        <v>3223</v>
      </c>
      <c r="M436" s="1" t="s">
        <v>3225</v>
      </c>
      <c r="N436" s="1" t="s">
        <v>3226</v>
      </c>
      <c r="O436" s="1">
        <v>1</v>
      </c>
      <c r="P436" s="1" t="s">
        <v>3218</v>
      </c>
      <c r="Q436" s="1">
        <v>1999</v>
      </c>
      <c r="R436" s="1" t="s">
        <v>3219</v>
      </c>
      <c r="S436" s="1" t="s">
        <v>27</v>
      </c>
      <c r="T436" s="38">
        <v>1</v>
      </c>
      <c r="V436" s="1">
        <v>1.6</v>
      </c>
    </row>
    <row r="437" spans="1:24" x14ac:dyDescent="0.2">
      <c r="A437" s="1" t="s">
        <v>3227</v>
      </c>
      <c r="B437" s="1" t="s">
        <v>55</v>
      </c>
      <c r="C437" s="1" t="s">
        <v>236</v>
      </c>
      <c r="E437" s="1">
        <v>33</v>
      </c>
      <c r="F437" s="1" t="s">
        <v>3221</v>
      </c>
      <c r="H437" s="1" t="s">
        <v>3222</v>
      </c>
      <c r="I437" s="1" t="s">
        <v>7</v>
      </c>
      <c r="J437" s="1" t="s">
        <v>3223</v>
      </c>
      <c r="K437" s="1" t="s">
        <v>3224</v>
      </c>
      <c r="L437" s="1" t="s">
        <v>3223</v>
      </c>
      <c r="M437" s="1" t="s">
        <v>2889</v>
      </c>
      <c r="N437" s="1" t="s">
        <v>3228</v>
      </c>
      <c r="O437" s="1">
        <v>1</v>
      </c>
      <c r="P437" s="1" t="s">
        <v>3218</v>
      </c>
      <c r="Q437" s="1">
        <v>1999</v>
      </c>
      <c r="R437" s="1" t="s">
        <v>3219</v>
      </c>
      <c r="S437" s="1" t="s">
        <v>27</v>
      </c>
      <c r="T437" s="38">
        <v>1</v>
      </c>
      <c r="V437" s="1">
        <v>0.72</v>
      </c>
    </row>
    <row r="438" spans="1:24" x14ac:dyDescent="0.2">
      <c r="A438" s="1" t="s">
        <v>3229</v>
      </c>
      <c r="B438" s="1" t="s">
        <v>55</v>
      </c>
      <c r="C438" s="1" t="s">
        <v>236</v>
      </c>
      <c r="E438" s="1">
        <v>34</v>
      </c>
      <c r="F438" s="1" t="s">
        <v>3230</v>
      </c>
      <c r="H438" s="1" t="s">
        <v>3231</v>
      </c>
      <c r="I438" s="1" t="s">
        <v>7</v>
      </c>
      <c r="J438" s="1" t="s">
        <v>3232</v>
      </c>
      <c r="K438" s="1" t="s">
        <v>3233</v>
      </c>
      <c r="L438" s="1" t="s">
        <v>3234</v>
      </c>
      <c r="O438" s="1">
        <v>1</v>
      </c>
      <c r="P438" s="1" t="s">
        <v>3218</v>
      </c>
      <c r="Q438" s="1">
        <v>1999</v>
      </c>
      <c r="R438" s="1" t="s">
        <v>3219</v>
      </c>
      <c r="S438" s="1" t="s">
        <v>27</v>
      </c>
      <c r="T438" s="38">
        <v>1</v>
      </c>
      <c r="V438" s="1">
        <v>2.4</v>
      </c>
    </row>
    <row r="439" spans="1:24" x14ac:dyDescent="0.2">
      <c r="A439" s="1" t="s">
        <v>3235</v>
      </c>
      <c r="B439" s="1" t="s">
        <v>55</v>
      </c>
      <c r="C439" s="1" t="s">
        <v>236</v>
      </c>
      <c r="E439" s="1">
        <v>37</v>
      </c>
      <c r="F439" s="1" t="s">
        <v>3236</v>
      </c>
      <c r="H439" s="1" t="s">
        <v>3237</v>
      </c>
      <c r="I439" s="1" t="s">
        <v>7</v>
      </c>
      <c r="J439" s="1" t="s">
        <v>3238</v>
      </c>
      <c r="K439" s="1" t="s">
        <v>3239</v>
      </c>
      <c r="L439" s="1" t="s">
        <v>3238</v>
      </c>
      <c r="M439" s="1" t="s">
        <v>816</v>
      </c>
      <c r="N439" s="1" t="s">
        <v>3240</v>
      </c>
      <c r="O439" s="1">
        <v>1</v>
      </c>
      <c r="P439" s="1" t="s">
        <v>3218</v>
      </c>
      <c r="Q439" s="1">
        <v>1999</v>
      </c>
      <c r="R439" s="1" t="s">
        <v>3219</v>
      </c>
      <c r="S439" s="1" t="s">
        <v>27</v>
      </c>
      <c r="T439" s="38">
        <v>1</v>
      </c>
      <c r="V439" s="1">
        <v>0.86</v>
      </c>
    </row>
    <row r="440" spans="1:24" x14ac:dyDescent="0.2">
      <c r="A440" s="1" t="s">
        <v>3241</v>
      </c>
      <c r="B440" s="1" t="s">
        <v>55</v>
      </c>
      <c r="C440" s="1" t="s">
        <v>236</v>
      </c>
      <c r="E440" s="1">
        <v>31</v>
      </c>
      <c r="F440" s="1" t="s">
        <v>3242</v>
      </c>
      <c r="H440" s="1" t="s">
        <v>3243</v>
      </c>
      <c r="I440" s="1" t="s">
        <v>7</v>
      </c>
      <c r="J440" s="1" t="s">
        <v>3244</v>
      </c>
      <c r="L440" s="1" t="s">
        <v>3245</v>
      </c>
      <c r="M440" s="1" t="s">
        <v>2889</v>
      </c>
      <c r="N440" s="1" t="s">
        <v>3246</v>
      </c>
      <c r="O440" s="1">
        <v>1</v>
      </c>
      <c r="P440" s="1" t="s">
        <v>3218</v>
      </c>
      <c r="Q440" s="1">
        <v>1999</v>
      </c>
      <c r="R440" s="1" t="s">
        <v>3219</v>
      </c>
      <c r="S440" s="1" t="s">
        <v>27</v>
      </c>
      <c r="T440" s="38">
        <v>1</v>
      </c>
      <c r="V440" s="1">
        <v>0.3</v>
      </c>
    </row>
    <row r="441" spans="1:24" x14ac:dyDescent="0.2">
      <c r="A441" s="1" t="s">
        <v>3247</v>
      </c>
      <c r="B441" s="1" t="s">
        <v>55</v>
      </c>
      <c r="C441" s="1" t="s">
        <v>236</v>
      </c>
      <c r="E441" s="1">
        <v>31</v>
      </c>
      <c r="F441" s="1" t="s">
        <v>3242</v>
      </c>
      <c r="H441" s="1" t="s">
        <v>3243</v>
      </c>
      <c r="I441" s="1" t="s">
        <v>7</v>
      </c>
      <c r="J441" s="1" t="s">
        <v>3244</v>
      </c>
      <c r="L441" s="1" t="s">
        <v>3245</v>
      </c>
      <c r="M441" s="1" t="s">
        <v>2889</v>
      </c>
      <c r="N441" s="1" t="s">
        <v>3248</v>
      </c>
      <c r="O441" s="1">
        <v>1</v>
      </c>
      <c r="P441" s="1" t="s">
        <v>3218</v>
      </c>
      <c r="Q441" s="1">
        <v>1999</v>
      </c>
      <c r="R441" s="1" t="s">
        <v>3219</v>
      </c>
      <c r="S441" s="1" t="s">
        <v>27</v>
      </c>
      <c r="T441" s="38">
        <v>1</v>
      </c>
      <c r="V441" s="1">
        <v>0.55000000000000004</v>
      </c>
    </row>
    <row r="442" spans="1:24" x14ac:dyDescent="0.2">
      <c r="A442" s="1" t="s">
        <v>3249</v>
      </c>
      <c r="B442" s="1" t="s">
        <v>55</v>
      </c>
      <c r="C442" s="1" t="s">
        <v>236</v>
      </c>
      <c r="E442" s="1">
        <v>37</v>
      </c>
      <c r="F442" s="1" t="s">
        <v>2035</v>
      </c>
      <c r="H442" s="1" t="s">
        <v>3250</v>
      </c>
      <c r="I442" s="1" t="s">
        <v>7</v>
      </c>
      <c r="J442" s="1" t="s">
        <v>3251</v>
      </c>
      <c r="K442" s="1" t="s">
        <v>2039</v>
      </c>
      <c r="L442" s="1" t="s">
        <v>3251</v>
      </c>
      <c r="M442" s="1" t="s">
        <v>816</v>
      </c>
      <c r="N442" s="1" t="s">
        <v>3252</v>
      </c>
      <c r="O442" s="1">
        <v>1</v>
      </c>
      <c r="P442" s="1" t="s">
        <v>3218</v>
      </c>
      <c r="Q442" s="1">
        <v>1999</v>
      </c>
      <c r="R442" s="1" t="s">
        <v>3219</v>
      </c>
      <c r="S442" s="1" t="s">
        <v>27</v>
      </c>
      <c r="T442" s="38">
        <v>1</v>
      </c>
      <c r="V442" s="1">
        <v>1.6</v>
      </c>
    </row>
    <row r="443" spans="1:24" x14ac:dyDescent="0.2">
      <c r="A443" s="1" t="s">
        <v>3253</v>
      </c>
      <c r="B443" s="1" t="s">
        <v>55</v>
      </c>
      <c r="C443" s="1" t="s">
        <v>236</v>
      </c>
      <c r="E443" s="1">
        <v>37</v>
      </c>
      <c r="F443" s="1" t="s">
        <v>2035</v>
      </c>
      <c r="H443" s="1" t="s">
        <v>3254</v>
      </c>
      <c r="I443" s="1" t="s">
        <v>7</v>
      </c>
      <c r="J443" s="1" t="s">
        <v>3251</v>
      </c>
      <c r="K443" s="1" t="s">
        <v>2039</v>
      </c>
      <c r="L443" s="1" t="s">
        <v>3251</v>
      </c>
      <c r="M443" s="1" t="s">
        <v>2889</v>
      </c>
      <c r="N443" s="1" t="s">
        <v>3252</v>
      </c>
      <c r="O443" s="1">
        <v>1</v>
      </c>
      <c r="P443" s="1" t="s">
        <v>3218</v>
      </c>
      <c r="Q443" s="1">
        <v>1999</v>
      </c>
      <c r="R443" s="1" t="s">
        <v>3219</v>
      </c>
      <c r="S443" s="1" t="s">
        <v>27</v>
      </c>
      <c r="T443" s="38">
        <v>1</v>
      </c>
      <c r="V443" s="1">
        <v>1.88</v>
      </c>
    </row>
    <row r="444" spans="1:24" x14ac:dyDescent="0.2">
      <c r="A444" s="1" t="s">
        <v>3255</v>
      </c>
      <c r="B444" s="1" t="s">
        <v>55</v>
      </c>
      <c r="C444" s="1" t="s">
        <v>236</v>
      </c>
      <c r="E444" s="1">
        <v>37</v>
      </c>
      <c r="F444" s="1" t="s">
        <v>3256</v>
      </c>
      <c r="H444" s="1" t="s">
        <v>3257</v>
      </c>
      <c r="I444" s="1" t="s">
        <v>7</v>
      </c>
      <c r="J444" s="1" t="s">
        <v>3258</v>
      </c>
      <c r="K444" s="1" t="s">
        <v>3259</v>
      </c>
      <c r="L444" s="1" t="s">
        <v>3260</v>
      </c>
      <c r="N444" s="1" t="s">
        <v>3261</v>
      </c>
      <c r="O444" s="1">
        <v>1</v>
      </c>
      <c r="P444" s="1" t="s">
        <v>3218</v>
      </c>
      <c r="Q444" s="1">
        <v>1999</v>
      </c>
      <c r="R444" s="1" t="s">
        <v>3219</v>
      </c>
      <c r="S444" s="1" t="s">
        <v>27</v>
      </c>
      <c r="T444" s="38">
        <v>1</v>
      </c>
      <c r="V444" s="1">
        <v>1.04</v>
      </c>
    </row>
    <row r="445" spans="1:24" x14ac:dyDescent="0.2">
      <c r="A445" s="1" t="s">
        <v>3262</v>
      </c>
      <c r="B445" s="1" t="s">
        <v>55</v>
      </c>
      <c r="C445" s="1" t="s">
        <v>236</v>
      </c>
      <c r="E445" s="1">
        <v>37</v>
      </c>
      <c r="F445" s="1" t="s">
        <v>3152</v>
      </c>
      <c r="H445" s="1" t="s">
        <v>3263</v>
      </c>
      <c r="I445" s="1" t="s">
        <v>7</v>
      </c>
      <c r="J445" s="1" t="s">
        <v>3155</v>
      </c>
      <c r="K445" s="1" t="s">
        <v>3156</v>
      </c>
      <c r="L445" s="1" t="s">
        <v>3155</v>
      </c>
      <c r="M445" s="1" t="s">
        <v>480</v>
      </c>
      <c r="N445" s="1" t="s">
        <v>3264</v>
      </c>
      <c r="O445" s="1">
        <v>1</v>
      </c>
      <c r="P445" s="1" t="s">
        <v>3218</v>
      </c>
      <c r="Q445" s="1">
        <v>1999</v>
      </c>
      <c r="R445" s="1" t="s">
        <v>3219</v>
      </c>
      <c r="S445" s="1" t="s">
        <v>27</v>
      </c>
      <c r="T445" s="38">
        <v>1</v>
      </c>
      <c r="V445" s="1">
        <v>7.11</v>
      </c>
    </row>
    <row r="446" spans="1:24" x14ac:dyDescent="0.2">
      <c r="A446" s="1" t="s">
        <v>3265</v>
      </c>
      <c r="B446" s="1" t="s">
        <v>55</v>
      </c>
      <c r="C446" s="1" t="s">
        <v>236</v>
      </c>
      <c r="E446" s="1">
        <v>37</v>
      </c>
      <c r="F446" s="1" t="s">
        <v>3266</v>
      </c>
      <c r="H446" s="1" t="s">
        <v>3267</v>
      </c>
      <c r="I446" s="1" t="s">
        <v>7</v>
      </c>
      <c r="J446" s="1" t="s">
        <v>3268</v>
      </c>
      <c r="K446" s="1" t="s">
        <v>3269</v>
      </c>
      <c r="L446" s="1" t="s">
        <v>3268</v>
      </c>
      <c r="M446" s="1" t="s">
        <v>2889</v>
      </c>
      <c r="O446" s="1">
        <v>1</v>
      </c>
      <c r="P446" s="1" t="s">
        <v>3218</v>
      </c>
      <c r="Q446" s="1">
        <v>1999</v>
      </c>
      <c r="R446" s="1" t="s">
        <v>3219</v>
      </c>
      <c r="S446" s="1" t="s">
        <v>27</v>
      </c>
      <c r="T446" s="38">
        <v>1</v>
      </c>
      <c r="V446" s="1">
        <v>1.02</v>
      </c>
    </row>
    <row r="447" spans="1:24" x14ac:dyDescent="0.2">
      <c r="A447" s="1" t="s">
        <v>3270</v>
      </c>
      <c r="B447" s="1" t="s">
        <v>55</v>
      </c>
      <c r="C447" s="1" t="s">
        <v>236</v>
      </c>
      <c r="E447" s="1">
        <v>37</v>
      </c>
      <c r="F447" s="1" t="s">
        <v>3256</v>
      </c>
      <c r="H447" s="1" t="s">
        <v>3257</v>
      </c>
      <c r="I447" s="1" t="s">
        <v>7</v>
      </c>
      <c r="J447" s="1" t="s">
        <v>3258</v>
      </c>
      <c r="K447" s="1" t="s">
        <v>3259</v>
      </c>
      <c r="L447" s="1" t="s">
        <v>3260</v>
      </c>
      <c r="M447" s="1" t="s">
        <v>480</v>
      </c>
      <c r="N447" s="1" t="s">
        <v>3271</v>
      </c>
      <c r="O447" s="1">
        <v>1</v>
      </c>
      <c r="P447" s="1" t="s">
        <v>3218</v>
      </c>
      <c r="Q447" s="1">
        <v>1999</v>
      </c>
      <c r="R447" s="1" t="s">
        <v>3219</v>
      </c>
      <c r="S447" s="1" t="s">
        <v>27</v>
      </c>
      <c r="T447" s="38">
        <v>1</v>
      </c>
      <c r="V447" s="1">
        <v>1.94</v>
      </c>
    </row>
    <row r="448" spans="1:24" x14ac:dyDescent="0.2">
      <c r="A448" s="1" t="s">
        <v>3272</v>
      </c>
      <c r="B448" s="1" t="s">
        <v>55</v>
      </c>
      <c r="C448" s="1" t="s">
        <v>236</v>
      </c>
      <c r="E448" s="1">
        <v>37</v>
      </c>
      <c r="F448" s="1" t="s">
        <v>2035</v>
      </c>
      <c r="H448" s="1" t="s">
        <v>3250</v>
      </c>
      <c r="I448" s="1" t="s">
        <v>7</v>
      </c>
      <c r="J448" s="1" t="s">
        <v>3251</v>
      </c>
      <c r="K448" s="1" t="s">
        <v>2039</v>
      </c>
      <c r="L448" s="1" t="s">
        <v>3251</v>
      </c>
      <c r="M448" s="1" t="s">
        <v>2889</v>
      </c>
      <c r="N448" s="1" t="s">
        <v>3273</v>
      </c>
      <c r="O448" s="1">
        <v>1</v>
      </c>
      <c r="P448" s="1" t="s">
        <v>3218</v>
      </c>
      <c r="Q448" s="1">
        <v>1999</v>
      </c>
      <c r="R448" s="1" t="s">
        <v>3219</v>
      </c>
      <c r="S448" s="1" t="s">
        <v>27</v>
      </c>
      <c r="T448" s="38">
        <v>1</v>
      </c>
      <c r="V448" s="1">
        <v>0.64</v>
      </c>
    </row>
    <row r="449" spans="1:22" x14ac:dyDescent="0.2">
      <c r="A449" s="1" t="s">
        <v>3274</v>
      </c>
      <c r="B449" s="1" t="s">
        <v>55</v>
      </c>
      <c r="C449" s="1" t="s">
        <v>236</v>
      </c>
      <c r="E449" s="1">
        <v>37</v>
      </c>
      <c r="F449" s="1" t="s">
        <v>2016</v>
      </c>
      <c r="H449" s="1" t="s">
        <v>3275</v>
      </c>
      <c r="I449" s="1" t="s">
        <v>7</v>
      </c>
      <c r="J449" s="1" t="s">
        <v>2019</v>
      </c>
      <c r="K449" s="1" t="s">
        <v>2020</v>
      </c>
      <c r="L449" s="1" t="s">
        <v>2019</v>
      </c>
      <c r="M449" s="1" t="s">
        <v>2889</v>
      </c>
      <c r="N449" s="1" t="s">
        <v>3276</v>
      </c>
      <c r="O449" s="1">
        <v>1</v>
      </c>
      <c r="P449" s="1" t="s">
        <v>3218</v>
      </c>
      <c r="Q449" s="1">
        <v>1999</v>
      </c>
      <c r="R449" s="1" t="s">
        <v>3219</v>
      </c>
      <c r="S449" s="1" t="s">
        <v>27</v>
      </c>
      <c r="T449" s="38">
        <v>1</v>
      </c>
      <c r="V449" s="1">
        <v>1.0900000000000001</v>
      </c>
    </row>
    <row r="450" spans="1:22" x14ac:dyDescent="0.2">
      <c r="A450" s="1" t="s">
        <v>3277</v>
      </c>
      <c r="B450" s="1" t="s">
        <v>55</v>
      </c>
      <c r="C450" s="1" t="s">
        <v>236</v>
      </c>
      <c r="E450" s="1">
        <v>37</v>
      </c>
      <c r="F450" s="1" t="s">
        <v>3278</v>
      </c>
      <c r="H450" s="1" t="s">
        <v>3279</v>
      </c>
      <c r="I450" s="1" t="s">
        <v>7</v>
      </c>
      <c r="J450" s="1" t="s">
        <v>3280</v>
      </c>
      <c r="K450" s="1" t="s">
        <v>3281</v>
      </c>
      <c r="L450" s="1" t="s">
        <v>3280</v>
      </c>
      <c r="M450" s="1" t="s">
        <v>2889</v>
      </c>
      <c r="N450" s="1" t="s">
        <v>3282</v>
      </c>
      <c r="O450" s="1">
        <v>1</v>
      </c>
      <c r="P450" s="1" t="s">
        <v>3218</v>
      </c>
      <c r="Q450" s="1">
        <v>1999</v>
      </c>
      <c r="R450" s="1" t="s">
        <v>3219</v>
      </c>
      <c r="S450" s="1" t="s">
        <v>27</v>
      </c>
      <c r="T450" s="38">
        <v>1</v>
      </c>
      <c r="V450" s="1">
        <v>1.34</v>
      </c>
    </row>
    <row r="451" spans="1:22" x14ac:dyDescent="0.2">
      <c r="A451" s="1" t="s">
        <v>3283</v>
      </c>
      <c r="B451" s="1" t="s">
        <v>55</v>
      </c>
      <c r="C451" s="1" t="s">
        <v>236</v>
      </c>
      <c r="E451" s="1">
        <v>37</v>
      </c>
      <c r="F451" s="1" t="s">
        <v>3266</v>
      </c>
      <c r="H451" s="1" t="s">
        <v>3267</v>
      </c>
      <c r="I451" s="1" t="s">
        <v>7</v>
      </c>
      <c r="J451" s="1" t="s">
        <v>3268</v>
      </c>
      <c r="K451" s="1" t="s">
        <v>3269</v>
      </c>
      <c r="L451" s="1" t="s">
        <v>3268</v>
      </c>
      <c r="M451" s="1" t="s">
        <v>2889</v>
      </c>
      <c r="N451" s="1" t="s">
        <v>3284</v>
      </c>
      <c r="O451" s="1">
        <v>1</v>
      </c>
      <c r="P451" s="1" t="s">
        <v>3218</v>
      </c>
      <c r="Q451" s="1">
        <v>1999</v>
      </c>
      <c r="R451" s="1" t="s">
        <v>3219</v>
      </c>
      <c r="S451" s="1" t="s">
        <v>27</v>
      </c>
      <c r="T451" s="38">
        <v>1</v>
      </c>
      <c r="V451" s="1">
        <v>0.88</v>
      </c>
    </row>
    <row r="452" spans="1:22" x14ac:dyDescent="0.2">
      <c r="A452" s="1" t="s">
        <v>3285</v>
      </c>
      <c r="B452" s="1" t="s">
        <v>55</v>
      </c>
      <c r="C452" s="1" t="s">
        <v>236</v>
      </c>
      <c r="E452" s="1">
        <v>37</v>
      </c>
      <c r="F452" s="1" t="s">
        <v>2035</v>
      </c>
      <c r="H452" s="1" t="s">
        <v>3250</v>
      </c>
      <c r="I452" s="1" t="s">
        <v>7</v>
      </c>
      <c r="J452" s="1" t="s">
        <v>3251</v>
      </c>
      <c r="K452" s="1" t="s">
        <v>2039</v>
      </c>
      <c r="L452" s="1" t="s">
        <v>3251</v>
      </c>
      <c r="M452" s="1" t="s">
        <v>2889</v>
      </c>
      <c r="N452" s="1" t="s">
        <v>3286</v>
      </c>
      <c r="O452" s="1">
        <v>1</v>
      </c>
      <c r="P452" s="1" t="s">
        <v>3218</v>
      </c>
      <c r="Q452" s="1">
        <v>1999</v>
      </c>
      <c r="R452" s="1" t="s">
        <v>3219</v>
      </c>
      <c r="S452" s="1" t="s">
        <v>27</v>
      </c>
      <c r="T452" s="38">
        <v>1</v>
      </c>
      <c r="V452" s="1">
        <v>1.01</v>
      </c>
    </row>
    <row r="453" spans="1:22" x14ac:dyDescent="0.2">
      <c r="A453" s="1" t="s">
        <v>3287</v>
      </c>
      <c r="B453" s="1" t="s">
        <v>55</v>
      </c>
      <c r="C453" s="1" t="s">
        <v>236</v>
      </c>
      <c r="E453" s="1">
        <v>37</v>
      </c>
      <c r="F453" s="1" t="s">
        <v>3288</v>
      </c>
      <c r="H453" s="1" t="s">
        <v>3289</v>
      </c>
      <c r="I453" s="1" t="s">
        <v>7</v>
      </c>
      <c r="J453" s="1" t="s">
        <v>3290</v>
      </c>
      <c r="K453" s="1" t="s">
        <v>3291</v>
      </c>
      <c r="L453" s="1" t="s">
        <v>3290</v>
      </c>
      <c r="M453" s="1" t="s">
        <v>2889</v>
      </c>
      <c r="N453" s="1" t="s">
        <v>3292</v>
      </c>
      <c r="O453" s="1">
        <v>1</v>
      </c>
      <c r="P453" s="1" t="s">
        <v>3218</v>
      </c>
      <c r="Q453" s="1">
        <v>1999</v>
      </c>
      <c r="R453" s="1" t="s">
        <v>3219</v>
      </c>
      <c r="S453" s="1" t="s">
        <v>27</v>
      </c>
      <c r="T453" s="38">
        <v>1</v>
      </c>
      <c r="V453" s="1">
        <v>1.61</v>
      </c>
    </row>
    <row r="454" spans="1:22" x14ac:dyDescent="0.2">
      <c r="A454" s="1" t="s">
        <v>3293</v>
      </c>
      <c r="B454" s="1" t="s">
        <v>55</v>
      </c>
      <c r="C454" s="1" t="s">
        <v>236</v>
      </c>
      <c r="E454" s="1">
        <v>37</v>
      </c>
      <c r="F454" s="1" t="s">
        <v>3288</v>
      </c>
      <c r="H454" s="1" t="s">
        <v>3289</v>
      </c>
      <c r="I454" s="1" t="s">
        <v>7</v>
      </c>
      <c r="J454" s="1" t="s">
        <v>3290</v>
      </c>
      <c r="K454" s="1" t="s">
        <v>3291</v>
      </c>
      <c r="L454" s="1" t="s">
        <v>3290</v>
      </c>
      <c r="O454" s="1">
        <v>1</v>
      </c>
      <c r="P454" s="1" t="s">
        <v>3218</v>
      </c>
      <c r="Q454" s="1">
        <v>1999</v>
      </c>
      <c r="R454" s="1" t="s">
        <v>3219</v>
      </c>
      <c r="S454" s="1" t="s">
        <v>27</v>
      </c>
      <c r="T454" s="38">
        <v>1</v>
      </c>
      <c r="V454" s="1">
        <v>1.1599999999999999</v>
      </c>
    </row>
    <row r="455" spans="1:22" x14ac:dyDescent="0.2">
      <c r="A455" s="1" t="s">
        <v>3294</v>
      </c>
      <c r="B455" s="1" t="s">
        <v>55</v>
      </c>
      <c r="C455" s="1" t="s">
        <v>236</v>
      </c>
      <c r="E455" s="1">
        <v>37</v>
      </c>
      <c r="F455" s="1" t="s">
        <v>3152</v>
      </c>
      <c r="H455" s="1" t="s">
        <v>3263</v>
      </c>
      <c r="I455" s="1" t="s">
        <v>7</v>
      </c>
      <c r="J455" s="1" t="s">
        <v>3155</v>
      </c>
      <c r="K455" s="1" t="s">
        <v>3156</v>
      </c>
      <c r="L455" s="1" t="s">
        <v>3155</v>
      </c>
      <c r="M455" s="1" t="s">
        <v>2889</v>
      </c>
      <c r="N455" s="1" t="s">
        <v>3295</v>
      </c>
      <c r="O455" s="1">
        <v>1</v>
      </c>
      <c r="P455" s="1" t="s">
        <v>3218</v>
      </c>
      <c r="Q455" s="1">
        <v>1999</v>
      </c>
      <c r="R455" s="1" t="s">
        <v>3219</v>
      </c>
      <c r="S455" s="1" t="s">
        <v>27</v>
      </c>
      <c r="T455" s="38">
        <v>1</v>
      </c>
      <c r="V455" s="1">
        <v>1.01</v>
      </c>
    </row>
    <row r="456" spans="1:22" x14ac:dyDescent="0.2">
      <c r="A456" s="1" t="s">
        <v>3296</v>
      </c>
      <c r="B456" s="1" t="s">
        <v>55</v>
      </c>
      <c r="C456" s="1" t="s">
        <v>236</v>
      </c>
      <c r="E456" s="1">
        <v>37</v>
      </c>
      <c r="F456" s="1" t="s">
        <v>2389</v>
      </c>
      <c r="H456" s="1" t="s">
        <v>3297</v>
      </c>
      <c r="I456" s="1" t="s">
        <v>7</v>
      </c>
      <c r="J456" s="1" t="s">
        <v>3298</v>
      </c>
      <c r="K456" s="1" t="s">
        <v>2392</v>
      </c>
      <c r="L456" s="1" t="s">
        <v>2393</v>
      </c>
      <c r="M456" s="1" t="s">
        <v>2889</v>
      </c>
      <c r="N456" s="1" t="s">
        <v>3299</v>
      </c>
      <c r="O456" s="1">
        <v>1</v>
      </c>
      <c r="P456" s="1" t="s">
        <v>3218</v>
      </c>
      <c r="Q456" s="1">
        <v>1999</v>
      </c>
      <c r="R456" s="1" t="s">
        <v>3219</v>
      </c>
      <c r="S456" s="1" t="s">
        <v>27</v>
      </c>
      <c r="T456" s="38">
        <v>1</v>
      </c>
      <c r="V456" s="1">
        <v>1.73</v>
      </c>
    </row>
    <row r="457" spans="1:22" x14ac:dyDescent="0.2">
      <c r="A457" s="1" t="s">
        <v>3300</v>
      </c>
      <c r="B457" s="1" t="s">
        <v>55</v>
      </c>
      <c r="C457" s="1" t="s">
        <v>236</v>
      </c>
      <c r="E457" s="1">
        <v>37</v>
      </c>
      <c r="F457" s="1" t="s">
        <v>3301</v>
      </c>
      <c r="H457" s="1" t="s">
        <v>3302</v>
      </c>
      <c r="I457" s="1" t="s">
        <v>7</v>
      </c>
      <c r="J457" s="1" t="s">
        <v>3303</v>
      </c>
      <c r="K457" s="1" t="s">
        <v>3304</v>
      </c>
      <c r="L457" s="1" t="s">
        <v>3305</v>
      </c>
      <c r="M457" s="1" t="s">
        <v>2889</v>
      </c>
      <c r="N457" s="1" t="s">
        <v>3306</v>
      </c>
      <c r="O457" s="1">
        <v>1</v>
      </c>
      <c r="P457" s="1" t="s">
        <v>3218</v>
      </c>
      <c r="Q457" s="1">
        <v>1999</v>
      </c>
      <c r="R457" s="1" t="s">
        <v>3219</v>
      </c>
      <c r="S457" s="1" t="s">
        <v>27</v>
      </c>
      <c r="T457" s="38">
        <v>1</v>
      </c>
      <c r="V457" s="1">
        <v>3.41</v>
      </c>
    </row>
    <row r="458" spans="1:22" x14ac:dyDescent="0.2">
      <c r="A458" s="1" t="s">
        <v>3307</v>
      </c>
      <c r="B458" s="1" t="s">
        <v>55</v>
      </c>
      <c r="C458" s="1" t="s">
        <v>236</v>
      </c>
      <c r="E458" s="1">
        <v>37</v>
      </c>
      <c r="F458" s="1" t="s">
        <v>3301</v>
      </c>
      <c r="H458" s="1" t="s">
        <v>3302</v>
      </c>
      <c r="I458" s="1" t="s">
        <v>7</v>
      </c>
      <c r="J458" s="1" t="s">
        <v>3308</v>
      </c>
      <c r="K458" s="1" t="s">
        <v>3304</v>
      </c>
      <c r="L458" s="1" t="s">
        <v>3305</v>
      </c>
      <c r="M458" s="1" t="s">
        <v>2889</v>
      </c>
      <c r="N458" s="1" t="s">
        <v>3309</v>
      </c>
      <c r="O458" s="1">
        <v>1</v>
      </c>
      <c r="P458" s="1" t="s">
        <v>3218</v>
      </c>
      <c r="Q458" s="1">
        <v>1999</v>
      </c>
      <c r="R458" s="1" t="s">
        <v>3219</v>
      </c>
      <c r="S458" s="1" t="s">
        <v>27</v>
      </c>
      <c r="T458" s="38">
        <v>1</v>
      </c>
      <c r="V458" s="1">
        <v>1.52</v>
      </c>
    </row>
    <row r="459" spans="1:22" x14ac:dyDescent="0.2">
      <c r="A459" s="1" t="s">
        <v>3310</v>
      </c>
      <c r="B459" s="1" t="s">
        <v>55</v>
      </c>
      <c r="C459" s="1" t="s">
        <v>236</v>
      </c>
      <c r="E459" s="1">
        <v>25</v>
      </c>
      <c r="F459" s="1" t="s">
        <v>3311</v>
      </c>
      <c r="H459" s="1" t="s">
        <v>3312</v>
      </c>
      <c r="I459" s="1" t="s">
        <v>7</v>
      </c>
      <c r="J459" s="1" t="s">
        <v>3313</v>
      </c>
      <c r="K459" s="1" t="s">
        <v>3314</v>
      </c>
      <c r="L459" s="1" t="s">
        <v>3313</v>
      </c>
      <c r="M459" s="1" t="s">
        <v>3315</v>
      </c>
      <c r="N459" s="1" t="s">
        <v>3316</v>
      </c>
      <c r="O459" s="1">
        <v>1</v>
      </c>
      <c r="P459" s="1" t="s">
        <v>3218</v>
      </c>
      <c r="Q459" s="1">
        <v>1999</v>
      </c>
      <c r="R459" s="1" t="s">
        <v>3219</v>
      </c>
      <c r="S459" s="1" t="s">
        <v>27</v>
      </c>
      <c r="T459" s="38">
        <v>1</v>
      </c>
      <c r="V459" s="1">
        <v>0.98</v>
      </c>
    </row>
    <row r="460" spans="1:22" x14ac:dyDescent="0.2">
      <c r="A460" s="1" t="s">
        <v>3317</v>
      </c>
      <c r="B460" s="1" t="s">
        <v>55</v>
      </c>
      <c r="C460" s="1" t="s">
        <v>236</v>
      </c>
      <c r="E460" s="1">
        <v>35</v>
      </c>
      <c r="F460" s="1" t="s">
        <v>3318</v>
      </c>
      <c r="H460" s="1" t="s">
        <v>3319</v>
      </c>
      <c r="I460" s="1" t="s">
        <v>7</v>
      </c>
      <c r="J460" s="1" t="s">
        <v>3320</v>
      </c>
      <c r="K460" s="1" t="s">
        <v>3321</v>
      </c>
      <c r="L460" s="1" t="s">
        <v>3320</v>
      </c>
      <c r="M460" s="1" t="s">
        <v>480</v>
      </c>
      <c r="O460" s="1">
        <v>1</v>
      </c>
      <c r="P460" s="1" t="s">
        <v>3218</v>
      </c>
      <c r="Q460" s="1">
        <v>1999</v>
      </c>
      <c r="R460" s="1" t="s">
        <v>3219</v>
      </c>
      <c r="S460" s="1" t="s">
        <v>27</v>
      </c>
      <c r="T460" s="38">
        <v>1</v>
      </c>
      <c r="V460" s="1">
        <v>2.42</v>
      </c>
    </row>
    <row r="461" spans="1:22" x14ac:dyDescent="0.2">
      <c r="A461" s="1" t="s">
        <v>3322</v>
      </c>
      <c r="B461" s="1" t="s">
        <v>55</v>
      </c>
      <c r="C461" s="1" t="s">
        <v>236</v>
      </c>
      <c r="E461" s="1">
        <v>35</v>
      </c>
      <c r="F461" s="1" t="s">
        <v>3323</v>
      </c>
      <c r="H461" s="1" t="s">
        <v>3324</v>
      </c>
      <c r="I461" s="1" t="s">
        <v>7</v>
      </c>
      <c r="J461" s="1" t="s">
        <v>3325</v>
      </c>
      <c r="K461" s="1" t="s">
        <v>3326</v>
      </c>
      <c r="L461" s="1" t="s">
        <v>3325</v>
      </c>
      <c r="M461" s="1" t="s">
        <v>2889</v>
      </c>
      <c r="N461" s="1" t="s">
        <v>3327</v>
      </c>
      <c r="O461" s="1">
        <v>1</v>
      </c>
      <c r="P461" s="1" t="s">
        <v>3218</v>
      </c>
      <c r="Q461" s="1">
        <v>1999</v>
      </c>
      <c r="R461" s="1" t="s">
        <v>3219</v>
      </c>
      <c r="S461" s="1" t="s">
        <v>27</v>
      </c>
      <c r="T461" s="38">
        <v>1</v>
      </c>
    </row>
    <row r="462" spans="1:22" x14ac:dyDescent="0.2">
      <c r="A462" s="1" t="s">
        <v>3328</v>
      </c>
      <c r="B462" s="1" t="s">
        <v>55</v>
      </c>
      <c r="C462" s="1" t="s">
        <v>236</v>
      </c>
      <c r="E462" s="1">
        <v>35</v>
      </c>
      <c r="F462" s="1" t="s">
        <v>3323</v>
      </c>
      <c r="H462" s="1" t="s">
        <v>3324</v>
      </c>
      <c r="I462" s="1" t="s">
        <v>7</v>
      </c>
      <c r="J462" s="1" t="s">
        <v>3325</v>
      </c>
      <c r="K462" s="1" t="s">
        <v>3326</v>
      </c>
      <c r="L462" s="1" t="s">
        <v>3325</v>
      </c>
      <c r="M462" s="1" t="s">
        <v>2889</v>
      </c>
      <c r="N462" s="1" t="s">
        <v>3329</v>
      </c>
      <c r="O462" s="1">
        <v>1</v>
      </c>
      <c r="P462" s="1" t="s">
        <v>3218</v>
      </c>
      <c r="Q462" s="1">
        <v>1999</v>
      </c>
      <c r="R462" s="1" t="s">
        <v>3219</v>
      </c>
      <c r="S462" s="1" t="s">
        <v>27</v>
      </c>
      <c r="T462" s="38">
        <v>1</v>
      </c>
      <c r="V462" s="1">
        <v>1.56</v>
      </c>
    </row>
    <row r="463" spans="1:22" x14ac:dyDescent="0.2">
      <c r="A463" s="1" t="s">
        <v>3330</v>
      </c>
      <c r="B463" s="1" t="s">
        <v>55</v>
      </c>
      <c r="C463" s="1" t="s">
        <v>236</v>
      </c>
      <c r="E463" s="1">
        <v>12</v>
      </c>
      <c r="F463" s="1" t="s">
        <v>1550</v>
      </c>
      <c r="H463" s="1" t="s">
        <v>3331</v>
      </c>
      <c r="I463" s="1" t="s">
        <v>7</v>
      </c>
      <c r="J463" s="1" t="s">
        <v>3332</v>
      </c>
      <c r="K463" s="1" t="s">
        <v>1553</v>
      </c>
      <c r="L463" s="1" t="s">
        <v>1552</v>
      </c>
      <c r="M463" s="1" t="s">
        <v>3315</v>
      </c>
      <c r="N463" s="1" t="s">
        <v>3333</v>
      </c>
      <c r="O463" s="1">
        <v>1</v>
      </c>
      <c r="P463" s="1" t="s">
        <v>3218</v>
      </c>
      <c r="Q463" s="1">
        <v>1999</v>
      </c>
      <c r="R463" s="1" t="s">
        <v>3219</v>
      </c>
      <c r="S463" s="1" t="s">
        <v>27</v>
      </c>
      <c r="T463" s="38">
        <v>1</v>
      </c>
      <c r="V463" s="1">
        <v>0.51</v>
      </c>
    </row>
    <row r="464" spans="1:22" x14ac:dyDescent="0.2">
      <c r="A464" s="1" t="s">
        <v>3334</v>
      </c>
      <c r="B464" s="1" t="s">
        <v>55</v>
      </c>
      <c r="C464" s="1" t="s">
        <v>236</v>
      </c>
      <c r="E464" s="1">
        <v>12</v>
      </c>
      <c r="F464" s="1" t="s">
        <v>3335</v>
      </c>
      <c r="H464" s="1" t="s">
        <v>3336</v>
      </c>
      <c r="I464" s="1" t="s">
        <v>7</v>
      </c>
      <c r="J464" s="1" t="s">
        <v>3337</v>
      </c>
      <c r="K464" s="1" t="s">
        <v>3338</v>
      </c>
      <c r="L464" s="1" t="s">
        <v>3337</v>
      </c>
      <c r="M464" s="1" t="s">
        <v>3315</v>
      </c>
      <c r="N464" s="1" t="s">
        <v>3339</v>
      </c>
      <c r="O464" s="1">
        <v>1</v>
      </c>
      <c r="P464" s="1" t="s">
        <v>3218</v>
      </c>
      <c r="Q464" s="1">
        <v>1999</v>
      </c>
      <c r="R464" s="1" t="s">
        <v>3219</v>
      </c>
      <c r="S464" s="1" t="s">
        <v>27</v>
      </c>
      <c r="T464" s="38">
        <v>1</v>
      </c>
      <c r="V464" s="1">
        <v>0.71</v>
      </c>
    </row>
    <row r="465" spans="1:22" x14ac:dyDescent="0.2">
      <c r="A465" s="1" t="s">
        <v>3340</v>
      </c>
      <c r="B465" s="1" t="s">
        <v>55</v>
      </c>
      <c r="C465" s="1" t="s">
        <v>236</v>
      </c>
      <c r="E465" s="1">
        <v>24</v>
      </c>
      <c r="F465" s="1" t="s">
        <v>3341</v>
      </c>
      <c r="H465" s="1" t="s">
        <v>3342</v>
      </c>
      <c r="I465" s="1" t="s">
        <v>7</v>
      </c>
      <c r="J465" s="1" t="s">
        <v>3343</v>
      </c>
      <c r="K465" s="1" t="s">
        <v>3344</v>
      </c>
      <c r="L465" s="1" t="s">
        <v>3345</v>
      </c>
      <c r="M465" s="1" t="s">
        <v>3225</v>
      </c>
      <c r="N465" s="1" t="s">
        <v>3346</v>
      </c>
      <c r="O465" s="1">
        <v>1</v>
      </c>
      <c r="P465" s="1" t="s">
        <v>3218</v>
      </c>
      <c r="Q465" s="1">
        <v>1999</v>
      </c>
      <c r="R465" s="1" t="s">
        <v>3219</v>
      </c>
      <c r="S465" s="1" t="s">
        <v>27</v>
      </c>
      <c r="T465" s="38">
        <v>1</v>
      </c>
      <c r="V465" s="1">
        <v>4.9000000000000004</v>
      </c>
    </row>
    <row r="466" spans="1:22" x14ac:dyDescent="0.2">
      <c r="A466" s="1" t="s">
        <v>3347</v>
      </c>
      <c r="B466" s="1" t="s">
        <v>55</v>
      </c>
      <c r="C466" s="1" t="s">
        <v>236</v>
      </c>
      <c r="E466" s="1">
        <v>24</v>
      </c>
      <c r="F466" s="1" t="s">
        <v>3341</v>
      </c>
      <c r="H466" s="1" t="s">
        <v>3342</v>
      </c>
      <c r="I466" s="1" t="s">
        <v>7</v>
      </c>
      <c r="J466" s="1" t="s">
        <v>3343</v>
      </c>
      <c r="K466" s="1" t="s">
        <v>3344</v>
      </c>
      <c r="L466" s="1" t="s">
        <v>3345</v>
      </c>
      <c r="M466" s="1" t="s">
        <v>480</v>
      </c>
      <c r="N466" s="1" t="s">
        <v>3348</v>
      </c>
      <c r="O466" s="1">
        <v>1</v>
      </c>
      <c r="P466" s="1" t="s">
        <v>3218</v>
      </c>
      <c r="Q466" s="1">
        <v>1999</v>
      </c>
      <c r="R466" s="1" t="s">
        <v>3219</v>
      </c>
      <c r="S466" s="1" t="s">
        <v>27</v>
      </c>
      <c r="T466" s="38">
        <v>1</v>
      </c>
      <c r="V466" s="1">
        <v>6.3</v>
      </c>
    </row>
    <row r="467" spans="1:22" x14ac:dyDescent="0.2">
      <c r="A467" s="1" t="s">
        <v>3349</v>
      </c>
      <c r="B467" s="1" t="s">
        <v>55</v>
      </c>
      <c r="C467" s="1" t="s">
        <v>236</v>
      </c>
      <c r="E467" s="1">
        <v>24</v>
      </c>
      <c r="F467" s="1" t="s">
        <v>3341</v>
      </c>
      <c r="H467" s="1" t="s">
        <v>3342</v>
      </c>
      <c r="I467" s="1" t="s">
        <v>7</v>
      </c>
      <c r="J467" s="1" t="s">
        <v>3343</v>
      </c>
      <c r="K467" s="1" t="s">
        <v>3344</v>
      </c>
      <c r="L467" s="1" t="s">
        <v>3345</v>
      </c>
      <c r="M467" s="1" t="s">
        <v>2889</v>
      </c>
      <c r="N467" s="1" t="s">
        <v>3350</v>
      </c>
      <c r="O467" s="1">
        <v>1</v>
      </c>
      <c r="P467" s="1" t="s">
        <v>3218</v>
      </c>
      <c r="Q467" s="1">
        <v>1999</v>
      </c>
      <c r="R467" s="1" t="s">
        <v>3219</v>
      </c>
      <c r="S467" s="1" t="s">
        <v>27</v>
      </c>
      <c r="T467" s="38">
        <v>1</v>
      </c>
      <c r="V467" s="1">
        <v>1.46</v>
      </c>
    </row>
    <row r="468" spans="1:22" x14ac:dyDescent="0.2">
      <c r="A468" s="1" t="s">
        <v>3351</v>
      </c>
      <c r="B468" s="1" t="s">
        <v>55</v>
      </c>
      <c r="C468" s="1" t="s">
        <v>236</v>
      </c>
      <c r="E468" s="1">
        <v>35</v>
      </c>
      <c r="F468" s="1" t="s">
        <v>3352</v>
      </c>
      <c r="H468" s="1" t="s">
        <v>3353</v>
      </c>
      <c r="I468" s="1" t="s">
        <v>7</v>
      </c>
      <c r="J468" s="1" t="s">
        <v>3354</v>
      </c>
      <c r="K468" s="1" t="s">
        <v>3355</v>
      </c>
      <c r="L468" s="1" t="s">
        <v>3354</v>
      </c>
      <c r="M468" s="1" t="s">
        <v>2889</v>
      </c>
      <c r="N468" s="1" t="s">
        <v>3356</v>
      </c>
      <c r="O468" s="1">
        <v>1</v>
      </c>
      <c r="P468" s="1" t="s">
        <v>3218</v>
      </c>
      <c r="Q468" s="1">
        <v>1999</v>
      </c>
      <c r="R468" s="1" t="s">
        <v>3219</v>
      </c>
      <c r="S468" s="1" t="s">
        <v>27</v>
      </c>
      <c r="T468" s="38">
        <v>1</v>
      </c>
      <c r="V468" s="1">
        <v>0.94</v>
      </c>
    </row>
    <row r="469" spans="1:22" x14ac:dyDescent="0.2">
      <c r="A469" s="1" t="s">
        <v>3357</v>
      </c>
      <c r="B469" s="1" t="s">
        <v>55</v>
      </c>
      <c r="C469" s="1" t="s">
        <v>236</v>
      </c>
      <c r="E469" s="1">
        <v>35</v>
      </c>
      <c r="F469" s="1" t="s">
        <v>3358</v>
      </c>
      <c r="H469" s="1" t="s">
        <v>3359</v>
      </c>
      <c r="I469" s="1" t="s">
        <v>7</v>
      </c>
      <c r="J469" s="1" t="s">
        <v>3360</v>
      </c>
      <c r="K469" s="1" t="s">
        <v>3361</v>
      </c>
      <c r="L469" s="1" t="s">
        <v>3360</v>
      </c>
      <c r="M469" s="1" t="s">
        <v>2889</v>
      </c>
      <c r="N469" s="1" t="s">
        <v>3362</v>
      </c>
      <c r="O469" s="1">
        <v>1</v>
      </c>
      <c r="P469" s="1" t="s">
        <v>3218</v>
      </c>
      <c r="Q469" s="1">
        <v>1999</v>
      </c>
      <c r="R469" s="1" t="s">
        <v>3219</v>
      </c>
      <c r="S469" s="1" t="s">
        <v>27</v>
      </c>
      <c r="T469" s="38">
        <v>1</v>
      </c>
      <c r="V469" s="1">
        <v>1.8</v>
      </c>
    </row>
    <row r="470" spans="1:22" x14ac:dyDescent="0.2">
      <c r="A470" s="1" t="s">
        <v>3363</v>
      </c>
      <c r="B470" s="1" t="s">
        <v>55</v>
      </c>
      <c r="C470" s="1" t="s">
        <v>236</v>
      </c>
      <c r="E470" s="1">
        <v>35</v>
      </c>
      <c r="F470" s="1" t="s">
        <v>3364</v>
      </c>
      <c r="H470" s="1" t="s">
        <v>3365</v>
      </c>
      <c r="I470" s="1" t="s">
        <v>7</v>
      </c>
      <c r="J470" s="1" t="s">
        <v>3366</v>
      </c>
      <c r="K470" s="1" t="s">
        <v>3367</v>
      </c>
      <c r="L470" s="1" t="s">
        <v>3368</v>
      </c>
      <c r="M470" s="1" t="s">
        <v>757</v>
      </c>
      <c r="N470" s="1" t="s">
        <v>3369</v>
      </c>
      <c r="O470" s="1">
        <v>1</v>
      </c>
      <c r="P470" s="1" t="s">
        <v>3218</v>
      </c>
      <c r="Q470" s="1">
        <v>1999</v>
      </c>
      <c r="R470" s="1" t="s">
        <v>3219</v>
      </c>
      <c r="S470" s="1" t="s">
        <v>27</v>
      </c>
      <c r="T470" s="38">
        <v>1</v>
      </c>
      <c r="V470" s="1">
        <v>4.34</v>
      </c>
    </row>
    <row r="471" spans="1:22" x14ac:dyDescent="0.2">
      <c r="A471" s="1" t="s">
        <v>3370</v>
      </c>
      <c r="B471" s="1" t="s">
        <v>55</v>
      </c>
      <c r="C471" s="1" t="s">
        <v>236</v>
      </c>
      <c r="E471" s="1">
        <v>31</v>
      </c>
      <c r="F471" s="1" t="s">
        <v>3371</v>
      </c>
      <c r="H471" s="1" t="s">
        <v>3372</v>
      </c>
      <c r="I471" s="1" t="s">
        <v>7</v>
      </c>
      <c r="J471" s="1" t="s">
        <v>3373</v>
      </c>
      <c r="K471" s="1" t="s">
        <v>3374</v>
      </c>
      <c r="L471" s="1" t="s">
        <v>3373</v>
      </c>
      <c r="M471" s="1" t="s">
        <v>2889</v>
      </c>
      <c r="N471" s="1" t="s">
        <v>3375</v>
      </c>
      <c r="O471" s="1">
        <v>1</v>
      </c>
      <c r="P471" s="1" t="s">
        <v>3218</v>
      </c>
      <c r="Q471" s="1">
        <v>1999</v>
      </c>
      <c r="R471" s="1" t="s">
        <v>3219</v>
      </c>
      <c r="S471" s="1" t="s">
        <v>27</v>
      </c>
      <c r="T471" s="38">
        <v>1</v>
      </c>
      <c r="V471" s="1">
        <v>0.47</v>
      </c>
    </row>
    <row r="472" spans="1:22" x14ac:dyDescent="0.2">
      <c r="A472" s="1" t="s">
        <v>3376</v>
      </c>
      <c r="B472" s="1" t="s">
        <v>55</v>
      </c>
      <c r="C472" s="1" t="s">
        <v>236</v>
      </c>
      <c r="E472" s="1">
        <v>31</v>
      </c>
      <c r="F472" s="1" t="s">
        <v>3377</v>
      </c>
      <c r="H472" s="1" t="s">
        <v>3243</v>
      </c>
      <c r="I472" s="1" t="s">
        <v>7</v>
      </c>
      <c r="J472" s="1" t="s">
        <v>3378</v>
      </c>
      <c r="K472" s="1" t="s">
        <v>3379</v>
      </c>
      <c r="L472" s="1" t="s">
        <v>3380</v>
      </c>
      <c r="M472" s="1" t="s">
        <v>2889</v>
      </c>
      <c r="N472" s="1" t="s">
        <v>3381</v>
      </c>
      <c r="O472" s="1">
        <v>1</v>
      </c>
      <c r="P472" s="1" t="s">
        <v>3218</v>
      </c>
      <c r="Q472" s="1">
        <v>1999</v>
      </c>
      <c r="R472" s="1" t="s">
        <v>3219</v>
      </c>
      <c r="S472" s="1" t="s">
        <v>27</v>
      </c>
      <c r="T472" s="38">
        <v>1</v>
      </c>
      <c r="V472" s="1">
        <v>0.24</v>
      </c>
    </row>
    <row r="473" spans="1:22" x14ac:dyDescent="0.2">
      <c r="A473" s="1" t="s">
        <v>3382</v>
      </c>
      <c r="B473" s="1" t="s">
        <v>55</v>
      </c>
      <c r="C473" s="1" t="s">
        <v>236</v>
      </c>
      <c r="E473" s="1">
        <v>11</v>
      </c>
      <c r="F473" s="1" t="s">
        <v>2131</v>
      </c>
      <c r="H473" s="1" t="s">
        <v>3383</v>
      </c>
      <c r="I473" s="1" t="s">
        <v>7</v>
      </c>
      <c r="J473" s="1" t="s">
        <v>3384</v>
      </c>
      <c r="K473" s="1" t="s">
        <v>2135</v>
      </c>
      <c r="L473" s="1" t="s">
        <v>2134</v>
      </c>
      <c r="O473" s="1">
        <v>1</v>
      </c>
      <c r="P473" s="1" t="s">
        <v>3218</v>
      </c>
      <c r="Q473" s="1">
        <v>1999</v>
      </c>
      <c r="R473" s="1" t="s">
        <v>3219</v>
      </c>
      <c r="S473" s="1" t="s">
        <v>27</v>
      </c>
      <c r="T473" s="38">
        <v>1</v>
      </c>
    </row>
    <row r="474" spans="1:22" x14ac:dyDescent="0.2">
      <c r="A474" s="1" t="s">
        <v>3385</v>
      </c>
      <c r="B474" s="1" t="s">
        <v>55</v>
      </c>
      <c r="C474" s="1" t="s">
        <v>236</v>
      </c>
      <c r="E474" s="1">
        <v>11</v>
      </c>
      <c r="F474" s="1" t="s">
        <v>2123</v>
      </c>
      <c r="H474" s="1" t="s">
        <v>3386</v>
      </c>
      <c r="I474" s="1" t="s">
        <v>7</v>
      </c>
      <c r="J474" s="1" t="s">
        <v>2164</v>
      </c>
      <c r="K474" s="1" t="s">
        <v>2127</v>
      </c>
      <c r="L474" s="1" t="s">
        <v>2164</v>
      </c>
      <c r="O474" s="1">
        <v>1</v>
      </c>
      <c r="P474" s="1" t="s">
        <v>3218</v>
      </c>
      <c r="Q474" s="1">
        <v>1999</v>
      </c>
      <c r="R474" s="1" t="s">
        <v>3219</v>
      </c>
      <c r="S474" s="1" t="s">
        <v>27</v>
      </c>
      <c r="T474" s="38">
        <v>1</v>
      </c>
    </row>
    <row r="475" spans="1:22" x14ac:dyDescent="0.2">
      <c r="A475" s="1" t="s">
        <v>3387</v>
      </c>
      <c r="B475" s="1" t="s">
        <v>55</v>
      </c>
      <c r="C475" s="1" t="s">
        <v>236</v>
      </c>
      <c r="E475" s="1">
        <v>33</v>
      </c>
      <c r="F475" s="1" t="s">
        <v>3388</v>
      </c>
      <c r="H475" s="1" t="s">
        <v>3389</v>
      </c>
      <c r="I475" s="1" t="s">
        <v>7</v>
      </c>
      <c r="J475" s="1" t="s">
        <v>3390</v>
      </c>
      <c r="K475" s="1" t="s">
        <v>3391</v>
      </c>
      <c r="L475" s="1" t="s">
        <v>3390</v>
      </c>
      <c r="M475" s="1" t="s">
        <v>3315</v>
      </c>
      <c r="N475" s="1" t="s">
        <v>3392</v>
      </c>
      <c r="O475" s="1">
        <v>1</v>
      </c>
      <c r="P475" s="1" t="s">
        <v>3218</v>
      </c>
      <c r="Q475" s="1">
        <v>1999</v>
      </c>
      <c r="R475" s="1" t="s">
        <v>3219</v>
      </c>
      <c r="S475" s="1" t="s">
        <v>27</v>
      </c>
      <c r="T475" s="38">
        <v>1</v>
      </c>
      <c r="V475" s="1">
        <v>0.47</v>
      </c>
    </row>
    <row r="476" spans="1:22" x14ac:dyDescent="0.2">
      <c r="A476" s="1" t="s">
        <v>3393</v>
      </c>
      <c r="B476" s="1" t="s">
        <v>55</v>
      </c>
      <c r="C476" s="1" t="s">
        <v>236</v>
      </c>
      <c r="E476" s="1">
        <v>35</v>
      </c>
      <c r="F476" s="1" t="s">
        <v>3394</v>
      </c>
      <c r="H476" s="1" t="s">
        <v>3395</v>
      </c>
      <c r="I476" s="1" t="s">
        <v>7</v>
      </c>
      <c r="J476" s="1" t="s">
        <v>3396</v>
      </c>
      <c r="K476" s="1" t="s">
        <v>3397</v>
      </c>
      <c r="L476" s="1" t="s">
        <v>3398</v>
      </c>
      <c r="M476" s="1" t="s">
        <v>816</v>
      </c>
      <c r="N476" s="1" t="s">
        <v>3346</v>
      </c>
      <c r="O476" s="1">
        <v>1</v>
      </c>
      <c r="P476" s="1" t="s">
        <v>3218</v>
      </c>
      <c r="Q476" s="1">
        <v>1999</v>
      </c>
      <c r="R476" s="1" t="s">
        <v>3219</v>
      </c>
      <c r="S476" s="1" t="s">
        <v>27</v>
      </c>
      <c r="T476" s="38">
        <v>1</v>
      </c>
      <c r="V476" s="1">
        <v>3.15</v>
      </c>
    </row>
    <row r="477" spans="1:22" x14ac:dyDescent="0.2">
      <c r="A477" s="1" t="s">
        <v>3399</v>
      </c>
      <c r="B477" s="1" t="s">
        <v>55</v>
      </c>
      <c r="C477" s="1" t="s">
        <v>236</v>
      </c>
      <c r="E477" s="1">
        <v>33</v>
      </c>
      <c r="F477" s="1" t="s">
        <v>3400</v>
      </c>
      <c r="H477" s="1" t="s">
        <v>3401</v>
      </c>
      <c r="I477" s="1" t="s">
        <v>7</v>
      </c>
      <c r="J477" s="1" t="s">
        <v>3402</v>
      </c>
      <c r="K477" s="1" t="s">
        <v>3403</v>
      </c>
      <c r="L477" s="1" t="s">
        <v>3402</v>
      </c>
      <c r="M477" s="1" t="s">
        <v>2889</v>
      </c>
      <c r="N477" s="1" t="s">
        <v>3404</v>
      </c>
      <c r="O477" s="1">
        <v>1</v>
      </c>
      <c r="P477" s="1" t="s">
        <v>3218</v>
      </c>
      <c r="Q477" s="1">
        <v>1999</v>
      </c>
      <c r="R477" s="1" t="s">
        <v>3219</v>
      </c>
      <c r="S477" s="1" t="s">
        <v>27</v>
      </c>
      <c r="T477" s="38">
        <v>1</v>
      </c>
      <c r="V477" s="1">
        <v>3.19</v>
      </c>
    </row>
    <row r="478" spans="1:22" x14ac:dyDescent="0.2">
      <c r="A478" s="1" t="s">
        <v>3405</v>
      </c>
      <c r="B478" s="1" t="s">
        <v>55</v>
      </c>
      <c r="C478" s="1" t="s">
        <v>236</v>
      </c>
      <c r="E478" s="1">
        <v>33</v>
      </c>
      <c r="F478" s="1" t="s">
        <v>3406</v>
      </c>
      <c r="H478" s="1" t="s">
        <v>3407</v>
      </c>
      <c r="I478" s="1" t="s">
        <v>7</v>
      </c>
      <c r="J478" s="1" t="s">
        <v>3408</v>
      </c>
      <c r="K478" s="1" t="s">
        <v>3409</v>
      </c>
      <c r="L478" s="1" t="s">
        <v>3410</v>
      </c>
      <c r="N478" s="1" t="s">
        <v>3411</v>
      </c>
      <c r="O478" s="1">
        <v>1</v>
      </c>
      <c r="P478" s="1" t="s">
        <v>3218</v>
      </c>
      <c r="Q478" s="1">
        <v>1999</v>
      </c>
      <c r="R478" s="1" t="s">
        <v>3219</v>
      </c>
      <c r="S478" s="1" t="s">
        <v>27</v>
      </c>
      <c r="T478" s="38">
        <v>1</v>
      </c>
      <c r="V478" s="1">
        <v>2.35</v>
      </c>
    </row>
    <row r="479" spans="1:22" x14ac:dyDescent="0.2">
      <c r="A479" s="1" t="s">
        <v>3412</v>
      </c>
      <c r="B479" s="1" t="s">
        <v>55</v>
      </c>
      <c r="C479" s="1" t="s">
        <v>236</v>
      </c>
      <c r="E479" s="1">
        <v>34</v>
      </c>
      <c r="F479" s="1" t="s">
        <v>3406</v>
      </c>
      <c r="H479" s="1" t="s">
        <v>3407</v>
      </c>
      <c r="I479" s="1" t="s">
        <v>7</v>
      </c>
      <c r="J479" s="1" t="s">
        <v>3408</v>
      </c>
      <c r="K479" s="1" t="s">
        <v>3409</v>
      </c>
      <c r="L479" s="1" t="s">
        <v>3410</v>
      </c>
      <c r="M479" s="1" t="s">
        <v>480</v>
      </c>
      <c r="N479" s="1" t="s">
        <v>3413</v>
      </c>
      <c r="O479" s="1">
        <v>1</v>
      </c>
      <c r="P479" s="1" t="s">
        <v>3218</v>
      </c>
      <c r="Q479" s="1">
        <v>1999</v>
      </c>
      <c r="R479" s="1" t="s">
        <v>3219</v>
      </c>
      <c r="S479" s="1" t="s">
        <v>27</v>
      </c>
      <c r="T479" s="38">
        <v>1</v>
      </c>
      <c r="V479" s="1">
        <v>2.2000000000000002</v>
      </c>
    </row>
    <row r="480" spans="1:22" x14ac:dyDescent="0.2">
      <c r="A480" s="1" t="s">
        <v>3414</v>
      </c>
      <c r="B480" s="1" t="s">
        <v>55</v>
      </c>
      <c r="C480" s="1" t="s">
        <v>236</v>
      </c>
      <c r="E480" s="1">
        <v>33</v>
      </c>
      <c r="F480" s="1" t="s">
        <v>3415</v>
      </c>
      <c r="H480" s="1" t="s">
        <v>3416</v>
      </c>
      <c r="I480" s="1" t="s">
        <v>7</v>
      </c>
      <c r="J480" s="1" t="s">
        <v>3417</v>
      </c>
      <c r="L480" s="1" t="s">
        <v>3418</v>
      </c>
      <c r="M480" s="1" t="s">
        <v>816</v>
      </c>
      <c r="N480" s="1" t="s">
        <v>3419</v>
      </c>
      <c r="O480" s="1">
        <v>1</v>
      </c>
      <c r="P480" s="1" t="s">
        <v>3218</v>
      </c>
      <c r="Q480" s="1">
        <v>1999</v>
      </c>
      <c r="R480" s="1" t="s">
        <v>3219</v>
      </c>
      <c r="S480" s="1" t="s">
        <v>27</v>
      </c>
      <c r="T480" s="38">
        <v>1</v>
      </c>
      <c r="V480" s="1">
        <v>4.63</v>
      </c>
    </row>
    <row r="481" spans="1:22" x14ac:dyDescent="0.2">
      <c r="A481" s="1" t="s">
        <v>3420</v>
      </c>
      <c r="B481" s="1" t="s">
        <v>55</v>
      </c>
      <c r="C481" s="1" t="s">
        <v>236</v>
      </c>
      <c r="E481" s="1">
        <v>33</v>
      </c>
      <c r="F481" s="1" t="s">
        <v>3421</v>
      </c>
      <c r="H481" s="1" t="s">
        <v>3422</v>
      </c>
      <c r="I481" s="1" t="s">
        <v>7</v>
      </c>
      <c r="J481" s="1" t="s">
        <v>3423</v>
      </c>
      <c r="K481" s="1" t="s">
        <v>3424</v>
      </c>
      <c r="L481" s="1" t="s">
        <v>3423</v>
      </c>
      <c r="M481" s="1" t="s">
        <v>2889</v>
      </c>
      <c r="O481" s="1">
        <v>1</v>
      </c>
      <c r="P481" s="1" t="s">
        <v>3218</v>
      </c>
      <c r="Q481" s="1">
        <v>1999</v>
      </c>
      <c r="R481" s="1" t="s">
        <v>3219</v>
      </c>
      <c r="S481" s="1" t="s">
        <v>27</v>
      </c>
      <c r="T481" s="38">
        <v>1</v>
      </c>
      <c r="V481" s="1">
        <v>0.67</v>
      </c>
    </row>
    <row r="482" spans="1:22" x14ac:dyDescent="0.2">
      <c r="A482" s="1" t="s">
        <v>3425</v>
      </c>
      <c r="B482" s="1" t="s">
        <v>55</v>
      </c>
      <c r="C482" s="1" t="s">
        <v>236</v>
      </c>
      <c r="E482" s="1">
        <v>33</v>
      </c>
      <c r="F482" s="1" t="s">
        <v>3415</v>
      </c>
      <c r="H482" s="1" t="s">
        <v>3416</v>
      </c>
      <c r="I482" s="1" t="s">
        <v>7</v>
      </c>
      <c r="J482" s="1" t="s">
        <v>3426</v>
      </c>
      <c r="L482" s="1" t="s">
        <v>3418</v>
      </c>
      <c r="M482" s="1" t="s">
        <v>2889</v>
      </c>
      <c r="N482" s="1" t="s">
        <v>3427</v>
      </c>
      <c r="O482" s="1">
        <v>1</v>
      </c>
      <c r="P482" s="1" t="s">
        <v>3218</v>
      </c>
      <c r="Q482" s="1">
        <v>1999</v>
      </c>
      <c r="R482" s="1" t="s">
        <v>3219</v>
      </c>
      <c r="S482" s="1" t="s">
        <v>27</v>
      </c>
      <c r="T482" s="38">
        <v>1</v>
      </c>
      <c r="V482" s="1">
        <v>0.93</v>
      </c>
    </row>
    <row r="483" spans="1:22" x14ac:dyDescent="0.2">
      <c r="A483" s="1" t="s">
        <v>3428</v>
      </c>
      <c r="B483" s="1" t="s">
        <v>55</v>
      </c>
      <c r="C483" s="1" t="s">
        <v>236</v>
      </c>
      <c r="E483" s="1">
        <v>37</v>
      </c>
      <c r="F483" s="1" t="s">
        <v>3429</v>
      </c>
      <c r="H483" s="1" t="s">
        <v>3430</v>
      </c>
      <c r="I483" s="1" t="s">
        <v>7</v>
      </c>
      <c r="J483" s="1" t="s">
        <v>3431</v>
      </c>
      <c r="L483" s="1" t="s">
        <v>3432</v>
      </c>
      <c r="M483" s="1" t="s">
        <v>480</v>
      </c>
      <c r="O483" s="1">
        <v>1</v>
      </c>
      <c r="P483" s="1" t="s">
        <v>3218</v>
      </c>
      <c r="Q483" s="1">
        <v>1999</v>
      </c>
      <c r="R483" s="1" t="s">
        <v>3219</v>
      </c>
      <c r="S483" s="1" t="s">
        <v>27</v>
      </c>
      <c r="T483" s="38">
        <v>1</v>
      </c>
      <c r="V483" s="1">
        <v>1.74</v>
      </c>
    </row>
    <row r="484" spans="1:22" x14ac:dyDescent="0.2">
      <c r="A484" s="1" t="s">
        <v>3433</v>
      </c>
      <c r="B484" s="1" t="s">
        <v>55</v>
      </c>
      <c r="C484" s="1" t="s">
        <v>236</v>
      </c>
      <c r="E484" s="1">
        <v>37</v>
      </c>
      <c r="F484" s="1" t="s">
        <v>3434</v>
      </c>
      <c r="H484" s="1" t="s">
        <v>3435</v>
      </c>
      <c r="I484" s="1" t="s">
        <v>7</v>
      </c>
      <c r="J484" s="1" t="s">
        <v>3436</v>
      </c>
      <c r="K484" s="1" t="s">
        <v>3437</v>
      </c>
      <c r="L484" s="1" t="s">
        <v>3436</v>
      </c>
      <c r="M484" s="1" t="s">
        <v>3225</v>
      </c>
      <c r="N484" s="1" t="s">
        <v>3438</v>
      </c>
      <c r="O484" s="1">
        <v>1</v>
      </c>
      <c r="P484" s="1" t="s">
        <v>3218</v>
      </c>
      <c r="Q484" s="1">
        <v>1999</v>
      </c>
      <c r="R484" s="1" t="s">
        <v>3219</v>
      </c>
      <c r="S484" s="1" t="s">
        <v>27</v>
      </c>
      <c r="T484" s="38">
        <v>1</v>
      </c>
      <c r="V484" s="1">
        <v>6</v>
      </c>
    </row>
    <row r="485" spans="1:22" x14ac:dyDescent="0.2">
      <c r="A485" s="1" t="s">
        <v>3439</v>
      </c>
      <c r="B485" s="1" t="s">
        <v>55</v>
      </c>
      <c r="C485" s="1" t="s">
        <v>236</v>
      </c>
      <c r="E485" s="1">
        <v>33</v>
      </c>
      <c r="F485" s="1" t="s">
        <v>3440</v>
      </c>
      <c r="H485" s="1" t="s">
        <v>3441</v>
      </c>
      <c r="I485" s="1" t="s">
        <v>7</v>
      </c>
      <c r="J485" s="1" t="s">
        <v>3442</v>
      </c>
      <c r="K485" s="1" t="s">
        <v>3443</v>
      </c>
      <c r="L485" s="1" t="s">
        <v>3442</v>
      </c>
      <c r="M485" s="1" t="s">
        <v>748</v>
      </c>
      <c r="O485" s="1">
        <v>1</v>
      </c>
      <c r="P485" s="1" t="s">
        <v>3218</v>
      </c>
      <c r="Q485" s="1">
        <v>1999</v>
      </c>
      <c r="R485" s="1" t="s">
        <v>3219</v>
      </c>
      <c r="S485" s="1" t="s">
        <v>27</v>
      </c>
      <c r="T485" s="38">
        <v>1</v>
      </c>
    </row>
    <row r="486" spans="1:22" x14ac:dyDescent="0.2">
      <c r="A486" s="1" t="s">
        <v>3444</v>
      </c>
      <c r="B486" s="1" t="s">
        <v>55</v>
      </c>
      <c r="C486" s="1" t="s">
        <v>236</v>
      </c>
      <c r="E486" s="1">
        <v>33</v>
      </c>
      <c r="F486" s="1" t="s">
        <v>3445</v>
      </c>
      <c r="H486" s="1" t="s">
        <v>3446</v>
      </c>
      <c r="I486" s="1" t="s">
        <v>7</v>
      </c>
      <c r="J486" s="1" t="s">
        <v>3447</v>
      </c>
      <c r="K486" s="1" t="s">
        <v>3448</v>
      </c>
      <c r="L486" s="1" t="s">
        <v>3447</v>
      </c>
      <c r="M486" s="1" t="s">
        <v>748</v>
      </c>
      <c r="O486" s="1">
        <v>1</v>
      </c>
      <c r="P486" s="1" t="s">
        <v>3218</v>
      </c>
      <c r="Q486" s="1">
        <v>1999</v>
      </c>
      <c r="R486" s="1" t="s">
        <v>3219</v>
      </c>
      <c r="S486" s="1" t="s">
        <v>27</v>
      </c>
      <c r="T486" s="38">
        <v>1</v>
      </c>
      <c r="V486" s="1">
        <v>1.1000000000000001</v>
      </c>
    </row>
    <row r="487" spans="1:22" x14ac:dyDescent="0.2">
      <c r="A487" s="1" t="s">
        <v>3449</v>
      </c>
      <c r="B487" s="1" t="s">
        <v>55</v>
      </c>
      <c r="C487" s="1" t="s">
        <v>236</v>
      </c>
      <c r="E487" s="1">
        <v>33</v>
      </c>
      <c r="F487" s="1" t="s">
        <v>3450</v>
      </c>
      <c r="H487" s="1" t="s">
        <v>3451</v>
      </c>
      <c r="I487" s="1" t="s">
        <v>7</v>
      </c>
      <c r="J487" s="1" t="s">
        <v>3452</v>
      </c>
      <c r="K487" s="1" t="s">
        <v>3453</v>
      </c>
      <c r="L487" s="1" t="s">
        <v>3452</v>
      </c>
      <c r="M487" s="1" t="s">
        <v>2889</v>
      </c>
      <c r="N487" s="1" t="s">
        <v>3454</v>
      </c>
      <c r="O487" s="1">
        <v>1</v>
      </c>
      <c r="P487" s="1" t="s">
        <v>3218</v>
      </c>
      <c r="Q487" s="1">
        <v>1999</v>
      </c>
      <c r="R487" s="1" t="s">
        <v>3219</v>
      </c>
      <c r="S487" s="1" t="s">
        <v>27</v>
      </c>
      <c r="T487" s="38">
        <v>1</v>
      </c>
      <c r="V487" s="1">
        <v>1.85</v>
      </c>
    </row>
    <row r="488" spans="1:22" x14ac:dyDescent="0.2">
      <c r="A488" s="1" t="s">
        <v>3455</v>
      </c>
      <c r="B488" s="1" t="s">
        <v>55</v>
      </c>
      <c r="C488" s="1" t="s">
        <v>236</v>
      </c>
      <c r="E488" s="1">
        <v>33</v>
      </c>
      <c r="F488" s="1" t="s">
        <v>3456</v>
      </c>
      <c r="H488" s="1" t="s">
        <v>3457</v>
      </c>
      <c r="I488" s="1" t="s">
        <v>7</v>
      </c>
      <c r="J488" s="1" t="s">
        <v>3458</v>
      </c>
      <c r="K488" s="1" t="s">
        <v>3459</v>
      </c>
      <c r="L488" s="1" t="s">
        <v>3460</v>
      </c>
      <c r="M488" s="1" t="s">
        <v>480</v>
      </c>
      <c r="N488" s="1" t="s">
        <v>3461</v>
      </c>
      <c r="O488" s="1">
        <v>1</v>
      </c>
      <c r="P488" s="1" t="s">
        <v>3218</v>
      </c>
      <c r="Q488" s="1">
        <v>1999</v>
      </c>
      <c r="R488" s="1" t="s">
        <v>3219</v>
      </c>
      <c r="S488" s="1" t="s">
        <v>27</v>
      </c>
      <c r="T488" s="38">
        <v>1</v>
      </c>
      <c r="V488" s="1">
        <v>3.26</v>
      </c>
    </row>
    <row r="489" spans="1:22" x14ac:dyDescent="0.2">
      <c r="A489" s="1" t="s">
        <v>3462</v>
      </c>
      <c r="B489" s="1" t="s">
        <v>55</v>
      </c>
      <c r="C489" s="1" t="s">
        <v>236</v>
      </c>
      <c r="E489" s="1">
        <v>33</v>
      </c>
      <c r="F489" s="1" t="s">
        <v>3463</v>
      </c>
      <c r="H489" s="1" t="s">
        <v>3464</v>
      </c>
      <c r="I489" s="1" t="s">
        <v>7</v>
      </c>
      <c r="J489" s="1" t="s">
        <v>3465</v>
      </c>
      <c r="K489" s="1" t="s">
        <v>3466</v>
      </c>
      <c r="L489" s="1" t="s">
        <v>3465</v>
      </c>
      <c r="M489" s="1" t="s">
        <v>2889</v>
      </c>
      <c r="N489" s="1" t="s">
        <v>3467</v>
      </c>
      <c r="O489" s="1">
        <v>1</v>
      </c>
      <c r="P489" s="1" t="s">
        <v>3218</v>
      </c>
      <c r="Q489" s="1">
        <v>1999</v>
      </c>
      <c r="R489" s="1" t="s">
        <v>3219</v>
      </c>
      <c r="S489" s="1" t="s">
        <v>27</v>
      </c>
      <c r="T489" s="38">
        <v>1</v>
      </c>
      <c r="V489" s="1">
        <v>7.7</v>
      </c>
    </row>
    <row r="490" spans="1:22" x14ac:dyDescent="0.2">
      <c r="A490" s="1" t="s">
        <v>3468</v>
      </c>
      <c r="B490" s="1" t="s">
        <v>55</v>
      </c>
      <c r="C490" s="1" t="s">
        <v>236</v>
      </c>
      <c r="E490" s="1">
        <v>33</v>
      </c>
      <c r="F490" s="1" t="s">
        <v>3469</v>
      </c>
      <c r="H490" s="1" t="s">
        <v>3470</v>
      </c>
      <c r="I490" s="1" t="s">
        <v>7</v>
      </c>
      <c r="J490" s="1" t="s">
        <v>3471</v>
      </c>
      <c r="K490" s="1" t="s">
        <v>3472</v>
      </c>
      <c r="L490" s="1" t="s">
        <v>3473</v>
      </c>
      <c r="M490" s="1" t="s">
        <v>480</v>
      </c>
      <c r="O490" s="1">
        <v>1</v>
      </c>
      <c r="P490" s="1" t="s">
        <v>3218</v>
      </c>
      <c r="Q490" s="1">
        <v>1999</v>
      </c>
      <c r="R490" s="1" t="s">
        <v>3219</v>
      </c>
      <c r="S490" s="1" t="s">
        <v>27</v>
      </c>
      <c r="T490" s="38">
        <v>1</v>
      </c>
      <c r="V490" s="1">
        <v>5.03</v>
      </c>
    </row>
    <row r="491" spans="1:22" x14ac:dyDescent="0.2">
      <c r="A491" s="1" t="s">
        <v>3474</v>
      </c>
      <c r="B491" s="1" t="s">
        <v>55</v>
      </c>
      <c r="C491" s="1" t="s">
        <v>236</v>
      </c>
      <c r="E491" s="1">
        <v>33</v>
      </c>
      <c r="F491" s="1" t="s">
        <v>2778</v>
      </c>
      <c r="H491" s="1" t="s">
        <v>3475</v>
      </c>
      <c r="I491" s="1" t="s">
        <v>7</v>
      </c>
      <c r="J491" s="1" t="s">
        <v>3476</v>
      </c>
      <c r="K491" s="1" t="s">
        <v>2781</v>
      </c>
      <c r="L491" s="1" t="s">
        <v>3476</v>
      </c>
      <c r="M491" s="1" t="s">
        <v>3315</v>
      </c>
      <c r="N491" s="1" t="s">
        <v>3477</v>
      </c>
      <c r="O491" s="1">
        <v>1</v>
      </c>
      <c r="P491" s="1" t="s">
        <v>3218</v>
      </c>
      <c r="Q491" s="1">
        <v>1999</v>
      </c>
      <c r="R491" s="1" t="s">
        <v>3219</v>
      </c>
      <c r="S491" s="1" t="s">
        <v>27</v>
      </c>
      <c r="T491" s="38">
        <v>1</v>
      </c>
      <c r="V491" s="1">
        <v>0.62</v>
      </c>
    </row>
    <row r="492" spans="1:22" x14ac:dyDescent="0.2">
      <c r="A492" s="1" t="s">
        <v>3478</v>
      </c>
      <c r="B492" s="1" t="s">
        <v>55</v>
      </c>
      <c r="C492" s="1" t="s">
        <v>236</v>
      </c>
      <c r="E492" s="1">
        <v>33</v>
      </c>
      <c r="F492" s="1" t="s">
        <v>3479</v>
      </c>
      <c r="H492" s="1" t="s">
        <v>3480</v>
      </c>
      <c r="I492" s="1" t="s">
        <v>7</v>
      </c>
      <c r="J492" s="1" t="s">
        <v>3481</v>
      </c>
      <c r="K492" s="1" t="s">
        <v>3482</v>
      </c>
      <c r="L492" s="1" t="s">
        <v>3483</v>
      </c>
      <c r="O492" s="1">
        <v>1</v>
      </c>
      <c r="P492" s="1" t="s">
        <v>3218</v>
      </c>
      <c r="Q492" s="1">
        <v>1999</v>
      </c>
      <c r="R492" s="1" t="s">
        <v>3219</v>
      </c>
      <c r="S492" s="1" t="s">
        <v>27</v>
      </c>
      <c r="T492" s="38">
        <v>1</v>
      </c>
      <c r="V492" s="1">
        <v>2.2400000000000002</v>
      </c>
    </row>
    <row r="493" spans="1:22" x14ac:dyDescent="0.2">
      <c r="A493" s="1" t="s">
        <v>3484</v>
      </c>
      <c r="B493" s="1" t="s">
        <v>55</v>
      </c>
      <c r="C493" s="1" t="s">
        <v>236</v>
      </c>
      <c r="E493" s="1">
        <v>33</v>
      </c>
      <c r="F493" s="1" t="s">
        <v>3485</v>
      </c>
      <c r="H493" s="1" t="s">
        <v>3486</v>
      </c>
      <c r="I493" s="1" t="s">
        <v>7</v>
      </c>
      <c r="J493" s="1" t="s">
        <v>3487</v>
      </c>
      <c r="K493" s="1" t="s">
        <v>3488</v>
      </c>
      <c r="L493" s="1" t="s">
        <v>3489</v>
      </c>
      <c r="M493" s="1" t="s">
        <v>2889</v>
      </c>
      <c r="N493" s="1" t="s">
        <v>3490</v>
      </c>
      <c r="O493" s="1">
        <v>1</v>
      </c>
      <c r="P493" s="1" t="s">
        <v>3218</v>
      </c>
      <c r="Q493" s="1">
        <v>1999</v>
      </c>
      <c r="R493" s="1" t="s">
        <v>3219</v>
      </c>
      <c r="S493" s="1" t="s">
        <v>27</v>
      </c>
      <c r="T493" s="38">
        <v>1</v>
      </c>
      <c r="V493" s="1">
        <v>1.01</v>
      </c>
    </row>
    <row r="494" spans="1:22" x14ac:dyDescent="0.2">
      <c r="A494" s="1" t="s">
        <v>3491</v>
      </c>
      <c r="B494" s="1" t="s">
        <v>55</v>
      </c>
      <c r="C494" s="1" t="s">
        <v>236</v>
      </c>
      <c r="E494" s="1">
        <v>34</v>
      </c>
      <c r="F494" s="1" t="s">
        <v>3485</v>
      </c>
      <c r="H494" s="1" t="s">
        <v>3486</v>
      </c>
      <c r="I494" s="1" t="s">
        <v>7</v>
      </c>
      <c r="J494" s="1" t="s">
        <v>3487</v>
      </c>
      <c r="K494" s="1" t="s">
        <v>3488</v>
      </c>
      <c r="L494" s="1" t="s">
        <v>3489</v>
      </c>
      <c r="O494" s="1">
        <v>1</v>
      </c>
      <c r="P494" s="1" t="s">
        <v>3218</v>
      </c>
      <c r="Q494" s="1">
        <v>1999</v>
      </c>
      <c r="R494" s="1" t="s">
        <v>3219</v>
      </c>
      <c r="S494" s="1" t="s">
        <v>27</v>
      </c>
      <c r="T494" s="38">
        <v>1</v>
      </c>
      <c r="V494" s="1">
        <v>0.89</v>
      </c>
    </row>
    <row r="495" spans="1:22" x14ac:dyDescent="0.2">
      <c r="A495" s="1" t="s">
        <v>3492</v>
      </c>
      <c r="B495" s="1" t="s">
        <v>55</v>
      </c>
      <c r="C495" s="1" t="s">
        <v>236</v>
      </c>
      <c r="E495" s="1">
        <v>38</v>
      </c>
      <c r="F495" s="1" t="s">
        <v>3493</v>
      </c>
      <c r="H495" s="1" t="s">
        <v>3494</v>
      </c>
      <c r="I495" s="1" t="s">
        <v>7</v>
      </c>
      <c r="J495" s="1" t="s">
        <v>3495</v>
      </c>
      <c r="K495" s="1" t="s">
        <v>3496</v>
      </c>
      <c r="L495" s="1" t="s">
        <v>3497</v>
      </c>
      <c r="M495" s="1" t="s">
        <v>2889</v>
      </c>
      <c r="N495" s="1" t="s">
        <v>3498</v>
      </c>
      <c r="O495" s="1">
        <v>1</v>
      </c>
      <c r="P495" s="1" t="s">
        <v>3218</v>
      </c>
      <c r="Q495" s="1">
        <v>1999</v>
      </c>
      <c r="R495" s="1" t="s">
        <v>3219</v>
      </c>
      <c r="S495" s="1" t="s">
        <v>27</v>
      </c>
      <c r="T495" s="38">
        <v>1</v>
      </c>
      <c r="V495" s="1">
        <v>0.67</v>
      </c>
    </row>
    <row r="496" spans="1:22" x14ac:dyDescent="0.2">
      <c r="A496" s="1" t="s">
        <v>3499</v>
      </c>
      <c r="B496" s="1" t="s">
        <v>55</v>
      </c>
      <c r="C496" s="1" t="s">
        <v>236</v>
      </c>
      <c r="E496" s="1">
        <v>33</v>
      </c>
      <c r="F496" s="1" t="s">
        <v>3500</v>
      </c>
      <c r="H496" s="1" t="s">
        <v>3501</v>
      </c>
      <c r="I496" s="1" t="s">
        <v>7</v>
      </c>
      <c r="J496" s="1" t="s">
        <v>3502</v>
      </c>
      <c r="K496" s="1" t="s">
        <v>3503</v>
      </c>
      <c r="L496" s="1" t="s">
        <v>3504</v>
      </c>
      <c r="M496" s="1" t="s">
        <v>2889</v>
      </c>
      <c r="N496" s="1" t="s">
        <v>3505</v>
      </c>
      <c r="O496" s="1">
        <v>1</v>
      </c>
      <c r="P496" s="1" t="s">
        <v>3218</v>
      </c>
      <c r="Q496" s="1">
        <v>1999</v>
      </c>
      <c r="R496" s="1" t="s">
        <v>3219</v>
      </c>
      <c r="S496" s="1" t="s">
        <v>27</v>
      </c>
      <c r="T496" s="38">
        <v>1</v>
      </c>
      <c r="V496" s="1">
        <v>0.8</v>
      </c>
    </row>
    <row r="497" spans="1:22" x14ac:dyDescent="0.2">
      <c r="A497" s="1" t="s">
        <v>3506</v>
      </c>
      <c r="B497" s="1" t="s">
        <v>55</v>
      </c>
      <c r="C497" s="1" t="s">
        <v>236</v>
      </c>
      <c r="E497" s="1">
        <v>33</v>
      </c>
      <c r="F497" s="1" t="s">
        <v>2395</v>
      </c>
      <c r="H497" s="1" t="s">
        <v>3501</v>
      </c>
      <c r="I497" s="1" t="s">
        <v>7</v>
      </c>
      <c r="J497" s="1" t="s">
        <v>2397</v>
      </c>
      <c r="K497" s="1" t="s">
        <v>2398</v>
      </c>
      <c r="L497" s="1" t="s">
        <v>2397</v>
      </c>
      <c r="M497" s="1" t="s">
        <v>2889</v>
      </c>
      <c r="N497" s="1" t="s">
        <v>3507</v>
      </c>
      <c r="O497" s="1">
        <v>1</v>
      </c>
      <c r="P497" s="1" t="s">
        <v>3218</v>
      </c>
      <c r="Q497" s="1">
        <v>1999</v>
      </c>
      <c r="R497" s="1" t="s">
        <v>3219</v>
      </c>
      <c r="S497" s="1" t="s">
        <v>27</v>
      </c>
      <c r="T497" s="38">
        <v>1</v>
      </c>
      <c r="V497" s="1">
        <v>0.83</v>
      </c>
    </row>
    <row r="498" spans="1:22" x14ac:dyDescent="0.2">
      <c r="A498" s="1" t="s">
        <v>3508</v>
      </c>
      <c r="B498" s="1" t="s">
        <v>55</v>
      </c>
      <c r="C498" s="1" t="s">
        <v>236</v>
      </c>
      <c r="E498" s="1">
        <v>33</v>
      </c>
      <c r="F498" s="1" t="s">
        <v>3509</v>
      </c>
      <c r="H498" s="1" t="s">
        <v>3510</v>
      </c>
      <c r="I498" s="1" t="s">
        <v>7</v>
      </c>
      <c r="J498" s="1" t="s">
        <v>3511</v>
      </c>
      <c r="L498" s="1" t="s">
        <v>3512</v>
      </c>
      <c r="M498" s="1" t="s">
        <v>816</v>
      </c>
      <c r="N498" s="1" t="s">
        <v>3513</v>
      </c>
      <c r="O498" s="1">
        <v>1</v>
      </c>
      <c r="P498" s="1" t="s">
        <v>3218</v>
      </c>
      <c r="Q498" s="1">
        <v>1999</v>
      </c>
      <c r="R498" s="1" t="s">
        <v>3219</v>
      </c>
      <c r="S498" s="1" t="s">
        <v>27</v>
      </c>
      <c r="T498" s="38">
        <v>1</v>
      </c>
      <c r="V498" s="1">
        <v>1.56</v>
      </c>
    </row>
    <row r="499" spans="1:22" x14ac:dyDescent="0.2">
      <c r="A499" s="1" t="s">
        <v>3514</v>
      </c>
      <c r="B499" s="1" t="s">
        <v>55</v>
      </c>
      <c r="C499" s="1" t="s">
        <v>236</v>
      </c>
      <c r="E499" s="1">
        <v>33</v>
      </c>
      <c r="F499" s="1" t="s">
        <v>2004</v>
      </c>
      <c r="H499" s="1" t="s">
        <v>3515</v>
      </c>
      <c r="I499" s="1" t="s">
        <v>7</v>
      </c>
      <c r="J499" s="1" t="s">
        <v>3516</v>
      </c>
      <c r="K499" s="1" t="s">
        <v>2008</v>
      </c>
      <c r="L499" s="1" t="s">
        <v>3517</v>
      </c>
      <c r="N499" s="1" t="s">
        <v>3518</v>
      </c>
      <c r="O499" s="1">
        <v>1</v>
      </c>
      <c r="P499" s="1" t="s">
        <v>3218</v>
      </c>
      <c r="Q499" s="1">
        <v>1999</v>
      </c>
      <c r="R499" s="1" t="s">
        <v>3219</v>
      </c>
      <c r="S499" s="1" t="s">
        <v>27</v>
      </c>
      <c r="T499" s="38">
        <v>1</v>
      </c>
      <c r="V499" s="1">
        <v>0.85</v>
      </c>
    </row>
    <row r="500" spans="1:22" x14ac:dyDescent="0.2">
      <c r="A500" s="1" t="s">
        <v>3519</v>
      </c>
      <c r="B500" s="1" t="s">
        <v>55</v>
      </c>
      <c r="C500" s="1" t="s">
        <v>236</v>
      </c>
      <c r="E500" s="1">
        <v>33</v>
      </c>
      <c r="F500" s="1" t="s">
        <v>3520</v>
      </c>
      <c r="H500" s="1" t="s">
        <v>3521</v>
      </c>
      <c r="I500" s="1" t="s">
        <v>7</v>
      </c>
      <c r="J500" s="1" t="s">
        <v>3522</v>
      </c>
      <c r="K500" s="1" t="s">
        <v>3523</v>
      </c>
      <c r="L500" s="1" t="s">
        <v>3524</v>
      </c>
      <c r="M500" s="1" t="s">
        <v>2889</v>
      </c>
      <c r="N500" s="1" t="s">
        <v>3525</v>
      </c>
      <c r="O500" s="1">
        <v>1</v>
      </c>
      <c r="P500" s="1" t="s">
        <v>3218</v>
      </c>
      <c r="Q500" s="1">
        <v>1999</v>
      </c>
      <c r="R500" s="1" t="s">
        <v>3219</v>
      </c>
      <c r="S500" s="1" t="s">
        <v>27</v>
      </c>
      <c r="T500" s="38">
        <v>1</v>
      </c>
      <c r="V500" s="1">
        <v>1.08</v>
      </c>
    </row>
    <row r="501" spans="1:22" x14ac:dyDescent="0.2">
      <c r="A501" s="1" t="s">
        <v>3526</v>
      </c>
      <c r="B501" s="1" t="s">
        <v>55</v>
      </c>
      <c r="C501" s="1" t="s">
        <v>236</v>
      </c>
      <c r="E501" s="1">
        <v>33</v>
      </c>
      <c r="F501" s="1" t="s">
        <v>3527</v>
      </c>
      <c r="H501" s="1" t="s">
        <v>3528</v>
      </c>
      <c r="I501" s="1" t="s">
        <v>7</v>
      </c>
      <c r="J501" s="1" t="s">
        <v>3529</v>
      </c>
      <c r="K501" s="1" t="s">
        <v>3530</v>
      </c>
      <c r="L501" s="1" t="s">
        <v>3531</v>
      </c>
      <c r="M501" s="1" t="s">
        <v>2889</v>
      </c>
      <c r="N501" s="1" t="s">
        <v>3532</v>
      </c>
      <c r="O501" s="1">
        <v>1</v>
      </c>
      <c r="P501" s="1" t="s">
        <v>3218</v>
      </c>
      <c r="Q501" s="1">
        <v>1999</v>
      </c>
      <c r="R501" s="1" t="s">
        <v>3219</v>
      </c>
      <c r="S501" s="1" t="s">
        <v>27</v>
      </c>
      <c r="T501" s="38">
        <v>1</v>
      </c>
      <c r="V501" s="1">
        <v>0.52</v>
      </c>
    </row>
    <row r="502" spans="1:22" x14ac:dyDescent="0.2">
      <c r="A502" s="1" t="s">
        <v>3533</v>
      </c>
      <c r="B502" s="1" t="s">
        <v>55</v>
      </c>
      <c r="C502" s="1" t="s">
        <v>236</v>
      </c>
      <c r="E502" s="1">
        <v>31</v>
      </c>
      <c r="F502" s="1" t="s">
        <v>3534</v>
      </c>
      <c r="H502" s="1" t="s">
        <v>3535</v>
      </c>
      <c r="I502" s="1" t="s">
        <v>7</v>
      </c>
      <c r="J502" s="1" t="s">
        <v>3536</v>
      </c>
      <c r="K502" s="1" t="s">
        <v>3537</v>
      </c>
      <c r="L502" s="1" t="s">
        <v>3536</v>
      </c>
      <c r="M502" s="1" t="s">
        <v>2889</v>
      </c>
      <c r="N502" s="1" t="s">
        <v>3538</v>
      </c>
      <c r="O502" s="1">
        <v>1</v>
      </c>
      <c r="P502" s="1" t="s">
        <v>3218</v>
      </c>
      <c r="Q502" s="1">
        <v>1999</v>
      </c>
      <c r="R502" s="1" t="s">
        <v>3219</v>
      </c>
      <c r="S502" s="1" t="s">
        <v>27</v>
      </c>
      <c r="T502" s="38">
        <v>1</v>
      </c>
      <c r="V502" s="1">
        <v>0.54</v>
      </c>
    </row>
    <row r="503" spans="1:22" x14ac:dyDescent="0.2">
      <c r="A503" s="1" t="s">
        <v>3539</v>
      </c>
      <c r="B503" s="1" t="s">
        <v>55</v>
      </c>
      <c r="C503" s="1" t="s">
        <v>236</v>
      </c>
      <c r="E503" s="1">
        <v>33</v>
      </c>
      <c r="F503" s="1" t="s">
        <v>3540</v>
      </c>
      <c r="H503" s="1" t="s">
        <v>3541</v>
      </c>
      <c r="I503" s="1" t="s">
        <v>7</v>
      </c>
      <c r="J503" s="1" t="s">
        <v>3542</v>
      </c>
      <c r="K503" s="1" t="s">
        <v>3543</v>
      </c>
      <c r="L503" s="1" t="s">
        <v>3542</v>
      </c>
      <c r="M503" s="1" t="s">
        <v>2966</v>
      </c>
      <c r="N503" s="1" t="s">
        <v>3544</v>
      </c>
      <c r="O503" s="1">
        <v>1</v>
      </c>
      <c r="P503" s="1" t="s">
        <v>3218</v>
      </c>
      <c r="Q503" s="1">
        <v>1999</v>
      </c>
      <c r="R503" s="1" t="s">
        <v>3219</v>
      </c>
      <c r="S503" s="1" t="s">
        <v>27</v>
      </c>
      <c r="T503" s="38">
        <v>1</v>
      </c>
      <c r="V503" s="1">
        <v>1.56</v>
      </c>
    </row>
    <row r="504" spans="1:22" x14ac:dyDescent="0.2">
      <c r="A504" s="1" t="s">
        <v>3545</v>
      </c>
      <c r="B504" s="1" t="s">
        <v>55</v>
      </c>
      <c r="C504" s="1" t="s">
        <v>236</v>
      </c>
      <c r="E504" s="1">
        <v>33</v>
      </c>
      <c r="F504" s="1" t="s">
        <v>3546</v>
      </c>
      <c r="H504" s="1" t="s">
        <v>3547</v>
      </c>
      <c r="I504" s="1" t="s">
        <v>7</v>
      </c>
      <c r="J504" s="1" t="s">
        <v>3548</v>
      </c>
      <c r="L504" s="1" t="s">
        <v>3549</v>
      </c>
      <c r="M504" s="1" t="s">
        <v>480</v>
      </c>
      <c r="N504" s="1" t="s">
        <v>3550</v>
      </c>
      <c r="O504" s="1">
        <v>1</v>
      </c>
      <c r="P504" s="1" t="s">
        <v>3218</v>
      </c>
      <c r="Q504" s="1">
        <v>1999</v>
      </c>
      <c r="R504" s="1" t="s">
        <v>3219</v>
      </c>
      <c r="S504" s="1" t="s">
        <v>27</v>
      </c>
      <c r="T504" s="38">
        <v>1</v>
      </c>
      <c r="V504" s="1">
        <v>1.2</v>
      </c>
    </row>
    <row r="505" spans="1:22" x14ac:dyDescent="0.2">
      <c r="A505" s="1" t="s">
        <v>3551</v>
      </c>
      <c r="B505" s="1" t="s">
        <v>55</v>
      </c>
      <c r="C505" s="1" t="s">
        <v>236</v>
      </c>
      <c r="E505" s="1">
        <v>33</v>
      </c>
      <c r="F505" s="1" t="s">
        <v>3552</v>
      </c>
      <c r="H505" s="1" t="s">
        <v>3553</v>
      </c>
      <c r="I505" s="1" t="s">
        <v>7</v>
      </c>
      <c r="J505" s="1" t="s">
        <v>3554</v>
      </c>
      <c r="K505" s="1" t="s">
        <v>3555</v>
      </c>
      <c r="L505" s="1" t="s">
        <v>3556</v>
      </c>
      <c r="M505" s="1" t="s">
        <v>748</v>
      </c>
      <c r="N505" s="1" t="s">
        <v>3557</v>
      </c>
      <c r="O505" s="1">
        <v>1</v>
      </c>
      <c r="P505" s="1" t="s">
        <v>3218</v>
      </c>
      <c r="Q505" s="1">
        <v>1999</v>
      </c>
      <c r="R505" s="1" t="s">
        <v>3219</v>
      </c>
      <c r="S505" s="1" t="s">
        <v>27</v>
      </c>
      <c r="T505" s="38">
        <v>1</v>
      </c>
      <c r="V505" s="1">
        <v>0.6</v>
      </c>
    </row>
    <row r="506" spans="1:22" x14ac:dyDescent="0.2">
      <c r="A506" s="1" t="s">
        <v>3558</v>
      </c>
      <c r="B506" s="1" t="s">
        <v>55</v>
      </c>
      <c r="C506" s="1" t="s">
        <v>236</v>
      </c>
      <c r="E506" s="1">
        <v>33</v>
      </c>
      <c r="F506" s="1" t="s">
        <v>3552</v>
      </c>
      <c r="H506" s="1" t="s">
        <v>3553</v>
      </c>
      <c r="I506" s="1" t="s">
        <v>7</v>
      </c>
      <c r="J506" s="1" t="s">
        <v>3554</v>
      </c>
      <c r="K506" s="1" t="s">
        <v>3555</v>
      </c>
      <c r="L506" s="1" t="s">
        <v>3556</v>
      </c>
      <c r="M506" s="1" t="s">
        <v>748</v>
      </c>
      <c r="N506" s="1" t="s">
        <v>3559</v>
      </c>
      <c r="O506" s="1">
        <v>1</v>
      </c>
      <c r="P506" s="1" t="s">
        <v>3218</v>
      </c>
      <c r="Q506" s="1">
        <v>1999</v>
      </c>
      <c r="R506" s="1" t="s">
        <v>3219</v>
      </c>
      <c r="S506" s="1" t="s">
        <v>27</v>
      </c>
      <c r="T506" s="38">
        <v>1</v>
      </c>
      <c r="V506" s="1">
        <v>0.8</v>
      </c>
    </row>
    <row r="507" spans="1:22" x14ac:dyDescent="0.2">
      <c r="A507" s="1" t="s">
        <v>3560</v>
      </c>
      <c r="B507" s="1" t="s">
        <v>55</v>
      </c>
      <c r="C507" s="1" t="s">
        <v>236</v>
      </c>
      <c r="E507" s="1">
        <v>33</v>
      </c>
      <c r="F507" s="1" t="s">
        <v>3546</v>
      </c>
      <c r="H507" s="1" t="s">
        <v>3561</v>
      </c>
      <c r="I507" s="1" t="s">
        <v>7</v>
      </c>
      <c r="J507" s="1" t="s">
        <v>3562</v>
      </c>
      <c r="L507" s="1" t="s">
        <v>3549</v>
      </c>
      <c r="M507" s="1" t="s">
        <v>2889</v>
      </c>
      <c r="N507" s="1" t="s">
        <v>3563</v>
      </c>
      <c r="O507" s="1">
        <v>1</v>
      </c>
      <c r="P507" s="1" t="s">
        <v>3218</v>
      </c>
      <c r="Q507" s="1">
        <v>1999</v>
      </c>
      <c r="R507" s="1" t="s">
        <v>3219</v>
      </c>
      <c r="S507" s="1" t="s">
        <v>27</v>
      </c>
      <c r="T507" s="38">
        <v>1</v>
      </c>
      <c r="V507" s="1">
        <v>0.87</v>
      </c>
    </row>
    <row r="508" spans="1:22" x14ac:dyDescent="0.2">
      <c r="A508" s="1" t="s">
        <v>3564</v>
      </c>
      <c r="B508" s="1" t="s">
        <v>55</v>
      </c>
      <c r="C508" s="1" t="s">
        <v>236</v>
      </c>
      <c r="E508" s="1">
        <v>33</v>
      </c>
      <c r="F508" s="1" t="s">
        <v>3565</v>
      </c>
      <c r="H508" s="1" t="s">
        <v>3566</v>
      </c>
      <c r="I508" s="1" t="s">
        <v>7</v>
      </c>
      <c r="J508" s="1" t="s">
        <v>3567</v>
      </c>
      <c r="K508" s="1" t="s">
        <v>3568</v>
      </c>
      <c r="L508" s="1" t="s">
        <v>3569</v>
      </c>
      <c r="M508" s="1" t="s">
        <v>2889</v>
      </c>
      <c r="N508" s="1" t="s">
        <v>3570</v>
      </c>
      <c r="O508" s="1">
        <v>1</v>
      </c>
      <c r="P508" s="1" t="s">
        <v>3218</v>
      </c>
      <c r="Q508" s="1">
        <v>1999</v>
      </c>
      <c r="R508" s="1" t="s">
        <v>3219</v>
      </c>
      <c r="S508" s="1" t="s">
        <v>27</v>
      </c>
      <c r="T508" s="38">
        <v>1</v>
      </c>
      <c r="V508" s="1">
        <v>0.81</v>
      </c>
    </row>
    <row r="509" spans="1:22" x14ac:dyDescent="0.2">
      <c r="A509" s="1" t="s">
        <v>3571</v>
      </c>
      <c r="B509" s="1" t="s">
        <v>55</v>
      </c>
      <c r="C509" s="1" t="s">
        <v>236</v>
      </c>
      <c r="E509" s="1">
        <v>33</v>
      </c>
      <c r="F509" s="1" t="s">
        <v>3552</v>
      </c>
      <c r="H509" s="1" t="s">
        <v>3553</v>
      </c>
      <c r="I509" s="1" t="s">
        <v>7</v>
      </c>
      <c r="J509" s="1" t="s">
        <v>3572</v>
      </c>
      <c r="K509" s="1" t="s">
        <v>3555</v>
      </c>
      <c r="L509" s="1" t="s">
        <v>3556</v>
      </c>
      <c r="M509" s="1" t="s">
        <v>2889</v>
      </c>
      <c r="N509" s="1" t="s">
        <v>3573</v>
      </c>
      <c r="O509" s="1">
        <v>1</v>
      </c>
      <c r="P509" s="1" t="s">
        <v>3218</v>
      </c>
      <c r="Q509" s="1">
        <v>1999</v>
      </c>
      <c r="R509" s="1" t="s">
        <v>3219</v>
      </c>
      <c r="S509" s="1" t="s">
        <v>27</v>
      </c>
      <c r="T509" s="38">
        <v>1</v>
      </c>
      <c r="V509" s="1">
        <v>0.85</v>
      </c>
    </row>
    <row r="510" spans="1:22" x14ac:dyDescent="0.2">
      <c r="A510" s="1" t="s">
        <v>3574</v>
      </c>
      <c r="B510" s="1" t="s">
        <v>55</v>
      </c>
      <c r="C510" s="1" t="s">
        <v>236</v>
      </c>
      <c r="E510" s="1">
        <v>37</v>
      </c>
      <c r="F510" s="1" t="s">
        <v>2042</v>
      </c>
      <c r="H510" s="1" t="s">
        <v>3575</v>
      </c>
      <c r="I510" s="1" t="s">
        <v>7</v>
      </c>
      <c r="J510" s="1" t="s">
        <v>2045</v>
      </c>
      <c r="K510" s="1" t="s">
        <v>2046</v>
      </c>
      <c r="L510" s="1" t="s">
        <v>2045</v>
      </c>
      <c r="M510" s="1" t="s">
        <v>748</v>
      </c>
      <c r="N510" s="1" t="s">
        <v>3576</v>
      </c>
      <c r="O510" s="1">
        <v>1</v>
      </c>
      <c r="P510" s="1" t="s">
        <v>3218</v>
      </c>
      <c r="Q510" s="1">
        <v>1999</v>
      </c>
      <c r="R510" s="1" t="s">
        <v>3219</v>
      </c>
      <c r="S510" s="1" t="s">
        <v>27</v>
      </c>
      <c r="T510" s="38">
        <v>1</v>
      </c>
      <c r="V510" s="1">
        <v>6.84</v>
      </c>
    </row>
    <row r="511" spans="1:22" x14ac:dyDescent="0.2">
      <c r="A511" s="1" t="s">
        <v>3577</v>
      </c>
      <c r="B511" s="1" t="s">
        <v>55</v>
      </c>
      <c r="C511" s="1" t="s">
        <v>236</v>
      </c>
      <c r="E511" s="1">
        <v>37</v>
      </c>
      <c r="F511" s="1" t="s">
        <v>2042</v>
      </c>
      <c r="H511" s="1" t="s">
        <v>3578</v>
      </c>
      <c r="I511" s="1" t="s">
        <v>7</v>
      </c>
      <c r="J511" s="1" t="s">
        <v>2045</v>
      </c>
      <c r="K511" s="1" t="s">
        <v>2046</v>
      </c>
      <c r="L511" s="1" t="s">
        <v>2045</v>
      </c>
      <c r="M511" s="1" t="s">
        <v>1292</v>
      </c>
      <c r="N511" s="1" t="s">
        <v>3579</v>
      </c>
      <c r="O511" s="1">
        <v>1</v>
      </c>
      <c r="P511" s="1" t="s">
        <v>3218</v>
      </c>
      <c r="Q511" s="1">
        <v>1999</v>
      </c>
      <c r="R511" s="1" t="s">
        <v>3219</v>
      </c>
      <c r="S511" s="1" t="s">
        <v>27</v>
      </c>
      <c r="T511" s="38">
        <v>1</v>
      </c>
      <c r="V511" s="1">
        <v>7.65</v>
      </c>
    </row>
    <row r="512" spans="1:22" x14ac:dyDescent="0.2">
      <c r="A512" s="1" t="s">
        <v>3580</v>
      </c>
      <c r="B512" s="1" t="s">
        <v>55</v>
      </c>
      <c r="C512" s="1" t="s">
        <v>236</v>
      </c>
      <c r="E512" s="1">
        <v>37</v>
      </c>
      <c r="F512" s="1" t="s">
        <v>2042</v>
      </c>
      <c r="H512" s="1" t="s">
        <v>3581</v>
      </c>
      <c r="I512" s="1" t="s">
        <v>7</v>
      </c>
      <c r="J512" s="1" t="s">
        <v>2045</v>
      </c>
      <c r="K512" s="1" t="s">
        <v>2046</v>
      </c>
      <c r="L512" s="1" t="s">
        <v>2045</v>
      </c>
      <c r="M512" s="1" t="s">
        <v>757</v>
      </c>
      <c r="N512" s="1" t="s">
        <v>3582</v>
      </c>
      <c r="O512" s="1">
        <v>1</v>
      </c>
      <c r="P512" s="1" t="s">
        <v>3218</v>
      </c>
      <c r="Q512" s="1">
        <v>1999</v>
      </c>
      <c r="R512" s="1" t="s">
        <v>3219</v>
      </c>
      <c r="S512" s="1" t="s">
        <v>27</v>
      </c>
      <c r="T512" s="38">
        <v>1</v>
      </c>
      <c r="V512" s="1">
        <v>5.09</v>
      </c>
    </row>
    <row r="513" spans="1:22" x14ac:dyDescent="0.2">
      <c r="A513" s="1" t="s">
        <v>3583</v>
      </c>
      <c r="B513" s="1" t="s">
        <v>55</v>
      </c>
      <c r="C513" s="1" t="s">
        <v>236</v>
      </c>
      <c r="E513" s="1">
        <v>37</v>
      </c>
      <c r="F513" s="1" t="s">
        <v>2042</v>
      </c>
      <c r="H513" s="1" t="s">
        <v>3584</v>
      </c>
      <c r="I513" s="1" t="s">
        <v>7</v>
      </c>
      <c r="J513" s="1" t="s">
        <v>2045</v>
      </c>
      <c r="K513" s="1" t="s">
        <v>2046</v>
      </c>
      <c r="L513" s="1" t="s">
        <v>2045</v>
      </c>
      <c r="M513" s="1" t="s">
        <v>757</v>
      </c>
      <c r="N513" s="1" t="s">
        <v>3585</v>
      </c>
      <c r="O513" s="1">
        <v>1</v>
      </c>
      <c r="P513" s="1" t="s">
        <v>3218</v>
      </c>
      <c r="Q513" s="1">
        <v>1999</v>
      </c>
      <c r="R513" s="1" t="s">
        <v>3219</v>
      </c>
      <c r="S513" s="1" t="s">
        <v>27</v>
      </c>
      <c r="T513" s="38">
        <v>1</v>
      </c>
      <c r="V513" s="1">
        <v>2.08</v>
      </c>
    </row>
    <row r="514" spans="1:22" x14ac:dyDescent="0.2">
      <c r="A514" s="1" t="s">
        <v>3586</v>
      </c>
      <c r="B514" s="1" t="s">
        <v>55</v>
      </c>
      <c r="C514" s="1" t="s">
        <v>236</v>
      </c>
      <c r="E514" s="1">
        <v>37</v>
      </c>
      <c r="F514" s="1" t="s">
        <v>2042</v>
      </c>
      <c r="H514" s="1" t="s">
        <v>3578</v>
      </c>
      <c r="I514" s="1" t="s">
        <v>7</v>
      </c>
      <c r="J514" s="1" t="s">
        <v>2045</v>
      </c>
      <c r="K514" s="1" t="s">
        <v>2046</v>
      </c>
      <c r="L514" s="1" t="s">
        <v>2045</v>
      </c>
      <c r="M514" s="1" t="s">
        <v>480</v>
      </c>
      <c r="N514" s="1" t="s">
        <v>3587</v>
      </c>
      <c r="O514" s="1">
        <v>1</v>
      </c>
      <c r="P514" s="1" t="s">
        <v>3218</v>
      </c>
      <c r="Q514" s="1">
        <v>1999</v>
      </c>
      <c r="R514" s="1" t="s">
        <v>3219</v>
      </c>
      <c r="S514" s="1" t="s">
        <v>27</v>
      </c>
      <c r="T514" s="38">
        <v>1</v>
      </c>
      <c r="V514" s="1">
        <v>5.17</v>
      </c>
    </row>
    <row r="515" spans="1:22" x14ac:dyDescent="0.2">
      <c r="A515" s="1" t="s">
        <v>3588</v>
      </c>
      <c r="B515" s="1" t="s">
        <v>55</v>
      </c>
      <c r="C515" s="1" t="s">
        <v>236</v>
      </c>
      <c r="E515" s="1">
        <v>13</v>
      </c>
      <c r="F515" s="1" t="s">
        <v>2454</v>
      </c>
      <c r="H515" s="1" t="s">
        <v>3589</v>
      </c>
      <c r="I515" s="1" t="s">
        <v>7</v>
      </c>
      <c r="J515" s="1" t="s">
        <v>3590</v>
      </c>
      <c r="K515" s="1" t="s">
        <v>2458</v>
      </c>
      <c r="L515" s="1" t="s">
        <v>2459</v>
      </c>
      <c r="M515" s="1" t="s">
        <v>480</v>
      </c>
      <c r="N515" s="1" t="s">
        <v>3591</v>
      </c>
      <c r="O515" s="1">
        <v>1</v>
      </c>
      <c r="P515" s="1" t="s">
        <v>3218</v>
      </c>
      <c r="Q515" s="1">
        <v>1999</v>
      </c>
      <c r="R515" s="1" t="s">
        <v>3219</v>
      </c>
      <c r="S515" s="1" t="s">
        <v>27</v>
      </c>
      <c r="T515" s="38">
        <v>1</v>
      </c>
      <c r="V515" s="1">
        <v>1.38</v>
      </c>
    </row>
    <row r="516" spans="1:22" x14ac:dyDescent="0.2">
      <c r="A516" s="1" t="s">
        <v>3592</v>
      </c>
      <c r="B516" s="1" t="s">
        <v>55</v>
      </c>
      <c r="C516" s="1" t="s">
        <v>236</v>
      </c>
      <c r="E516" s="1">
        <v>37</v>
      </c>
      <c r="F516" s="1" t="s">
        <v>2042</v>
      </c>
      <c r="H516" s="1" t="s">
        <v>3575</v>
      </c>
      <c r="I516" s="1" t="s">
        <v>7</v>
      </c>
      <c r="J516" s="1" t="s">
        <v>2045</v>
      </c>
      <c r="K516" s="1" t="s">
        <v>2046</v>
      </c>
      <c r="L516" s="1" t="s">
        <v>2045</v>
      </c>
      <c r="M516" s="1" t="s">
        <v>2889</v>
      </c>
      <c r="N516" s="1" t="s">
        <v>3593</v>
      </c>
      <c r="O516" s="1">
        <v>1</v>
      </c>
      <c r="P516" s="1" t="s">
        <v>3218</v>
      </c>
      <c r="Q516" s="1">
        <v>1999</v>
      </c>
      <c r="R516" s="1" t="s">
        <v>3219</v>
      </c>
      <c r="S516" s="1" t="s">
        <v>27</v>
      </c>
      <c r="T516" s="38">
        <v>1</v>
      </c>
      <c r="V516" s="1">
        <v>1.94</v>
      </c>
    </row>
    <row r="517" spans="1:22" x14ac:dyDescent="0.2">
      <c r="A517" s="1" t="s">
        <v>3594</v>
      </c>
      <c r="B517" s="1" t="s">
        <v>55</v>
      </c>
      <c r="C517" s="1" t="s">
        <v>236</v>
      </c>
      <c r="E517" s="1">
        <v>13</v>
      </c>
      <c r="F517" s="1" t="s">
        <v>2454</v>
      </c>
      <c r="H517" s="1" t="s">
        <v>3589</v>
      </c>
      <c r="I517" s="1" t="s">
        <v>7</v>
      </c>
      <c r="J517" s="1" t="s">
        <v>3590</v>
      </c>
      <c r="K517" s="1" t="s">
        <v>2458</v>
      </c>
      <c r="L517" s="1" t="s">
        <v>2459</v>
      </c>
      <c r="M517" s="1" t="s">
        <v>2889</v>
      </c>
      <c r="N517" s="1" t="s">
        <v>3595</v>
      </c>
      <c r="O517" s="1">
        <v>1</v>
      </c>
      <c r="P517" s="1" t="s">
        <v>3218</v>
      </c>
      <c r="Q517" s="1">
        <v>1999</v>
      </c>
      <c r="R517" s="1" t="s">
        <v>3219</v>
      </c>
      <c r="S517" s="1" t="s">
        <v>27</v>
      </c>
      <c r="T517" s="38">
        <v>1</v>
      </c>
      <c r="V517" s="1">
        <v>0.68</v>
      </c>
    </row>
    <row r="518" spans="1:22" x14ac:dyDescent="0.2">
      <c r="A518" s="1" t="s">
        <v>3596</v>
      </c>
      <c r="B518" s="1" t="s">
        <v>55</v>
      </c>
      <c r="C518" s="1" t="s">
        <v>236</v>
      </c>
      <c r="E518" s="1">
        <v>33</v>
      </c>
      <c r="F518" s="1" t="s">
        <v>3597</v>
      </c>
      <c r="H518" s="1" t="s">
        <v>3598</v>
      </c>
      <c r="I518" s="1" t="s">
        <v>7</v>
      </c>
      <c r="J518" s="1" t="s">
        <v>3599</v>
      </c>
      <c r="K518" s="1" t="s">
        <v>3600</v>
      </c>
      <c r="L518" s="1" t="s">
        <v>3601</v>
      </c>
      <c r="M518" s="1" t="s">
        <v>2889</v>
      </c>
      <c r="N518" s="1" t="s">
        <v>3602</v>
      </c>
      <c r="O518" s="1">
        <v>1</v>
      </c>
      <c r="P518" s="1" t="s">
        <v>3218</v>
      </c>
      <c r="Q518" s="1">
        <v>1999</v>
      </c>
      <c r="R518" s="1" t="s">
        <v>3219</v>
      </c>
      <c r="S518" s="1" t="s">
        <v>27</v>
      </c>
      <c r="T518" s="38">
        <v>1</v>
      </c>
      <c r="V518" s="1">
        <v>0.42</v>
      </c>
    </row>
    <row r="519" spans="1:22" x14ac:dyDescent="0.2">
      <c r="A519" s="1" t="s">
        <v>3603</v>
      </c>
      <c r="B519" s="1" t="s">
        <v>55</v>
      </c>
      <c r="C519" s="1" t="s">
        <v>236</v>
      </c>
      <c r="E519" s="1">
        <v>33</v>
      </c>
      <c r="F519" s="1" t="s">
        <v>3604</v>
      </c>
      <c r="H519" s="1" t="s">
        <v>3605</v>
      </c>
      <c r="I519" s="1" t="s">
        <v>7</v>
      </c>
      <c r="J519" s="1" t="s">
        <v>3606</v>
      </c>
      <c r="K519" s="1" t="s">
        <v>3607</v>
      </c>
      <c r="L519" s="1" t="s">
        <v>3606</v>
      </c>
      <c r="M519" s="1" t="s">
        <v>2889</v>
      </c>
      <c r="N519" s="1" t="s">
        <v>3608</v>
      </c>
      <c r="O519" s="1">
        <v>1</v>
      </c>
      <c r="P519" s="1" t="s">
        <v>3218</v>
      </c>
      <c r="Q519" s="1">
        <v>1999</v>
      </c>
      <c r="R519" s="1" t="s">
        <v>3219</v>
      </c>
      <c r="S519" s="1" t="s">
        <v>27</v>
      </c>
      <c r="T519" s="38">
        <v>1</v>
      </c>
      <c r="V519" s="1">
        <v>3.39</v>
      </c>
    </row>
    <row r="520" spans="1:22" x14ac:dyDescent="0.2">
      <c r="A520" s="1" t="s">
        <v>3609</v>
      </c>
      <c r="B520" s="1" t="s">
        <v>55</v>
      </c>
      <c r="C520" s="1" t="s">
        <v>236</v>
      </c>
      <c r="E520" s="1">
        <v>33</v>
      </c>
      <c r="F520" s="1" t="s">
        <v>3610</v>
      </c>
      <c r="H520" s="1" t="s">
        <v>3611</v>
      </c>
      <c r="I520" s="1" t="s">
        <v>7</v>
      </c>
      <c r="J520" s="1" t="s">
        <v>3612</v>
      </c>
      <c r="K520" s="1" t="s">
        <v>3613</v>
      </c>
      <c r="L520" s="1" t="s">
        <v>3612</v>
      </c>
      <c r="M520" s="1" t="s">
        <v>2889</v>
      </c>
      <c r="N520" s="1" t="s">
        <v>3614</v>
      </c>
      <c r="O520" s="1">
        <v>1</v>
      </c>
      <c r="P520" s="1" t="s">
        <v>3218</v>
      </c>
      <c r="Q520" s="1">
        <v>1999</v>
      </c>
      <c r="R520" s="1" t="s">
        <v>3219</v>
      </c>
      <c r="S520" s="1" t="s">
        <v>27</v>
      </c>
      <c r="T520" s="38">
        <v>1</v>
      </c>
      <c r="V520" s="1">
        <v>0.43</v>
      </c>
    </row>
    <row r="521" spans="1:22" x14ac:dyDescent="0.2">
      <c r="A521" s="1" t="s">
        <v>3615</v>
      </c>
      <c r="B521" s="1" t="s">
        <v>55</v>
      </c>
      <c r="C521" s="1" t="s">
        <v>236</v>
      </c>
      <c r="E521" s="1">
        <v>37</v>
      </c>
      <c r="F521" s="1" t="s">
        <v>3616</v>
      </c>
      <c r="H521" s="1" t="s">
        <v>3617</v>
      </c>
      <c r="I521" s="1" t="s">
        <v>7</v>
      </c>
      <c r="J521" s="1" t="s">
        <v>3618</v>
      </c>
      <c r="K521" s="1" t="s">
        <v>3619</v>
      </c>
      <c r="L521" s="1" t="s">
        <v>3618</v>
      </c>
      <c r="M521" s="1" t="s">
        <v>2889</v>
      </c>
      <c r="N521" s="1" t="s">
        <v>3620</v>
      </c>
      <c r="O521" s="1">
        <v>1</v>
      </c>
      <c r="P521" s="1" t="s">
        <v>3218</v>
      </c>
      <c r="Q521" s="1">
        <v>1999</v>
      </c>
      <c r="R521" s="1" t="s">
        <v>3219</v>
      </c>
      <c r="S521" s="1" t="s">
        <v>27</v>
      </c>
      <c r="T521" s="38">
        <v>1</v>
      </c>
      <c r="V521" s="1">
        <v>0.61</v>
      </c>
    </row>
    <row r="522" spans="1:22" x14ac:dyDescent="0.2">
      <c r="A522" s="1" t="s">
        <v>3621</v>
      </c>
      <c r="B522" s="1" t="s">
        <v>55</v>
      </c>
      <c r="C522" s="1" t="s">
        <v>236</v>
      </c>
      <c r="E522" s="1">
        <v>37</v>
      </c>
      <c r="F522" s="1" t="s">
        <v>3622</v>
      </c>
      <c r="H522" s="1" t="s">
        <v>3623</v>
      </c>
      <c r="I522" s="1" t="s">
        <v>7</v>
      </c>
      <c r="J522" s="1" t="s">
        <v>3624</v>
      </c>
      <c r="K522" s="1" t="s">
        <v>3625</v>
      </c>
      <c r="L522" s="1" t="s">
        <v>3624</v>
      </c>
      <c r="M522" s="1" t="s">
        <v>2889</v>
      </c>
      <c r="N522" s="1" t="s">
        <v>3626</v>
      </c>
      <c r="O522" s="1">
        <v>1</v>
      </c>
      <c r="P522" s="1" t="s">
        <v>3218</v>
      </c>
      <c r="Q522" s="1">
        <v>1999</v>
      </c>
      <c r="R522" s="1" t="s">
        <v>3219</v>
      </c>
      <c r="S522" s="1" t="s">
        <v>27</v>
      </c>
      <c r="T522" s="38">
        <v>1</v>
      </c>
      <c r="V522" s="1">
        <v>0.84</v>
      </c>
    </row>
    <row r="523" spans="1:22" x14ac:dyDescent="0.2">
      <c r="A523" s="1" t="s">
        <v>3627</v>
      </c>
      <c r="B523" s="1" t="s">
        <v>55</v>
      </c>
      <c r="C523" s="1" t="s">
        <v>236</v>
      </c>
      <c r="E523" s="1">
        <v>37</v>
      </c>
      <c r="F523" s="1" t="s">
        <v>3628</v>
      </c>
      <c r="H523" s="1" t="s">
        <v>3629</v>
      </c>
      <c r="I523" s="1" t="s">
        <v>7</v>
      </c>
      <c r="J523" s="1" t="s">
        <v>3630</v>
      </c>
      <c r="K523" s="1" t="s">
        <v>3631</v>
      </c>
      <c r="L523" s="1" t="s">
        <v>3630</v>
      </c>
      <c r="M523" s="1" t="s">
        <v>2889</v>
      </c>
      <c r="N523" s="1" t="s">
        <v>3632</v>
      </c>
      <c r="O523" s="1">
        <v>1</v>
      </c>
      <c r="P523" s="1" t="s">
        <v>3218</v>
      </c>
      <c r="Q523" s="1">
        <v>1999</v>
      </c>
      <c r="R523" s="1" t="s">
        <v>3219</v>
      </c>
      <c r="S523" s="1" t="s">
        <v>27</v>
      </c>
      <c r="T523" s="38">
        <v>1</v>
      </c>
      <c r="V523" s="1">
        <v>0.53</v>
      </c>
    </row>
    <row r="524" spans="1:22" x14ac:dyDescent="0.2">
      <c r="A524" s="1" t="s">
        <v>3633</v>
      </c>
      <c r="B524" s="1" t="s">
        <v>55</v>
      </c>
      <c r="C524" s="1" t="s">
        <v>236</v>
      </c>
      <c r="E524" s="1">
        <v>37</v>
      </c>
      <c r="F524" s="1" t="s">
        <v>2022</v>
      </c>
      <c r="H524" s="1" t="s">
        <v>3634</v>
      </c>
      <c r="I524" s="1" t="s">
        <v>7</v>
      </c>
      <c r="J524" s="1" t="s">
        <v>3635</v>
      </c>
      <c r="K524" s="1" t="s">
        <v>2026</v>
      </c>
      <c r="L524" s="1" t="s">
        <v>2025</v>
      </c>
      <c r="M524" s="1" t="s">
        <v>2889</v>
      </c>
      <c r="N524" s="1" t="s">
        <v>3636</v>
      </c>
      <c r="O524" s="1">
        <v>1</v>
      </c>
      <c r="P524" s="1" t="s">
        <v>3218</v>
      </c>
      <c r="Q524" s="1">
        <v>1999</v>
      </c>
      <c r="R524" s="1" t="s">
        <v>3219</v>
      </c>
      <c r="S524" s="1" t="s">
        <v>27</v>
      </c>
      <c r="T524" s="38">
        <v>1</v>
      </c>
      <c r="V524" s="1">
        <v>1.08</v>
      </c>
    </row>
    <row r="525" spans="1:22" x14ac:dyDescent="0.2">
      <c r="A525" s="1" t="s">
        <v>3637</v>
      </c>
      <c r="B525" s="1" t="s">
        <v>55</v>
      </c>
      <c r="C525" s="1" t="s">
        <v>236</v>
      </c>
      <c r="E525" s="1">
        <v>33</v>
      </c>
      <c r="F525" s="1" t="s">
        <v>3638</v>
      </c>
      <c r="H525" s="1" t="s">
        <v>3639</v>
      </c>
      <c r="I525" s="1" t="s">
        <v>7</v>
      </c>
      <c r="J525" s="1" t="s">
        <v>3640</v>
      </c>
      <c r="K525" s="1" t="s">
        <v>3641</v>
      </c>
      <c r="L525" s="1" t="s">
        <v>3642</v>
      </c>
      <c r="M525" s="1" t="s">
        <v>2889</v>
      </c>
      <c r="N525" s="1" t="s">
        <v>3643</v>
      </c>
      <c r="O525" s="1">
        <v>1</v>
      </c>
      <c r="P525" s="1" t="s">
        <v>3218</v>
      </c>
      <c r="Q525" s="1">
        <v>1999</v>
      </c>
      <c r="R525" s="1" t="s">
        <v>3219</v>
      </c>
      <c r="S525" s="1" t="s">
        <v>27</v>
      </c>
      <c r="T525" s="38">
        <v>1</v>
      </c>
      <c r="V525" s="1">
        <v>1.22</v>
      </c>
    </row>
    <row r="526" spans="1:22" x14ac:dyDescent="0.2">
      <c r="A526" s="1" t="s">
        <v>3644</v>
      </c>
      <c r="B526" s="1" t="s">
        <v>55</v>
      </c>
      <c r="C526" s="1" t="s">
        <v>236</v>
      </c>
      <c r="E526" s="1">
        <v>33</v>
      </c>
      <c r="F526" s="1" t="s">
        <v>3645</v>
      </c>
      <c r="H526" s="1" t="s">
        <v>3646</v>
      </c>
      <c r="I526" s="1" t="s">
        <v>7</v>
      </c>
      <c r="J526" s="1" t="s">
        <v>3647</v>
      </c>
      <c r="K526" s="1" t="s">
        <v>3648</v>
      </c>
      <c r="L526" s="1" t="s">
        <v>3649</v>
      </c>
      <c r="M526" s="1" t="s">
        <v>480</v>
      </c>
      <c r="O526" s="1">
        <v>1</v>
      </c>
      <c r="P526" s="1" t="s">
        <v>3218</v>
      </c>
      <c r="Q526" s="1">
        <v>1999</v>
      </c>
      <c r="R526" s="1" t="s">
        <v>3219</v>
      </c>
      <c r="S526" s="1" t="s">
        <v>27</v>
      </c>
      <c r="T526" s="38">
        <v>1</v>
      </c>
      <c r="V526" s="1">
        <v>1.94</v>
      </c>
    </row>
    <row r="527" spans="1:22" x14ac:dyDescent="0.2">
      <c r="A527" s="1" t="s">
        <v>3650</v>
      </c>
      <c r="B527" s="1" t="s">
        <v>55</v>
      </c>
      <c r="C527" s="1" t="s">
        <v>236</v>
      </c>
      <c r="E527" s="1">
        <v>33</v>
      </c>
      <c r="F527" s="1" t="s">
        <v>3645</v>
      </c>
      <c r="H527" s="1" t="s">
        <v>3646</v>
      </c>
      <c r="I527" s="1" t="s">
        <v>7</v>
      </c>
      <c r="J527" s="1" t="s">
        <v>3647</v>
      </c>
      <c r="K527" s="1" t="s">
        <v>3648</v>
      </c>
      <c r="L527" s="1" t="s">
        <v>3649</v>
      </c>
      <c r="O527" s="1">
        <v>1</v>
      </c>
      <c r="P527" s="1" t="s">
        <v>3218</v>
      </c>
      <c r="Q527" s="1">
        <v>1999</v>
      </c>
      <c r="R527" s="1" t="s">
        <v>3219</v>
      </c>
      <c r="S527" s="1" t="s">
        <v>27</v>
      </c>
      <c r="T527" s="38">
        <v>1</v>
      </c>
      <c r="V527" s="1">
        <v>0.96</v>
      </c>
    </row>
    <row r="528" spans="1:22" x14ac:dyDescent="0.2">
      <c r="A528" s="1" t="s">
        <v>3651</v>
      </c>
      <c r="B528" s="1" t="s">
        <v>55</v>
      </c>
      <c r="C528" s="1" t="s">
        <v>236</v>
      </c>
      <c r="E528" s="1">
        <v>38</v>
      </c>
      <c r="F528" s="1" t="s">
        <v>3652</v>
      </c>
      <c r="H528" s="1" t="s">
        <v>3653</v>
      </c>
      <c r="I528" s="1" t="s">
        <v>7</v>
      </c>
      <c r="J528" s="1" t="s">
        <v>3654</v>
      </c>
      <c r="K528" s="1" t="s">
        <v>3655</v>
      </c>
      <c r="L528" s="1" t="s">
        <v>3656</v>
      </c>
      <c r="M528" s="1" t="s">
        <v>2889</v>
      </c>
      <c r="N528" s="1" t="s">
        <v>3657</v>
      </c>
      <c r="O528" s="1">
        <v>1</v>
      </c>
      <c r="P528" s="1" t="s">
        <v>3218</v>
      </c>
      <c r="Q528" s="1">
        <v>1999</v>
      </c>
      <c r="R528" s="1" t="s">
        <v>3219</v>
      </c>
      <c r="S528" s="1" t="s">
        <v>27</v>
      </c>
      <c r="T528" s="38">
        <v>1</v>
      </c>
      <c r="V528" s="1">
        <v>0.78</v>
      </c>
    </row>
    <row r="529" spans="1:22" x14ac:dyDescent="0.2">
      <c r="A529" s="1" t="s">
        <v>3658</v>
      </c>
      <c r="B529" s="1" t="s">
        <v>55</v>
      </c>
      <c r="C529" s="1" t="s">
        <v>236</v>
      </c>
      <c r="E529" s="1">
        <v>33</v>
      </c>
      <c r="F529" s="1" t="s">
        <v>3659</v>
      </c>
      <c r="H529" s="1" t="s">
        <v>3660</v>
      </c>
      <c r="I529" s="1" t="s">
        <v>7</v>
      </c>
      <c r="J529" s="1" t="s">
        <v>3661</v>
      </c>
      <c r="K529" s="1" t="s">
        <v>3662</v>
      </c>
      <c r="L529" s="1" t="s">
        <v>3663</v>
      </c>
      <c r="M529" s="1" t="s">
        <v>2889</v>
      </c>
      <c r="N529" s="1" t="s">
        <v>3664</v>
      </c>
      <c r="O529" s="1">
        <v>1</v>
      </c>
      <c r="P529" s="1" t="s">
        <v>3218</v>
      </c>
      <c r="Q529" s="1">
        <v>1999</v>
      </c>
      <c r="R529" s="1" t="s">
        <v>3219</v>
      </c>
      <c r="S529" s="1" t="s">
        <v>27</v>
      </c>
      <c r="T529" s="38">
        <v>1</v>
      </c>
      <c r="V529" s="1">
        <v>0.72</v>
      </c>
    </row>
    <row r="530" spans="1:22" x14ac:dyDescent="0.2">
      <c r="A530" s="1" t="s">
        <v>3665</v>
      </c>
      <c r="B530" s="1" t="s">
        <v>55</v>
      </c>
      <c r="C530" s="1" t="s">
        <v>236</v>
      </c>
      <c r="E530" s="1">
        <v>34</v>
      </c>
      <c r="F530" s="1" t="s">
        <v>3666</v>
      </c>
      <c r="H530" s="1" t="s">
        <v>3667</v>
      </c>
      <c r="I530" s="1" t="s">
        <v>7</v>
      </c>
      <c r="J530" s="1" t="s">
        <v>3668</v>
      </c>
      <c r="K530" s="1" t="s">
        <v>3669</v>
      </c>
      <c r="L530" s="1" t="s">
        <v>3668</v>
      </c>
      <c r="M530" s="1" t="s">
        <v>2889</v>
      </c>
      <c r="N530" s="1" t="s">
        <v>3670</v>
      </c>
      <c r="O530" s="1">
        <v>1</v>
      </c>
      <c r="P530" s="1" t="s">
        <v>3218</v>
      </c>
      <c r="Q530" s="1">
        <v>1999</v>
      </c>
      <c r="R530" s="1" t="s">
        <v>3219</v>
      </c>
      <c r="S530" s="1" t="s">
        <v>27</v>
      </c>
      <c r="T530" s="38">
        <v>1</v>
      </c>
      <c r="V530" s="1">
        <v>0.88</v>
      </c>
    </row>
    <row r="531" spans="1:22" x14ac:dyDescent="0.2">
      <c r="A531" s="1" t="s">
        <v>3671</v>
      </c>
      <c r="B531" s="1" t="s">
        <v>55</v>
      </c>
      <c r="C531" s="1" t="s">
        <v>236</v>
      </c>
      <c r="E531" s="1">
        <v>34</v>
      </c>
      <c r="F531" s="1" t="s">
        <v>3672</v>
      </c>
      <c r="H531" s="1" t="s">
        <v>3673</v>
      </c>
      <c r="I531" s="1" t="s">
        <v>7</v>
      </c>
      <c r="J531" s="1" t="s">
        <v>3674</v>
      </c>
      <c r="K531" s="1" t="s">
        <v>3675</v>
      </c>
      <c r="L531" s="1" t="s">
        <v>3676</v>
      </c>
      <c r="M531" s="1" t="s">
        <v>2889</v>
      </c>
      <c r="N531" s="1" t="s">
        <v>3677</v>
      </c>
      <c r="O531" s="1">
        <v>1</v>
      </c>
      <c r="P531" s="1" t="s">
        <v>3218</v>
      </c>
      <c r="Q531" s="1">
        <v>1999</v>
      </c>
      <c r="R531" s="1" t="s">
        <v>3219</v>
      </c>
      <c r="S531" s="1" t="s">
        <v>27</v>
      </c>
      <c r="T531" s="38">
        <v>1</v>
      </c>
      <c r="V531" s="1">
        <v>0.87</v>
      </c>
    </row>
    <row r="532" spans="1:22" x14ac:dyDescent="0.2">
      <c r="A532" s="1" t="s">
        <v>3678</v>
      </c>
      <c r="B532" s="1" t="s">
        <v>1911</v>
      </c>
      <c r="C532" s="1" t="s">
        <v>236</v>
      </c>
      <c r="E532" s="1">
        <v>45</v>
      </c>
      <c r="F532" s="1" t="s">
        <v>3679</v>
      </c>
      <c r="H532" s="1" t="s">
        <v>3680</v>
      </c>
      <c r="I532" s="1" t="s">
        <v>7</v>
      </c>
      <c r="J532" s="1" t="s">
        <v>3681</v>
      </c>
      <c r="K532" s="1" t="s">
        <v>3682</v>
      </c>
      <c r="L532" s="1" t="s">
        <v>3681</v>
      </c>
      <c r="M532" s="1" t="s">
        <v>816</v>
      </c>
      <c r="N532" s="1" t="s">
        <v>3683</v>
      </c>
      <c r="O532" s="1">
        <v>1</v>
      </c>
      <c r="P532" s="1" t="s">
        <v>3218</v>
      </c>
      <c r="Q532" s="1">
        <v>1999</v>
      </c>
      <c r="R532" s="1" t="s">
        <v>3219</v>
      </c>
      <c r="S532" s="1" t="s">
        <v>27</v>
      </c>
      <c r="T532" s="38">
        <v>1</v>
      </c>
      <c r="V532" s="1">
        <v>1.35</v>
      </c>
    </row>
    <row r="533" spans="1:22" x14ac:dyDescent="0.2">
      <c r="A533" s="1" t="s">
        <v>3684</v>
      </c>
      <c r="B533" s="1" t="s">
        <v>1911</v>
      </c>
      <c r="C533" s="1" t="s">
        <v>236</v>
      </c>
      <c r="E533" s="1">
        <v>45</v>
      </c>
      <c r="F533" s="1" t="s">
        <v>3679</v>
      </c>
      <c r="H533" s="1" t="s">
        <v>3680</v>
      </c>
      <c r="I533" s="1" t="s">
        <v>7</v>
      </c>
      <c r="J533" s="1" t="s">
        <v>3681</v>
      </c>
      <c r="K533" s="1" t="s">
        <v>3682</v>
      </c>
      <c r="L533" s="1" t="s">
        <v>3681</v>
      </c>
      <c r="M533" s="1" t="s">
        <v>816</v>
      </c>
      <c r="N533" s="1" t="s">
        <v>3685</v>
      </c>
      <c r="O533" s="1">
        <v>1</v>
      </c>
      <c r="P533" s="1" t="s">
        <v>3218</v>
      </c>
      <c r="Q533" s="1">
        <v>1999</v>
      </c>
      <c r="R533" s="1" t="s">
        <v>3219</v>
      </c>
      <c r="S533" s="1" t="s">
        <v>27</v>
      </c>
      <c r="T533" s="38">
        <v>1</v>
      </c>
      <c r="V533" s="1">
        <v>1.34</v>
      </c>
    </row>
    <row r="534" spans="1:22" x14ac:dyDescent="0.2">
      <c r="A534" s="1" t="s">
        <v>3686</v>
      </c>
      <c r="B534" s="1" t="s">
        <v>1911</v>
      </c>
      <c r="C534" s="1" t="s">
        <v>236</v>
      </c>
      <c r="E534" s="1">
        <v>45</v>
      </c>
      <c r="F534" s="1" t="s">
        <v>3687</v>
      </c>
      <c r="H534" s="1" t="s">
        <v>3688</v>
      </c>
      <c r="I534" s="1" t="s">
        <v>7</v>
      </c>
      <c r="J534" s="1" t="s">
        <v>3689</v>
      </c>
      <c r="K534" s="1" t="s">
        <v>3690</v>
      </c>
      <c r="L534" s="1" t="s">
        <v>3689</v>
      </c>
      <c r="M534" s="1" t="s">
        <v>816</v>
      </c>
      <c r="N534" s="1" t="s">
        <v>3691</v>
      </c>
      <c r="O534" s="1">
        <v>1</v>
      </c>
      <c r="P534" s="1" t="s">
        <v>3218</v>
      </c>
      <c r="Q534" s="1">
        <v>1999</v>
      </c>
      <c r="R534" s="1" t="s">
        <v>3219</v>
      </c>
      <c r="S534" s="1" t="s">
        <v>27</v>
      </c>
      <c r="T534" s="38">
        <v>1</v>
      </c>
      <c r="V534" s="1">
        <v>0.95</v>
      </c>
    </row>
    <row r="535" spans="1:22" x14ac:dyDescent="0.2">
      <c r="A535" s="1" t="s">
        <v>3692</v>
      </c>
      <c r="B535" s="1" t="s">
        <v>1911</v>
      </c>
      <c r="C535" s="1" t="s">
        <v>236</v>
      </c>
      <c r="E535" s="1">
        <v>45</v>
      </c>
      <c r="F535" s="1" t="s">
        <v>3687</v>
      </c>
      <c r="H535" s="1" t="s">
        <v>3688</v>
      </c>
      <c r="I535" s="1" t="s">
        <v>7</v>
      </c>
      <c r="J535" s="1" t="s">
        <v>3689</v>
      </c>
      <c r="K535" s="1" t="s">
        <v>3690</v>
      </c>
      <c r="L535" s="1" t="s">
        <v>3689</v>
      </c>
      <c r="M535" s="1" t="s">
        <v>816</v>
      </c>
      <c r="N535" s="1" t="s">
        <v>3693</v>
      </c>
      <c r="O535" s="1">
        <v>1</v>
      </c>
      <c r="P535" s="1" t="s">
        <v>3218</v>
      </c>
      <c r="Q535" s="1">
        <v>1999</v>
      </c>
      <c r="R535" s="1" t="s">
        <v>3219</v>
      </c>
      <c r="S535" s="1" t="s">
        <v>27</v>
      </c>
      <c r="T535" s="38">
        <v>1</v>
      </c>
      <c r="V535" s="1">
        <v>1.22</v>
      </c>
    </row>
    <row r="536" spans="1:22" x14ac:dyDescent="0.2">
      <c r="A536" s="1" t="s">
        <v>3694</v>
      </c>
      <c r="B536" s="1" t="s">
        <v>1911</v>
      </c>
      <c r="C536" s="1" t="s">
        <v>236</v>
      </c>
      <c r="E536" s="1">
        <v>45</v>
      </c>
      <c r="F536" s="1" t="s">
        <v>3695</v>
      </c>
      <c r="H536" s="1" t="s">
        <v>3696</v>
      </c>
      <c r="I536" s="1" t="s">
        <v>7</v>
      </c>
      <c r="J536" s="1" t="s">
        <v>3697</v>
      </c>
      <c r="K536" s="1" t="s">
        <v>3698</v>
      </c>
      <c r="L536" s="1" t="s">
        <v>3697</v>
      </c>
      <c r="M536" s="1" t="s">
        <v>816</v>
      </c>
      <c r="N536" s="1" t="s">
        <v>3699</v>
      </c>
      <c r="O536" s="1">
        <v>1</v>
      </c>
      <c r="P536" s="1" t="s">
        <v>3218</v>
      </c>
      <c r="Q536" s="1">
        <v>1999</v>
      </c>
      <c r="R536" s="1" t="s">
        <v>3219</v>
      </c>
      <c r="S536" s="1" t="s">
        <v>27</v>
      </c>
      <c r="T536" s="38">
        <v>1</v>
      </c>
      <c r="V536" s="1">
        <v>1.02</v>
      </c>
    </row>
    <row r="537" spans="1:22" x14ac:dyDescent="0.2">
      <c r="A537" s="1" t="s">
        <v>3700</v>
      </c>
      <c r="B537" s="1" t="s">
        <v>1911</v>
      </c>
      <c r="C537" s="1" t="s">
        <v>236</v>
      </c>
      <c r="E537" s="1">
        <v>45</v>
      </c>
      <c r="F537" s="1" t="s">
        <v>3701</v>
      </c>
      <c r="H537" s="1" t="s">
        <v>3702</v>
      </c>
      <c r="I537" s="1" t="s">
        <v>7</v>
      </c>
      <c r="J537" s="1" t="s">
        <v>3703</v>
      </c>
      <c r="K537" s="1" t="s">
        <v>3704</v>
      </c>
      <c r="L537" s="1" t="s">
        <v>3703</v>
      </c>
      <c r="M537" s="1" t="s">
        <v>816</v>
      </c>
      <c r="N537" s="1" t="s">
        <v>3705</v>
      </c>
      <c r="O537" s="1">
        <v>1</v>
      </c>
      <c r="P537" s="1" t="s">
        <v>3218</v>
      </c>
      <c r="Q537" s="1">
        <v>1999</v>
      </c>
      <c r="R537" s="1" t="s">
        <v>3219</v>
      </c>
      <c r="S537" s="1" t="s">
        <v>27</v>
      </c>
      <c r="T537" s="38">
        <v>1</v>
      </c>
      <c r="V537" s="1">
        <v>1.34</v>
      </c>
    </row>
    <row r="538" spans="1:22" x14ac:dyDescent="0.2">
      <c r="A538" s="1" t="s">
        <v>3706</v>
      </c>
      <c r="B538" s="1" t="s">
        <v>1911</v>
      </c>
      <c r="C538" s="1" t="s">
        <v>236</v>
      </c>
      <c r="E538" s="1">
        <v>45</v>
      </c>
      <c r="F538" s="1" t="s">
        <v>3707</v>
      </c>
      <c r="H538" s="1" t="s">
        <v>3708</v>
      </c>
      <c r="I538" s="1" t="s">
        <v>7</v>
      </c>
      <c r="J538" s="1" t="s">
        <v>3709</v>
      </c>
      <c r="K538" s="1" t="s">
        <v>3710</v>
      </c>
      <c r="L538" s="1" t="s">
        <v>3711</v>
      </c>
      <c r="M538" s="1" t="s">
        <v>2889</v>
      </c>
      <c r="N538" s="1" t="s">
        <v>3712</v>
      </c>
      <c r="O538" s="1">
        <v>1</v>
      </c>
      <c r="P538" s="1" t="s">
        <v>3218</v>
      </c>
      <c r="Q538" s="1">
        <v>1999</v>
      </c>
      <c r="R538" s="1" t="s">
        <v>3219</v>
      </c>
      <c r="S538" s="1" t="s">
        <v>27</v>
      </c>
      <c r="T538" s="38">
        <v>1</v>
      </c>
      <c r="V538" s="1">
        <v>0.98</v>
      </c>
    </row>
    <row r="539" spans="1:22" x14ac:dyDescent="0.2">
      <c r="A539" s="1" t="s">
        <v>3713</v>
      </c>
      <c r="B539" s="1" t="s">
        <v>1911</v>
      </c>
      <c r="C539" s="1" t="s">
        <v>236</v>
      </c>
      <c r="E539" s="1">
        <v>42</v>
      </c>
      <c r="F539" s="1" t="s">
        <v>3714</v>
      </c>
      <c r="H539" s="1" t="s">
        <v>3715</v>
      </c>
      <c r="I539" s="1" t="s">
        <v>7</v>
      </c>
      <c r="J539" s="1" t="s">
        <v>3716</v>
      </c>
      <c r="K539" s="1" t="s">
        <v>3717</v>
      </c>
      <c r="L539" s="1" t="s">
        <v>3718</v>
      </c>
      <c r="M539" s="1" t="s">
        <v>748</v>
      </c>
      <c r="N539" s="1" t="s">
        <v>3719</v>
      </c>
      <c r="O539" s="1">
        <v>1</v>
      </c>
      <c r="P539" s="1" t="s">
        <v>3218</v>
      </c>
      <c r="Q539" s="1">
        <v>1999</v>
      </c>
      <c r="R539" s="1" t="s">
        <v>3219</v>
      </c>
      <c r="S539" s="1" t="s">
        <v>27</v>
      </c>
      <c r="T539" s="38">
        <v>1</v>
      </c>
      <c r="V539" s="1">
        <v>0.75</v>
      </c>
    </row>
    <row r="540" spans="1:22" x14ac:dyDescent="0.2">
      <c r="A540" s="1" t="s">
        <v>3720</v>
      </c>
      <c r="B540" s="1" t="s">
        <v>1911</v>
      </c>
      <c r="C540" s="1" t="s">
        <v>236</v>
      </c>
      <c r="E540" s="1">
        <v>42</v>
      </c>
      <c r="F540" s="1" t="s">
        <v>3714</v>
      </c>
      <c r="H540" s="1" t="s">
        <v>3721</v>
      </c>
      <c r="I540" s="1" t="s">
        <v>7</v>
      </c>
      <c r="J540" s="1" t="s">
        <v>3718</v>
      </c>
      <c r="K540" s="1" t="s">
        <v>3717</v>
      </c>
      <c r="L540" s="1" t="s">
        <v>3718</v>
      </c>
      <c r="O540" s="1">
        <v>1</v>
      </c>
      <c r="P540" s="1" t="s">
        <v>3218</v>
      </c>
      <c r="Q540" s="1">
        <v>1999</v>
      </c>
      <c r="R540" s="1" t="s">
        <v>3219</v>
      </c>
      <c r="S540" s="1" t="s">
        <v>27</v>
      </c>
      <c r="T540" s="38">
        <v>1</v>
      </c>
      <c r="V540" s="1">
        <v>0.64</v>
      </c>
    </row>
    <row r="541" spans="1:22" x14ac:dyDescent="0.2">
      <c r="A541" s="1" t="s">
        <v>3722</v>
      </c>
      <c r="B541" s="1" t="s">
        <v>1911</v>
      </c>
      <c r="C541" s="1" t="s">
        <v>236</v>
      </c>
      <c r="E541" s="1">
        <v>42</v>
      </c>
      <c r="F541" s="1" t="s">
        <v>3723</v>
      </c>
      <c r="H541" s="1" t="s">
        <v>3724</v>
      </c>
      <c r="I541" s="1" t="s">
        <v>7</v>
      </c>
      <c r="J541" s="1" t="s">
        <v>3725</v>
      </c>
      <c r="K541" s="1" t="s">
        <v>3726</v>
      </c>
      <c r="L541" s="1" t="s">
        <v>3727</v>
      </c>
      <c r="M541" s="1" t="s">
        <v>748</v>
      </c>
      <c r="N541" s="1" t="s">
        <v>3728</v>
      </c>
      <c r="O541" s="1">
        <v>1</v>
      </c>
      <c r="P541" s="1" t="s">
        <v>3218</v>
      </c>
      <c r="Q541" s="1">
        <v>1999</v>
      </c>
      <c r="R541" s="1" t="s">
        <v>3219</v>
      </c>
      <c r="S541" s="1" t="s">
        <v>27</v>
      </c>
      <c r="T541" s="38">
        <v>1</v>
      </c>
      <c r="V541" s="1">
        <v>0.57999999999999996</v>
      </c>
    </row>
    <row r="542" spans="1:22" x14ac:dyDescent="0.2">
      <c r="A542" s="1" t="s">
        <v>3729</v>
      </c>
      <c r="B542" s="1" t="s">
        <v>1911</v>
      </c>
      <c r="C542" s="1" t="s">
        <v>236</v>
      </c>
      <c r="E542" s="1">
        <v>42</v>
      </c>
      <c r="F542" s="1" t="s">
        <v>3730</v>
      </c>
      <c r="H542" s="1" t="s">
        <v>3731</v>
      </c>
      <c r="I542" s="1" t="s">
        <v>7</v>
      </c>
      <c r="J542" s="1" t="s">
        <v>3732</v>
      </c>
      <c r="K542" s="1" t="s">
        <v>3733</v>
      </c>
      <c r="L542" s="1" t="s">
        <v>3734</v>
      </c>
      <c r="M542" s="1" t="s">
        <v>748</v>
      </c>
      <c r="N542" s="1" t="s">
        <v>3735</v>
      </c>
      <c r="O542" s="1">
        <v>1</v>
      </c>
      <c r="P542" s="1" t="s">
        <v>3218</v>
      </c>
      <c r="Q542" s="1">
        <v>1999</v>
      </c>
      <c r="R542" s="1" t="s">
        <v>3219</v>
      </c>
      <c r="S542" s="1" t="s">
        <v>27</v>
      </c>
      <c r="T542" s="38">
        <v>1</v>
      </c>
      <c r="V542" s="1">
        <v>0.7</v>
      </c>
    </row>
    <row r="543" spans="1:22" x14ac:dyDescent="0.2">
      <c r="A543" s="1" t="s">
        <v>3736</v>
      </c>
      <c r="B543" s="1" t="s">
        <v>1911</v>
      </c>
      <c r="C543" s="1" t="s">
        <v>236</v>
      </c>
      <c r="E543" s="1">
        <v>42</v>
      </c>
      <c r="F543" s="1" t="s">
        <v>3730</v>
      </c>
      <c r="H543" s="1" t="s">
        <v>3731</v>
      </c>
      <c r="I543" s="1" t="s">
        <v>7</v>
      </c>
      <c r="J543" s="1" t="s">
        <v>3732</v>
      </c>
      <c r="K543" s="1" t="s">
        <v>3733</v>
      </c>
      <c r="L543" s="1" t="s">
        <v>3734</v>
      </c>
      <c r="M543" s="1" t="s">
        <v>2889</v>
      </c>
      <c r="N543" s="1" t="s">
        <v>3737</v>
      </c>
      <c r="O543" s="1">
        <v>1</v>
      </c>
      <c r="P543" s="1" t="s">
        <v>3218</v>
      </c>
      <c r="Q543" s="1">
        <v>1999</v>
      </c>
      <c r="R543" s="1" t="s">
        <v>3219</v>
      </c>
      <c r="S543" s="1" t="s">
        <v>27</v>
      </c>
      <c r="T543" s="38">
        <v>1</v>
      </c>
      <c r="V543" s="1">
        <v>0.76</v>
      </c>
    </row>
    <row r="544" spans="1:22" x14ac:dyDescent="0.2">
      <c r="A544" s="1" t="s">
        <v>3738</v>
      </c>
      <c r="B544" s="1" t="s">
        <v>1911</v>
      </c>
      <c r="C544" s="1" t="s">
        <v>236</v>
      </c>
      <c r="E544" s="1">
        <v>42</v>
      </c>
      <c r="F544" s="1" t="s">
        <v>3739</v>
      </c>
      <c r="H544" s="1" t="s">
        <v>3740</v>
      </c>
      <c r="I544" s="1" t="s">
        <v>7</v>
      </c>
      <c r="J544" s="1" t="s">
        <v>3741</v>
      </c>
      <c r="K544" s="1" t="s">
        <v>3742</v>
      </c>
      <c r="L544" s="1" t="s">
        <v>3741</v>
      </c>
      <c r="M544" s="1" t="s">
        <v>748</v>
      </c>
      <c r="N544" s="1" t="s">
        <v>3743</v>
      </c>
      <c r="O544" s="1">
        <v>1</v>
      </c>
      <c r="P544" s="1" t="s">
        <v>3218</v>
      </c>
      <c r="Q544" s="1">
        <v>1999</v>
      </c>
      <c r="R544" s="1" t="s">
        <v>3219</v>
      </c>
      <c r="S544" s="1" t="s">
        <v>27</v>
      </c>
      <c r="T544" s="38">
        <v>1</v>
      </c>
      <c r="V544" s="1">
        <v>0.68</v>
      </c>
    </row>
    <row r="545" spans="1:24" x14ac:dyDescent="0.2">
      <c r="A545" s="1" t="s">
        <v>3744</v>
      </c>
      <c r="B545" s="1" t="s">
        <v>57</v>
      </c>
      <c r="C545" s="1" t="s">
        <v>236</v>
      </c>
      <c r="E545" s="1">
        <v>57</v>
      </c>
      <c r="F545" s="1" t="s">
        <v>3745</v>
      </c>
      <c r="H545" s="1" t="s">
        <v>3746</v>
      </c>
      <c r="I545" s="1" t="s">
        <v>7</v>
      </c>
      <c r="J545" s="1" t="s">
        <v>3747</v>
      </c>
      <c r="K545" s="1" t="s">
        <v>3748</v>
      </c>
      <c r="L545" s="1" t="s">
        <v>3749</v>
      </c>
      <c r="O545" s="1">
        <v>1</v>
      </c>
      <c r="P545" s="1" t="s">
        <v>3218</v>
      </c>
      <c r="Q545" s="1">
        <v>1999</v>
      </c>
      <c r="R545" s="1" t="s">
        <v>3219</v>
      </c>
      <c r="S545" s="1" t="s">
        <v>27</v>
      </c>
      <c r="T545" s="38">
        <v>1</v>
      </c>
      <c r="V545" s="1">
        <v>1.3</v>
      </c>
    </row>
    <row r="546" spans="1:24" x14ac:dyDescent="0.2">
      <c r="A546" s="1" t="s">
        <v>3750</v>
      </c>
      <c r="B546" s="1" t="s">
        <v>57</v>
      </c>
      <c r="C546" s="1" t="s">
        <v>236</v>
      </c>
      <c r="E546" s="1">
        <v>57</v>
      </c>
      <c r="F546" s="1" t="s">
        <v>3745</v>
      </c>
      <c r="H546" s="1" t="s">
        <v>3746</v>
      </c>
      <c r="I546" s="1" t="s">
        <v>7</v>
      </c>
      <c r="J546" s="1" t="s">
        <v>3749</v>
      </c>
      <c r="K546" s="1" t="s">
        <v>3748</v>
      </c>
      <c r="L546" s="1" t="s">
        <v>3749</v>
      </c>
      <c r="M546" s="1" t="s">
        <v>2889</v>
      </c>
      <c r="N546" s="1" t="s">
        <v>3751</v>
      </c>
      <c r="O546" s="1">
        <v>1</v>
      </c>
      <c r="P546" s="1" t="s">
        <v>3218</v>
      </c>
      <c r="Q546" s="1">
        <v>1999</v>
      </c>
      <c r="R546" s="1" t="s">
        <v>3219</v>
      </c>
      <c r="S546" s="1" t="s">
        <v>27</v>
      </c>
      <c r="T546" s="38">
        <v>1</v>
      </c>
      <c r="V546" s="1">
        <v>0.92</v>
      </c>
    </row>
    <row r="547" spans="1:24" x14ac:dyDescent="0.2">
      <c r="A547" s="1" t="s">
        <v>3752</v>
      </c>
      <c r="B547" s="1" t="s">
        <v>57</v>
      </c>
      <c r="C547" s="1" t="s">
        <v>236</v>
      </c>
      <c r="E547" s="1">
        <v>57</v>
      </c>
      <c r="F547" s="1" t="s">
        <v>3753</v>
      </c>
      <c r="H547" s="1" t="s">
        <v>3754</v>
      </c>
      <c r="I547" s="1" t="s">
        <v>7</v>
      </c>
      <c r="J547" s="1" t="s">
        <v>3755</v>
      </c>
      <c r="K547" s="1" t="s">
        <v>3756</v>
      </c>
      <c r="L547" s="1" t="s">
        <v>3755</v>
      </c>
      <c r="M547" s="1" t="s">
        <v>2889</v>
      </c>
      <c r="N547" s="1" t="s">
        <v>3757</v>
      </c>
      <c r="O547" s="1">
        <v>1</v>
      </c>
      <c r="P547" s="1" t="s">
        <v>3218</v>
      </c>
      <c r="Q547" s="1">
        <v>1999</v>
      </c>
      <c r="R547" s="1" t="s">
        <v>3219</v>
      </c>
      <c r="S547" s="1" t="s">
        <v>27</v>
      </c>
      <c r="T547" s="38">
        <v>1</v>
      </c>
      <c r="V547" s="1">
        <v>1.4</v>
      </c>
    </row>
    <row r="548" spans="1:24" x14ac:dyDescent="0.2">
      <c r="A548" s="1" t="s">
        <v>3758</v>
      </c>
      <c r="B548" s="1" t="s">
        <v>57</v>
      </c>
      <c r="C548" s="1" t="s">
        <v>236</v>
      </c>
      <c r="E548" s="1">
        <v>57</v>
      </c>
      <c r="F548" s="1" t="s">
        <v>3753</v>
      </c>
      <c r="H548" s="1" t="s">
        <v>3754</v>
      </c>
      <c r="I548" s="1" t="s">
        <v>7</v>
      </c>
      <c r="J548" s="1" t="s">
        <v>3755</v>
      </c>
      <c r="K548" s="1" t="s">
        <v>3756</v>
      </c>
      <c r="L548" s="1" t="s">
        <v>3755</v>
      </c>
      <c r="O548" s="1">
        <v>1</v>
      </c>
      <c r="P548" s="1" t="s">
        <v>3218</v>
      </c>
      <c r="Q548" s="1">
        <v>1999</v>
      </c>
      <c r="R548" s="1" t="s">
        <v>3219</v>
      </c>
      <c r="S548" s="1" t="s">
        <v>27</v>
      </c>
      <c r="T548" s="38">
        <v>1</v>
      </c>
      <c r="V548" s="1">
        <v>1.33</v>
      </c>
    </row>
    <row r="549" spans="1:24" x14ac:dyDescent="0.2">
      <c r="A549" s="1" t="s">
        <v>3759</v>
      </c>
      <c r="B549" s="1" t="s">
        <v>57</v>
      </c>
      <c r="C549" s="1" t="s">
        <v>3760</v>
      </c>
      <c r="E549" s="1">
        <v>52</v>
      </c>
      <c r="F549" s="1" t="s">
        <v>3761</v>
      </c>
      <c r="H549" s="1" t="s">
        <v>3762</v>
      </c>
      <c r="I549" s="1" t="s">
        <v>7</v>
      </c>
      <c r="J549" s="1" t="s">
        <v>3763</v>
      </c>
      <c r="K549" s="1" t="s">
        <v>3764</v>
      </c>
      <c r="L549" s="1" t="s">
        <v>3765</v>
      </c>
      <c r="Q549" s="1">
        <v>1976</v>
      </c>
      <c r="R549" s="1" t="s">
        <v>3766</v>
      </c>
      <c r="S549" s="1" t="s">
        <v>27</v>
      </c>
      <c r="T549" s="38">
        <v>1</v>
      </c>
      <c r="U549" s="1">
        <v>76.900000000000006</v>
      </c>
      <c r="X549" s="1">
        <v>0.7</v>
      </c>
    </row>
    <row r="550" spans="1:24" x14ac:dyDescent="0.2">
      <c r="A550" s="1" t="s">
        <v>3767</v>
      </c>
      <c r="B550" s="1" t="s">
        <v>57</v>
      </c>
      <c r="C550" s="1" t="s">
        <v>3760</v>
      </c>
      <c r="E550" s="1">
        <v>56</v>
      </c>
      <c r="F550" s="1" t="s">
        <v>3768</v>
      </c>
      <c r="H550" s="1" t="s">
        <v>3769</v>
      </c>
      <c r="I550" s="1" t="s">
        <v>7</v>
      </c>
      <c r="J550" s="1" t="s">
        <v>3770</v>
      </c>
      <c r="K550" s="1" t="s">
        <v>3771</v>
      </c>
      <c r="L550" s="1" t="s">
        <v>3770</v>
      </c>
      <c r="Q550" s="1">
        <v>1976</v>
      </c>
      <c r="R550" s="1" t="s">
        <v>3766</v>
      </c>
      <c r="S550" s="1" t="s">
        <v>27</v>
      </c>
      <c r="T550" s="38">
        <v>1</v>
      </c>
      <c r="U550" s="1">
        <v>80</v>
      </c>
      <c r="X550" s="1">
        <v>1.23</v>
      </c>
    </row>
    <row r="551" spans="1:24" x14ac:dyDescent="0.2">
      <c r="A551" s="1" t="s">
        <v>3772</v>
      </c>
      <c r="B551" s="1" t="s">
        <v>57</v>
      </c>
      <c r="C551" s="1" t="s">
        <v>3760</v>
      </c>
      <c r="E551" s="1">
        <v>56</v>
      </c>
      <c r="F551" s="1" t="s">
        <v>3773</v>
      </c>
      <c r="H551" s="1" t="s">
        <v>3774</v>
      </c>
      <c r="I551" s="1" t="s">
        <v>7</v>
      </c>
      <c r="J551" s="1" t="s">
        <v>3775</v>
      </c>
      <c r="K551" s="1" t="s">
        <v>3776</v>
      </c>
      <c r="L551" s="1" t="s">
        <v>3777</v>
      </c>
      <c r="Q551" s="1">
        <v>1976</v>
      </c>
      <c r="R551" s="1" t="s">
        <v>3766</v>
      </c>
      <c r="S551" s="1" t="s">
        <v>27</v>
      </c>
      <c r="T551" s="38">
        <v>1</v>
      </c>
      <c r="U551" s="1">
        <v>82.4</v>
      </c>
      <c r="X551" s="1">
        <v>1</v>
      </c>
    </row>
    <row r="552" spans="1:24" x14ac:dyDescent="0.2">
      <c r="A552" s="1" t="s">
        <v>3778</v>
      </c>
      <c r="B552" s="1" t="s">
        <v>57</v>
      </c>
      <c r="C552" s="1" t="s">
        <v>3760</v>
      </c>
      <c r="E552" s="1">
        <v>56</v>
      </c>
      <c r="F552" s="1" t="s">
        <v>3779</v>
      </c>
      <c r="H552" s="1" t="s">
        <v>3780</v>
      </c>
      <c r="I552" s="1" t="s">
        <v>7</v>
      </c>
      <c r="J552" s="1" t="s">
        <v>3781</v>
      </c>
      <c r="K552" s="1" t="s">
        <v>3782</v>
      </c>
      <c r="L552" s="1" t="s">
        <v>3781</v>
      </c>
      <c r="Q552" s="1">
        <v>1976</v>
      </c>
      <c r="R552" s="1" t="s">
        <v>3766</v>
      </c>
      <c r="S552" s="1" t="s">
        <v>27</v>
      </c>
      <c r="T552" s="38">
        <v>1</v>
      </c>
      <c r="U552" s="1">
        <v>79.400000000000006</v>
      </c>
      <c r="X552" s="1">
        <v>1</v>
      </c>
    </row>
    <row r="553" spans="1:24" x14ac:dyDescent="0.2">
      <c r="A553" s="1" t="s">
        <v>3783</v>
      </c>
      <c r="B553" s="1" t="s">
        <v>55</v>
      </c>
      <c r="C553" s="1" t="s">
        <v>3784</v>
      </c>
      <c r="E553" s="1">
        <v>32</v>
      </c>
      <c r="F553" s="1" t="s">
        <v>3785</v>
      </c>
      <c r="H553" s="1" t="s">
        <v>3786</v>
      </c>
      <c r="I553" s="1" t="s">
        <v>7</v>
      </c>
      <c r="J553" s="1" t="s">
        <v>3787</v>
      </c>
      <c r="K553" s="1" t="s">
        <v>3788</v>
      </c>
      <c r="L553" s="1" t="s">
        <v>3787</v>
      </c>
      <c r="Q553" s="1">
        <v>1976</v>
      </c>
      <c r="R553" s="1" t="s">
        <v>3766</v>
      </c>
      <c r="S553" s="1" t="s">
        <v>27</v>
      </c>
      <c r="T553" s="38">
        <v>1</v>
      </c>
      <c r="U553" s="1">
        <v>81.099999999999994</v>
      </c>
      <c r="X553" s="1">
        <v>0.66</v>
      </c>
    </row>
    <row r="554" spans="1:24" x14ac:dyDescent="0.2">
      <c r="A554" s="1" t="s">
        <v>3789</v>
      </c>
      <c r="B554" s="1" t="s">
        <v>55</v>
      </c>
      <c r="C554" s="1" t="s">
        <v>3790</v>
      </c>
      <c r="E554" s="1">
        <v>33</v>
      </c>
      <c r="F554" s="1" t="s">
        <v>3791</v>
      </c>
      <c r="H554" s="1" t="s">
        <v>3792</v>
      </c>
      <c r="I554" s="1" t="s">
        <v>7</v>
      </c>
      <c r="J554" s="1" t="s">
        <v>3793</v>
      </c>
      <c r="K554" s="1" t="s">
        <v>3794</v>
      </c>
      <c r="L554" s="1" t="s">
        <v>3793</v>
      </c>
      <c r="Q554" s="1">
        <v>1976</v>
      </c>
      <c r="R554" s="1" t="s">
        <v>3766</v>
      </c>
      <c r="S554" s="1" t="s">
        <v>27</v>
      </c>
      <c r="T554" s="38">
        <v>1</v>
      </c>
      <c r="U554" s="1">
        <v>81.099999999999994</v>
      </c>
      <c r="X554" s="1">
        <v>0.96</v>
      </c>
    </row>
    <row r="555" spans="1:24" x14ac:dyDescent="0.2">
      <c r="A555" s="1" t="s">
        <v>3795</v>
      </c>
      <c r="B555" s="1" t="s">
        <v>1911</v>
      </c>
      <c r="C555" s="1" t="s">
        <v>3796</v>
      </c>
      <c r="E555" s="1">
        <v>42</v>
      </c>
      <c r="F555" s="1" t="s">
        <v>3797</v>
      </c>
      <c r="H555" s="1" t="s">
        <v>3798</v>
      </c>
      <c r="I555" s="1" t="s">
        <v>7</v>
      </c>
      <c r="J555" s="1" t="s">
        <v>3799</v>
      </c>
      <c r="K555" s="1" t="s">
        <v>3800</v>
      </c>
      <c r="L555" s="1" t="s">
        <v>3799</v>
      </c>
      <c r="Q555" s="1">
        <v>1976</v>
      </c>
      <c r="R555" s="1" t="s">
        <v>3766</v>
      </c>
      <c r="S555" s="1" t="s">
        <v>27</v>
      </c>
      <c r="T555" s="38">
        <v>1</v>
      </c>
      <c r="U555" s="1">
        <v>78.099999999999994</v>
      </c>
      <c r="X555" s="1">
        <v>0.87</v>
      </c>
    </row>
    <row r="556" spans="1:24" x14ac:dyDescent="0.2">
      <c r="A556" s="1" t="s">
        <v>3801</v>
      </c>
      <c r="B556" s="1" t="s">
        <v>1911</v>
      </c>
      <c r="C556" s="1" t="s">
        <v>3796</v>
      </c>
      <c r="E556" s="1">
        <v>42</v>
      </c>
      <c r="F556" s="1" t="s">
        <v>3797</v>
      </c>
      <c r="H556" s="1" t="s">
        <v>3802</v>
      </c>
      <c r="I556" s="1" t="s">
        <v>7</v>
      </c>
      <c r="J556" s="1" t="s">
        <v>3799</v>
      </c>
      <c r="K556" s="1" t="s">
        <v>3800</v>
      </c>
      <c r="L556" s="1" t="s">
        <v>3799</v>
      </c>
      <c r="Q556" s="1">
        <v>1976</v>
      </c>
      <c r="R556" s="1" t="s">
        <v>3766</v>
      </c>
      <c r="S556" s="1" t="s">
        <v>27</v>
      </c>
      <c r="T556" s="38">
        <v>1</v>
      </c>
      <c r="U556" s="1">
        <v>78.900000000000006</v>
      </c>
      <c r="X556" s="1">
        <v>0.82</v>
      </c>
    </row>
    <row r="557" spans="1:24" x14ac:dyDescent="0.2">
      <c r="A557" s="1" t="s">
        <v>3803</v>
      </c>
      <c r="B557" s="1" t="s">
        <v>1911</v>
      </c>
      <c r="C557" s="1" t="s">
        <v>3804</v>
      </c>
      <c r="E557" s="1">
        <v>44</v>
      </c>
      <c r="F557" s="1" t="s">
        <v>3805</v>
      </c>
      <c r="H557" s="1" t="s">
        <v>3806</v>
      </c>
      <c r="I557" s="1" t="s">
        <v>7</v>
      </c>
      <c r="J557" s="1" t="s">
        <v>3807</v>
      </c>
      <c r="K557" s="1" t="s">
        <v>3808</v>
      </c>
      <c r="L557" s="1" t="s">
        <v>3809</v>
      </c>
      <c r="Q557" s="1">
        <v>1976</v>
      </c>
      <c r="R557" s="1" t="s">
        <v>3766</v>
      </c>
      <c r="S557" s="1" t="s">
        <v>27</v>
      </c>
      <c r="T557" s="38">
        <v>1</v>
      </c>
      <c r="U557" s="1">
        <v>86.1</v>
      </c>
      <c r="X557" s="1">
        <v>0.6</v>
      </c>
    </row>
    <row r="558" spans="1:24" x14ac:dyDescent="0.2">
      <c r="A558" s="1" t="s">
        <v>3810</v>
      </c>
      <c r="B558" s="1" t="s">
        <v>1911</v>
      </c>
      <c r="C558" s="1" t="s">
        <v>3804</v>
      </c>
      <c r="E558" s="1">
        <v>44</v>
      </c>
      <c r="F558" s="1" t="s">
        <v>3805</v>
      </c>
      <c r="H558" s="1" t="s">
        <v>3811</v>
      </c>
      <c r="I558" s="1" t="s">
        <v>7</v>
      </c>
      <c r="J558" s="1" t="s">
        <v>3807</v>
      </c>
      <c r="K558" s="1" t="s">
        <v>3808</v>
      </c>
      <c r="L558" s="1" t="s">
        <v>3809</v>
      </c>
      <c r="Q558" s="1">
        <v>1976</v>
      </c>
      <c r="R558" s="1" t="s">
        <v>3766</v>
      </c>
      <c r="S558" s="1" t="s">
        <v>27</v>
      </c>
      <c r="T558" s="38">
        <v>1</v>
      </c>
      <c r="U558" s="1">
        <v>86</v>
      </c>
      <c r="X558" s="1">
        <v>0.69</v>
      </c>
    </row>
    <row r="559" spans="1:24" x14ac:dyDescent="0.2">
      <c r="A559" s="1" t="s">
        <v>3812</v>
      </c>
      <c r="B559" s="1" t="s">
        <v>1911</v>
      </c>
      <c r="C559" s="1" t="s">
        <v>3804</v>
      </c>
      <c r="E559" s="1">
        <v>44</v>
      </c>
      <c r="F559" s="1" t="s">
        <v>3805</v>
      </c>
      <c r="H559" s="1" t="s">
        <v>3813</v>
      </c>
      <c r="I559" s="1" t="s">
        <v>7</v>
      </c>
      <c r="J559" s="1" t="s">
        <v>3807</v>
      </c>
      <c r="K559" s="1" t="s">
        <v>3808</v>
      </c>
      <c r="L559" s="1" t="s">
        <v>3809</v>
      </c>
      <c r="Q559" s="1">
        <v>1976</v>
      </c>
      <c r="R559" s="1" t="s">
        <v>3766</v>
      </c>
      <c r="S559" s="1" t="s">
        <v>27</v>
      </c>
      <c r="T559" s="38">
        <v>1</v>
      </c>
      <c r="U559" s="1">
        <v>79.599999999999994</v>
      </c>
      <c r="X559" s="1">
        <v>1.1599999999999999</v>
      </c>
    </row>
    <row r="560" spans="1:24" x14ac:dyDescent="0.2">
      <c r="A560" s="1" t="s">
        <v>3814</v>
      </c>
      <c r="B560" s="1" t="s">
        <v>57</v>
      </c>
      <c r="C560" s="1" t="s">
        <v>3760</v>
      </c>
      <c r="E560" s="1">
        <v>76</v>
      </c>
      <c r="F560" s="1" t="s">
        <v>3815</v>
      </c>
      <c r="H560" s="1" t="s">
        <v>3816</v>
      </c>
      <c r="I560" s="1" t="s">
        <v>7</v>
      </c>
      <c r="J560" s="1" t="s">
        <v>3817</v>
      </c>
      <c r="K560" s="1" t="s">
        <v>3818</v>
      </c>
      <c r="L560" s="1" t="s">
        <v>3819</v>
      </c>
      <c r="Q560" s="1">
        <v>1976</v>
      </c>
      <c r="R560" s="1" t="s">
        <v>3766</v>
      </c>
      <c r="S560" s="1" t="s">
        <v>27</v>
      </c>
      <c r="T560" s="38">
        <v>1</v>
      </c>
      <c r="U560" s="1">
        <v>86.2</v>
      </c>
      <c r="X560" s="1">
        <v>0.6</v>
      </c>
    </row>
    <row r="561" spans="1:24" x14ac:dyDescent="0.2">
      <c r="A561" s="1" t="s">
        <v>3820</v>
      </c>
      <c r="B561" s="1" t="s">
        <v>55</v>
      </c>
      <c r="C561" s="1" t="s">
        <v>3821</v>
      </c>
      <c r="E561" s="1">
        <v>38</v>
      </c>
      <c r="F561" s="1" t="s">
        <v>3822</v>
      </c>
      <c r="H561" s="1" t="s">
        <v>3823</v>
      </c>
      <c r="I561" s="1" t="s">
        <v>7</v>
      </c>
      <c r="J561" s="1" t="s">
        <v>3824</v>
      </c>
      <c r="K561" s="1" t="s">
        <v>3825</v>
      </c>
      <c r="L561" s="1" t="s">
        <v>3824</v>
      </c>
      <c r="Q561" s="1">
        <v>1976</v>
      </c>
      <c r="R561" s="1" t="s">
        <v>3766</v>
      </c>
      <c r="S561" s="1" t="s">
        <v>27</v>
      </c>
      <c r="T561" s="38">
        <v>1</v>
      </c>
      <c r="U561" s="1">
        <v>70.599999999999994</v>
      </c>
      <c r="X561" s="1">
        <v>13.4</v>
      </c>
    </row>
    <row r="562" spans="1:24" x14ac:dyDescent="0.2">
      <c r="A562" s="1" t="s">
        <v>3826</v>
      </c>
      <c r="B562" s="1" t="s">
        <v>55</v>
      </c>
      <c r="C562" s="1" t="s">
        <v>3827</v>
      </c>
      <c r="E562" s="1">
        <v>38</v>
      </c>
      <c r="F562" s="1" t="s">
        <v>3822</v>
      </c>
      <c r="H562" s="1" t="s">
        <v>3828</v>
      </c>
      <c r="I562" s="1" t="s">
        <v>7</v>
      </c>
      <c r="J562" s="1" t="s">
        <v>3824</v>
      </c>
      <c r="K562" s="1" t="s">
        <v>3825</v>
      </c>
      <c r="L562" s="1" t="s">
        <v>3824</v>
      </c>
      <c r="Q562" s="1">
        <v>1976</v>
      </c>
      <c r="R562" s="1" t="s">
        <v>3766</v>
      </c>
      <c r="S562" s="1" t="s">
        <v>27</v>
      </c>
      <c r="T562" s="38">
        <v>1</v>
      </c>
      <c r="U562" s="1">
        <v>69.5</v>
      </c>
      <c r="X562" s="1">
        <v>15.3</v>
      </c>
    </row>
    <row r="563" spans="1:24" x14ac:dyDescent="0.2">
      <c r="A563" s="1" t="s">
        <v>3829</v>
      </c>
      <c r="B563" s="1" t="s">
        <v>55</v>
      </c>
      <c r="C563" s="1" t="s">
        <v>3830</v>
      </c>
      <c r="E563" s="1">
        <v>23</v>
      </c>
      <c r="F563" s="1" t="s">
        <v>3831</v>
      </c>
      <c r="H563" s="1" t="s">
        <v>3832</v>
      </c>
      <c r="I563" s="1" t="s">
        <v>7</v>
      </c>
      <c r="J563" s="1" t="s">
        <v>3833</v>
      </c>
      <c r="K563" s="1" t="s">
        <v>3834</v>
      </c>
      <c r="L563" s="1" t="s">
        <v>3833</v>
      </c>
      <c r="Q563" s="1">
        <v>1976</v>
      </c>
      <c r="R563" s="1" t="s">
        <v>3766</v>
      </c>
      <c r="S563" s="1" t="s">
        <v>27</v>
      </c>
      <c r="T563" s="38">
        <v>1</v>
      </c>
      <c r="U563" s="1">
        <v>79.599999999999994</v>
      </c>
      <c r="X563" s="1">
        <v>6.25</v>
      </c>
    </row>
    <row r="564" spans="1:24" x14ac:dyDescent="0.2">
      <c r="A564" s="1" t="s">
        <v>3835</v>
      </c>
      <c r="B564" s="1" t="s">
        <v>55</v>
      </c>
      <c r="C564" s="1" t="s">
        <v>3836</v>
      </c>
      <c r="E564" s="1">
        <v>31</v>
      </c>
      <c r="F564" s="1" t="s">
        <v>3837</v>
      </c>
      <c r="H564" s="1" t="s">
        <v>3838</v>
      </c>
      <c r="I564" s="1" t="s">
        <v>7</v>
      </c>
      <c r="J564" s="1" t="s">
        <v>3839</v>
      </c>
      <c r="K564" s="1" t="s">
        <v>3840</v>
      </c>
      <c r="L564" s="1" t="s">
        <v>3839</v>
      </c>
      <c r="Q564" s="1">
        <v>1976</v>
      </c>
      <c r="R564" s="1" t="s">
        <v>3766</v>
      </c>
      <c r="S564" s="1" t="s">
        <v>27</v>
      </c>
      <c r="T564" s="38">
        <v>1</v>
      </c>
      <c r="U564" s="1">
        <v>79.5</v>
      </c>
      <c r="X564" s="1">
        <v>2.2999999999999998</v>
      </c>
    </row>
    <row r="565" spans="1:24" x14ac:dyDescent="0.2">
      <c r="A565" s="1" t="s">
        <v>3841</v>
      </c>
      <c r="B565" s="1" t="s">
        <v>55</v>
      </c>
      <c r="C565" s="1" t="s">
        <v>3842</v>
      </c>
      <c r="E565" s="1">
        <v>31</v>
      </c>
      <c r="F565" s="1" t="s">
        <v>3843</v>
      </c>
      <c r="H565" s="1" t="s">
        <v>3844</v>
      </c>
      <c r="I565" s="1" t="s">
        <v>7</v>
      </c>
      <c r="J565" s="1" t="s">
        <v>3845</v>
      </c>
      <c r="K565" s="1" t="s">
        <v>3846</v>
      </c>
      <c r="L565" s="1" t="s">
        <v>3845</v>
      </c>
      <c r="Q565" s="1">
        <v>1976</v>
      </c>
      <c r="R565" s="1" t="s">
        <v>3766</v>
      </c>
      <c r="S565" s="1" t="s">
        <v>27</v>
      </c>
      <c r="T565" s="38">
        <v>1</v>
      </c>
      <c r="U565" s="1">
        <v>80.3</v>
      </c>
      <c r="X565" s="1">
        <v>1.4</v>
      </c>
    </row>
    <row r="566" spans="1:24" x14ac:dyDescent="0.2">
      <c r="A566" s="1" t="s">
        <v>3847</v>
      </c>
      <c r="B566" s="1" t="s">
        <v>57</v>
      </c>
      <c r="C566" s="1" t="s">
        <v>3760</v>
      </c>
      <c r="E566" s="1">
        <v>56</v>
      </c>
      <c r="F566" s="1" t="s">
        <v>3848</v>
      </c>
      <c r="H566" s="1" t="s">
        <v>3849</v>
      </c>
      <c r="I566" s="1" t="s">
        <v>7</v>
      </c>
      <c r="J566" s="1" t="s">
        <v>3850</v>
      </c>
      <c r="K566" s="1" t="s">
        <v>3851</v>
      </c>
      <c r="L566" s="1" t="s">
        <v>3852</v>
      </c>
      <c r="Q566" s="1">
        <v>1976</v>
      </c>
      <c r="R566" s="1" t="s">
        <v>3766</v>
      </c>
      <c r="S566" s="1" t="s">
        <v>27</v>
      </c>
      <c r="T566" s="38">
        <v>1</v>
      </c>
      <c r="U566" s="1">
        <v>77.2</v>
      </c>
      <c r="X566" s="1">
        <v>0.8</v>
      </c>
    </row>
    <row r="567" spans="1:24" x14ac:dyDescent="0.2">
      <c r="A567" s="1" t="s">
        <v>3853</v>
      </c>
      <c r="B567" s="1" t="s">
        <v>57</v>
      </c>
      <c r="C567" s="1" t="s">
        <v>3760</v>
      </c>
      <c r="E567" s="1">
        <v>56</v>
      </c>
      <c r="F567" s="1" t="s">
        <v>3848</v>
      </c>
      <c r="H567" s="1" t="s">
        <v>3854</v>
      </c>
      <c r="I567" s="1" t="s">
        <v>7</v>
      </c>
      <c r="J567" s="1" t="s">
        <v>3850</v>
      </c>
      <c r="L567" s="1" t="s">
        <v>3852</v>
      </c>
      <c r="Q567" s="1">
        <v>1976</v>
      </c>
      <c r="R567" s="1" t="s">
        <v>3766</v>
      </c>
      <c r="S567" s="1" t="s">
        <v>27</v>
      </c>
      <c r="T567" s="38">
        <v>1</v>
      </c>
      <c r="U567" s="1">
        <v>78.8</v>
      </c>
      <c r="X567" s="1">
        <v>3.2</v>
      </c>
    </row>
    <row r="568" spans="1:24" x14ac:dyDescent="0.2">
      <c r="A568" s="1" t="s">
        <v>3855</v>
      </c>
      <c r="B568" s="1" t="s">
        <v>55</v>
      </c>
      <c r="C568" s="1" t="s">
        <v>3856</v>
      </c>
      <c r="E568" s="1">
        <v>31</v>
      </c>
      <c r="F568" s="1" t="s">
        <v>3857</v>
      </c>
      <c r="H568" s="1" t="s">
        <v>3858</v>
      </c>
      <c r="I568" s="1" t="s">
        <v>7</v>
      </c>
      <c r="J568" s="1" t="s">
        <v>3859</v>
      </c>
      <c r="K568" s="1" t="s">
        <v>3860</v>
      </c>
      <c r="L568" s="1" t="s">
        <v>3859</v>
      </c>
      <c r="Q568" s="1">
        <v>1976</v>
      </c>
      <c r="R568" s="1" t="s">
        <v>3766</v>
      </c>
      <c r="S568" s="1" t="s">
        <v>27</v>
      </c>
      <c r="T568" s="38">
        <v>1</v>
      </c>
      <c r="U568" s="1">
        <v>78.3</v>
      </c>
      <c r="X568" s="1">
        <v>0.79</v>
      </c>
    </row>
    <row r="569" spans="1:24" x14ac:dyDescent="0.2">
      <c r="A569" s="1" t="s">
        <v>3861</v>
      </c>
      <c r="B569" s="1" t="s">
        <v>55</v>
      </c>
      <c r="C569" s="1" t="s">
        <v>3862</v>
      </c>
      <c r="E569" s="1">
        <v>35</v>
      </c>
      <c r="F569" s="1" t="s">
        <v>3863</v>
      </c>
      <c r="H569" s="1" t="s">
        <v>3864</v>
      </c>
      <c r="I569" s="1" t="s">
        <v>7</v>
      </c>
      <c r="J569" s="1" t="s">
        <v>3865</v>
      </c>
      <c r="K569" s="1" t="s">
        <v>1970</v>
      </c>
      <c r="L569" s="1" t="s">
        <v>3866</v>
      </c>
      <c r="Q569" s="1">
        <v>1976</v>
      </c>
      <c r="R569" s="1" t="s">
        <v>3766</v>
      </c>
      <c r="S569" s="1" t="s">
        <v>27</v>
      </c>
      <c r="T569" s="38">
        <v>1</v>
      </c>
      <c r="U569" s="1">
        <v>70.7</v>
      </c>
      <c r="X569" s="1">
        <v>12.5</v>
      </c>
    </row>
    <row r="570" spans="1:24" x14ac:dyDescent="0.2">
      <c r="A570" s="1" t="s">
        <v>3867</v>
      </c>
      <c r="B570" s="1" t="s">
        <v>55</v>
      </c>
      <c r="C570" s="1" t="s">
        <v>3868</v>
      </c>
      <c r="E570" s="1">
        <v>35</v>
      </c>
      <c r="F570" s="1" t="s">
        <v>1967</v>
      </c>
      <c r="H570" s="1" t="s">
        <v>3869</v>
      </c>
      <c r="I570" s="1" t="s">
        <v>7</v>
      </c>
      <c r="J570" s="1" t="s">
        <v>3865</v>
      </c>
      <c r="K570" s="1" t="s">
        <v>1970</v>
      </c>
      <c r="L570" s="1" t="s">
        <v>1969</v>
      </c>
      <c r="Q570" s="1">
        <v>1976</v>
      </c>
      <c r="R570" s="1" t="s">
        <v>3766</v>
      </c>
      <c r="S570" s="1" t="s">
        <v>27</v>
      </c>
      <c r="T570" s="38">
        <v>1</v>
      </c>
      <c r="U570" s="1">
        <v>70.8</v>
      </c>
      <c r="X570" s="1">
        <v>12.8</v>
      </c>
    </row>
    <row r="571" spans="1:24" x14ac:dyDescent="0.2">
      <c r="A571" s="1" t="s">
        <v>3870</v>
      </c>
      <c r="B571" s="1" t="s">
        <v>57</v>
      </c>
      <c r="C571" s="1" t="s">
        <v>3760</v>
      </c>
      <c r="E571" s="1">
        <v>57</v>
      </c>
      <c r="F571" s="1" t="s">
        <v>3871</v>
      </c>
      <c r="H571" s="1" t="s">
        <v>3872</v>
      </c>
      <c r="I571" s="1" t="s">
        <v>7</v>
      </c>
      <c r="J571" s="1" t="s">
        <v>3873</v>
      </c>
      <c r="K571" s="1" t="s">
        <v>3874</v>
      </c>
      <c r="L571" s="1" t="s">
        <v>3875</v>
      </c>
      <c r="Q571" s="1">
        <v>1976</v>
      </c>
      <c r="R571" s="1" t="s">
        <v>3766</v>
      </c>
      <c r="S571" s="1" t="s">
        <v>27</v>
      </c>
      <c r="T571" s="38">
        <v>1</v>
      </c>
      <c r="U571" s="1">
        <v>84.9</v>
      </c>
      <c r="X571" s="1">
        <v>0.83</v>
      </c>
    </row>
    <row r="572" spans="1:24" x14ac:dyDescent="0.2">
      <c r="A572" s="1" t="s">
        <v>3876</v>
      </c>
      <c r="B572" s="1" t="s">
        <v>57</v>
      </c>
      <c r="C572" s="1" t="s">
        <v>3877</v>
      </c>
      <c r="E572" s="1">
        <v>53</v>
      </c>
      <c r="F572" s="1" t="s">
        <v>3878</v>
      </c>
      <c r="H572" s="1" t="s">
        <v>3879</v>
      </c>
      <c r="I572" s="1" t="s">
        <v>7</v>
      </c>
      <c r="J572" s="1" t="s">
        <v>3880</v>
      </c>
      <c r="K572" s="1" t="s">
        <v>3881</v>
      </c>
      <c r="L572" s="1" t="s">
        <v>3880</v>
      </c>
      <c r="Q572" s="1">
        <v>1976</v>
      </c>
      <c r="R572" s="1" t="s">
        <v>3766</v>
      </c>
      <c r="S572" s="1" t="s">
        <v>27</v>
      </c>
      <c r="T572" s="38">
        <v>1</v>
      </c>
      <c r="U572" s="1">
        <v>80.5</v>
      </c>
      <c r="X572" s="1">
        <v>1.26</v>
      </c>
    </row>
    <row r="573" spans="1:24" x14ac:dyDescent="0.2">
      <c r="A573" s="1" t="s">
        <v>3882</v>
      </c>
      <c r="B573" s="1" t="s">
        <v>57</v>
      </c>
      <c r="C573" s="1" t="s">
        <v>3760</v>
      </c>
      <c r="E573" s="1">
        <v>53</v>
      </c>
      <c r="F573" s="1" t="s">
        <v>3883</v>
      </c>
      <c r="H573" s="1" t="s">
        <v>3884</v>
      </c>
      <c r="I573" s="1" t="s">
        <v>7</v>
      </c>
      <c r="J573" s="1" t="s">
        <v>3885</v>
      </c>
      <c r="K573" s="1" t="s">
        <v>3886</v>
      </c>
      <c r="L573" s="1" t="s">
        <v>3885</v>
      </c>
      <c r="Q573" s="1">
        <v>1976</v>
      </c>
      <c r="R573" s="1" t="s">
        <v>3766</v>
      </c>
      <c r="S573" s="1" t="s">
        <v>27</v>
      </c>
      <c r="T573" s="38">
        <v>1</v>
      </c>
      <c r="U573" s="1">
        <v>86.3</v>
      </c>
      <c r="X573" s="1">
        <v>0.5</v>
      </c>
    </row>
    <row r="574" spans="1:24" x14ac:dyDescent="0.2">
      <c r="A574" s="1" t="s">
        <v>3887</v>
      </c>
      <c r="B574" s="1" t="s">
        <v>55</v>
      </c>
      <c r="C574" s="1" t="s">
        <v>3888</v>
      </c>
      <c r="E574" s="1">
        <v>32</v>
      </c>
      <c r="F574" s="1" t="s">
        <v>3889</v>
      </c>
      <c r="H574" s="1" t="s">
        <v>3890</v>
      </c>
      <c r="I574" s="1" t="s">
        <v>7</v>
      </c>
      <c r="J574" s="1" t="s">
        <v>3891</v>
      </c>
      <c r="K574" s="1" t="s">
        <v>3892</v>
      </c>
      <c r="L574" s="1" t="s">
        <v>3891</v>
      </c>
      <c r="Q574" s="1">
        <v>1976</v>
      </c>
      <c r="R574" s="1" t="s">
        <v>3766</v>
      </c>
      <c r="S574" s="1" t="s">
        <v>27</v>
      </c>
      <c r="T574" s="38">
        <v>1</v>
      </c>
      <c r="U574" s="1">
        <v>81.5</v>
      </c>
      <c r="X574" s="1">
        <v>0.98</v>
      </c>
    </row>
    <row r="575" spans="1:24" x14ac:dyDescent="0.2">
      <c r="A575" s="1" t="s">
        <v>3893</v>
      </c>
      <c r="B575" s="1" t="s">
        <v>55</v>
      </c>
      <c r="C575" s="1" t="s">
        <v>3760</v>
      </c>
      <c r="E575" s="1">
        <v>38</v>
      </c>
      <c r="F575" s="1" t="s">
        <v>3894</v>
      </c>
      <c r="H575" s="1" t="s">
        <v>3895</v>
      </c>
      <c r="I575" s="1" t="s">
        <v>7</v>
      </c>
      <c r="J575" s="1" t="s">
        <v>3896</v>
      </c>
      <c r="K575" s="1" t="s">
        <v>3897</v>
      </c>
      <c r="L575" s="1" t="s">
        <v>3896</v>
      </c>
      <c r="Q575" s="1">
        <v>1976</v>
      </c>
      <c r="R575" s="1" t="s">
        <v>3766</v>
      </c>
      <c r="S575" s="1" t="s">
        <v>27</v>
      </c>
      <c r="T575" s="38">
        <v>1</v>
      </c>
      <c r="U575" s="1">
        <v>75.3</v>
      </c>
      <c r="X575" s="1">
        <v>10.7</v>
      </c>
    </row>
    <row r="576" spans="1:24" x14ac:dyDescent="0.2">
      <c r="A576" s="1" t="s">
        <v>3898</v>
      </c>
      <c r="B576" s="1" t="s">
        <v>55</v>
      </c>
      <c r="C576" s="1" t="s">
        <v>3760</v>
      </c>
      <c r="E576" s="1">
        <v>34</v>
      </c>
      <c r="F576" s="1" t="s">
        <v>3899</v>
      </c>
      <c r="H576" s="1" t="s">
        <v>3900</v>
      </c>
      <c r="I576" s="1" t="s">
        <v>7</v>
      </c>
      <c r="J576" s="1" t="s">
        <v>3901</v>
      </c>
      <c r="K576" s="1" t="s">
        <v>3902</v>
      </c>
      <c r="L576" s="1" t="s">
        <v>3901</v>
      </c>
      <c r="Q576" s="1">
        <v>1976</v>
      </c>
      <c r="R576" s="1" t="s">
        <v>3766</v>
      </c>
      <c r="S576" s="1" t="s">
        <v>27</v>
      </c>
      <c r="T576" s="38">
        <v>1</v>
      </c>
      <c r="U576" s="1">
        <v>81</v>
      </c>
      <c r="X576" s="1">
        <v>1.84</v>
      </c>
    </row>
    <row r="577" spans="1:24" x14ac:dyDescent="0.2">
      <c r="A577" s="1" t="s">
        <v>3903</v>
      </c>
      <c r="B577" s="1" t="s">
        <v>55</v>
      </c>
      <c r="C577" s="1" t="s">
        <v>3760</v>
      </c>
      <c r="E577" s="1">
        <v>34</v>
      </c>
      <c r="F577" s="1" t="s">
        <v>3904</v>
      </c>
      <c r="H577" s="1" t="s">
        <v>3905</v>
      </c>
      <c r="I577" s="1" t="s">
        <v>7</v>
      </c>
      <c r="J577" s="1" t="s">
        <v>3906</v>
      </c>
      <c r="K577" s="1" t="s">
        <v>3907</v>
      </c>
      <c r="L577" s="1" t="s">
        <v>3906</v>
      </c>
      <c r="Q577" s="1">
        <v>1976</v>
      </c>
      <c r="R577" s="1" t="s">
        <v>3766</v>
      </c>
      <c r="S577" s="1" t="s">
        <v>27</v>
      </c>
      <c r="T577" s="38">
        <v>1</v>
      </c>
      <c r="U577" s="1">
        <v>77.099999999999994</v>
      </c>
      <c r="X577" s="1">
        <v>2.19</v>
      </c>
    </row>
    <row r="578" spans="1:24" x14ac:dyDescent="0.2">
      <c r="A578" s="1" t="s">
        <v>3908</v>
      </c>
      <c r="B578" s="1" t="s">
        <v>55</v>
      </c>
      <c r="C578" s="1" t="s">
        <v>3760</v>
      </c>
      <c r="E578" s="1">
        <v>34</v>
      </c>
      <c r="F578" s="1" t="s">
        <v>3909</v>
      </c>
      <c r="H578" s="1" t="s">
        <v>3910</v>
      </c>
      <c r="I578" s="1" t="s">
        <v>7</v>
      </c>
      <c r="J578" s="1" t="s">
        <v>3911</v>
      </c>
      <c r="K578" s="1" t="s">
        <v>3912</v>
      </c>
      <c r="L578" s="1" t="s">
        <v>3911</v>
      </c>
      <c r="Q578" s="1">
        <v>1976</v>
      </c>
      <c r="R578" s="1" t="s">
        <v>3766</v>
      </c>
      <c r="S578" s="1" t="s">
        <v>27</v>
      </c>
      <c r="T578" s="38">
        <v>1</v>
      </c>
      <c r="U578" s="1">
        <v>79.599999999999994</v>
      </c>
      <c r="X578" s="1">
        <v>1.27</v>
      </c>
    </row>
    <row r="579" spans="1:24" x14ac:dyDescent="0.2">
      <c r="A579" s="1" t="s">
        <v>3913</v>
      </c>
      <c r="B579" s="1" t="s">
        <v>55</v>
      </c>
      <c r="C579" s="1" t="s">
        <v>3914</v>
      </c>
      <c r="E579" s="1">
        <v>34</v>
      </c>
      <c r="F579" s="1" t="s">
        <v>3915</v>
      </c>
      <c r="H579" s="1" t="s">
        <v>3916</v>
      </c>
      <c r="I579" s="1" t="s">
        <v>7</v>
      </c>
      <c r="J579" s="1" t="s">
        <v>3917</v>
      </c>
      <c r="K579" s="1" t="s">
        <v>3918</v>
      </c>
      <c r="L579" s="1" t="s">
        <v>3917</v>
      </c>
      <c r="Q579" s="1">
        <v>1976</v>
      </c>
      <c r="R579" s="1" t="s">
        <v>3766</v>
      </c>
      <c r="S579" s="1" t="s">
        <v>27</v>
      </c>
      <c r="T579" s="38">
        <v>1</v>
      </c>
      <c r="U579" s="1">
        <v>80</v>
      </c>
      <c r="X579" s="1">
        <v>1.04</v>
      </c>
    </row>
    <row r="580" spans="1:24" x14ac:dyDescent="0.2">
      <c r="A580" s="1" t="s">
        <v>3919</v>
      </c>
      <c r="B580" s="1" t="s">
        <v>55</v>
      </c>
      <c r="C580" s="1" t="s">
        <v>3920</v>
      </c>
      <c r="E580" s="1">
        <v>34</v>
      </c>
      <c r="F580" s="1" t="s">
        <v>3921</v>
      </c>
      <c r="H580" s="1" t="s">
        <v>3922</v>
      </c>
      <c r="I580" s="1" t="s">
        <v>7</v>
      </c>
      <c r="J580" s="1" t="s">
        <v>3923</v>
      </c>
      <c r="K580" s="1" t="s">
        <v>3924</v>
      </c>
      <c r="L580" s="1" t="s">
        <v>3923</v>
      </c>
      <c r="Q580" s="1">
        <v>1976</v>
      </c>
      <c r="R580" s="1" t="s">
        <v>3766</v>
      </c>
      <c r="S580" s="1" t="s">
        <v>27</v>
      </c>
      <c r="T580" s="38">
        <v>1</v>
      </c>
      <c r="U580" s="1">
        <v>76.5</v>
      </c>
      <c r="X580" s="1">
        <v>2.35</v>
      </c>
    </row>
    <row r="581" spans="1:24" x14ac:dyDescent="0.2">
      <c r="A581" s="1" t="s">
        <v>3925</v>
      </c>
      <c r="B581" s="1" t="s">
        <v>55</v>
      </c>
      <c r="C581" s="1" t="s">
        <v>3914</v>
      </c>
      <c r="E581" s="1">
        <v>34</v>
      </c>
      <c r="F581" s="1" t="s">
        <v>3926</v>
      </c>
      <c r="H581" s="1" t="s">
        <v>3927</v>
      </c>
      <c r="I581" s="1" t="s">
        <v>7</v>
      </c>
      <c r="J581" s="1" t="s">
        <v>3928</v>
      </c>
      <c r="K581" s="1" t="s">
        <v>3929</v>
      </c>
      <c r="L581" s="1" t="s">
        <v>3930</v>
      </c>
      <c r="Q581" s="1">
        <v>1976</v>
      </c>
      <c r="R581" s="1" t="s">
        <v>3766</v>
      </c>
      <c r="S581" s="1" t="s">
        <v>27</v>
      </c>
      <c r="T581" s="38">
        <v>1</v>
      </c>
      <c r="U581" s="1">
        <v>78.900000000000006</v>
      </c>
      <c r="X581" s="1">
        <v>1.78</v>
      </c>
    </row>
    <row r="582" spans="1:24" x14ac:dyDescent="0.2">
      <c r="A582" s="1" t="s">
        <v>3931</v>
      </c>
      <c r="B582" s="1" t="s">
        <v>55</v>
      </c>
      <c r="C582" s="1" t="s">
        <v>3790</v>
      </c>
      <c r="E582" s="1">
        <v>34</v>
      </c>
      <c r="F582" s="1" t="s">
        <v>3932</v>
      </c>
      <c r="H582" s="1" t="s">
        <v>3933</v>
      </c>
      <c r="I582" s="1" t="s">
        <v>7</v>
      </c>
      <c r="J582" s="1" t="s">
        <v>3934</v>
      </c>
      <c r="K582" s="1" t="s">
        <v>3935</v>
      </c>
      <c r="L582" s="1" t="s">
        <v>3934</v>
      </c>
      <c r="Q582" s="1">
        <v>1976</v>
      </c>
      <c r="R582" s="1" t="s">
        <v>3766</v>
      </c>
      <c r="S582" s="1" t="s">
        <v>27</v>
      </c>
      <c r="T582" s="38">
        <v>1</v>
      </c>
      <c r="U582" s="1">
        <v>78.5</v>
      </c>
      <c r="X582" s="1">
        <v>0.73</v>
      </c>
    </row>
    <row r="583" spans="1:24" x14ac:dyDescent="0.2">
      <c r="A583" s="1" t="s">
        <v>3936</v>
      </c>
      <c r="B583" s="1" t="s">
        <v>55</v>
      </c>
      <c r="C583" s="1" t="s">
        <v>3790</v>
      </c>
      <c r="E583" s="1">
        <v>34</v>
      </c>
      <c r="F583" s="1" t="s">
        <v>3926</v>
      </c>
      <c r="H583" s="1" t="s">
        <v>3937</v>
      </c>
      <c r="I583" s="1" t="s">
        <v>7</v>
      </c>
      <c r="J583" s="1" t="s">
        <v>3938</v>
      </c>
      <c r="K583" s="1" t="s">
        <v>3929</v>
      </c>
      <c r="L583" s="1" t="s">
        <v>3930</v>
      </c>
      <c r="Q583" s="1">
        <v>1976</v>
      </c>
      <c r="R583" s="1" t="s">
        <v>3766</v>
      </c>
      <c r="S583" s="1" t="s">
        <v>27</v>
      </c>
      <c r="T583" s="38">
        <v>1</v>
      </c>
      <c r="U583" s="1">
        <v>80.7</v>
      </c>
      <c r="X583" s="1">
        <v>1.67</v>
      </c>
    </row>
    <row r="584" spans="1:24" x14ac:dyDescent="0.2">
      <c r="A584" s="1" t="s">
        <v>3939</v>
      </c>
      <c r="B584" s="1" t="s">
        <v>55</v>
      </c>
      <c r="C584" s="1" t="s">
        <v>3836</v>
      </c>
      <c r="E584" s="1">
        <v>34</v>
      </c>
      <c r="F584" s="1" t="s">
        <v>3940</v>
      </c>
      <c r="H584" s="1" t="s">
        <v>3941</v>
      </c>
      <c r="I584" s="1" t="s">
        <v>7</v>
      </c>
      <c r="J584" s="1" t="s">
        <v>3942</v>
      </c>
      <c r="K584" s="1" t="s">
        <v>3943</v>
      </c>
      <c r="L584" s="1" t="s">
        <v>3944</v>
      </c>
      <c r="Q584" s="1">
        <v>1976</v>
      </c>
      <c r="R584" s="1" t="s">
        <v>3766</v>
      </c>
      <c r="S584" s="1" t="s">
        <v>27</v>
      </c>
      <c r="T584" s="38">
        <v>1</v>
      </c>
      <c r="U584" s="1">
        <v>79.599999999999994</v>
      </c>
      <c r="X584" s="1">
        <v>1.39</v>
      </c>
    </row>
    <row r="585" spans="1:24" x14ac:dyDescent="0.2">
      <c r="A585" s="1" t="s">
        <v>3945</v>
      </c>
      <c r="B585" s="1" t="s">
        <v>55</v>
      </c>
      <c r="C585" s="1" t="s">
        <v>3946</v>
      </c>
      <c r="E585" s="1">
        <v>34</v>
      </c>
      <c r="F585" s="1" t="s">
        <v>3947</v>
      </c>
      <c r="H585" s="1" t="s">
        <v>3948</v>
      </c>
      <c r="I585" s="1" t="s">
        <v>7</v>
      </c>
      <c r="J585" s="1" t="s">
        <v>3949</v>
      </c>
      <c r="K585" s="1" t="s">
        <v>3950</v>
      </c>
      <c r="L585" s="1" t="s">
        <v>3949</v>
      </c>
      <c r="Q585" s="1">
        <v>1976</v>
      </c>
      <c r="R585" s="1" t="s">
        <v>3766</v>
      </c>
      <c r="S585" s="1" t="s">
        <v>27</v>
      </c>
      <c r="T585" s="38">
        <v>1</v>
      </c>
      <c r="U585" s="1">
        <v>79.2</v>
      </c>
      <c r="X585" s="1">
        <v>1.43</v>
      </c>
    </row>
    <row r="586" spans="1:24" x14ac:dyDescent="0.2">
      <c r="A586" s="1" t="s">
        <v>3951</v>
      </c>
      <c r="B586" s="1" t="s">
        <v>55</v>
      </c>
      <c r="C586" s="1" t="s">
        <v>3952</v>
      </c>
      <c r="E586" s="1">
        <v>34</v>
      </c>
      <c r="F586" s="1" t="s">
        <v>3953</v>
      </c>
      <c r="H586" s="1" t="s">
        <v>3954</v>
      </c>
      <c r="I586" s="1" t="s">
        <v>7</v>
      </c>
      <c r="J586" s="1" t="s">
        <v>3955</v>
      </c>
      <c r="K586" s="1" t="s">
        <v>3956</v>
      </c>
      <c r="L586" s="1" t="s">
        <v>3955</v>
      </c>
      <c r="Q586" s="1">
        <v>1976</v>
      </c>
      <c r="R586" s="1" t="s">
        <v>3766</v>
      </c>
      <c r="S586" s="1" t="s">
        <v>27</v>
      </c>
      <c r="T586" s="38">
        <v>1</v>
      </c>
      <c r="U586" s="1">
        <v>81.400000000000006</v>
      </c>
      <c r="X586" s="1">
        <v>0.2</v>
      </c>
    </row>
    <row r="587" spans="1:24" x14ac:dyDescent="0.2">
      <c r="A587" s="1" t="s">
        <v>3957</v>
      </c>
      <c r="B587" s="1" t="s">
        <v>55</v>
      </c>
      <c r="C587" s="1" t="s">
        <v>3914</v>
      </c>
      <c r="E587" s="1">
        <v>34</v>
      </c>
      <c r="F587" s="1" t="s">
        <v>3958</v>
      </c>
      <c r="H587" s="1" t="s">
        <v>3959</v>
      </c>
      <c r="I587" s="1" t="s">
        <v>7</v>
      </c>
      <c r="J587" s="1" t="s">
        <v>3960</v>
      </c>
      <c r="K587" s="1" t="s">
        <v>3961</v>
      </c>
      <c r="L587" s="1" t="s">
        <v>3960</v>
      </c>
      <c r="Q587" s="1">
        <v>1976</v>
      </c>
      <c r="R587" s="1" t="s">
        <v>3766</v>
      </c>
      <c r="S587" s="1" t="s">
        <v>27</v>
      </c>
      <c r="T587" s="38">
        <v>1</v>
      </c>
      <c r="U587" s="1">
        <v>79.099999999999994</v>
      </c>
      <c r="X587" s="1">
        <v>0.84</v>
      </c>
    </row>
    <row r="588" spans="1:24" x14ac:dyDescent="0.2">
      <c r="A588" s="1" t="s">
        <v>3962</v>
      </c>
      <c r="B588" s="1" t="s">
        <v>55</v>
      </c>
      <c r="C588" s="1" t="s">
        <v>3790</v>
      </c>
      <c r="E588" s="1">
        <v>34</v>
      </c>
      <c r="F588" s="1" t="s">
        <v>3963</v>
      </c>
      <c r="H588" s="1" t="s">
        <v>3964</v>
      </c>
      <c r="I588" s="1" t="s">
        <v>7</v>
      </c>
      <c r="J588" s="1" t="s">
        <v>3965</v>
      </c>
      <c r="K588" s="1" t="s">
        <v>3966</v>
      </c>
      <c r="L588" s="1" t="s">
        <v>3965</v>
      </c>
      <c r="Q588" s="1">
        <v>1976</v>
      </c>
      <c r="R588" s="1" t="s">
        <v>3766</v>
      </c>
      <c r="S588" s="1" t="s">
        <v>27</v>
      </c>
      <c r="T588" s="38">
        <v>1</v>
      </c>
      <c r="U588" s="1">
        <v>79.3</v>
      </c>
      <c r="X588" s="1">
        <v>1.56</v>
      </c>
    </row>
    <row r="589" spans="1:24" x14ac:dyDescent="0.2">
      <c r="A589" s="1" t="s">
        <v>3967</v>
      </c>
      <c r="B589" s="1" t="s">
        <v>55</v>
      </c>
      <c r="C589" s="1" t="s">
        <v>3760</v>
      </c>
      <c r="E589" s="1">
        <v>34</v>
      </c>
      <c r="F589" s="1" t="s">
        <v>3968</v>
      </c>
      <c r="H589" s="1" t="s">
        <v>3969</v>
      </c>
      <c r="I589" s="1" t="s">
        <v>7</v>
      </c>
      <c r="J589" s="1" t="s">
        <v>3970</v>
      </c>
      <c r="K589" s="1" t="s">
        <v>3971</v>
      </c>
      <c r="L589" s="1" t="s">
        <v>3970</v>
      </c>
      <c r="Q589" s="1">
        <v>1976</v>
      </c>
      <c r="R589" s="1" t="s">
        <v>3766</v>
      </c>
      <c r="S589" s="1" t="s">
        <v>27</v>
      </c>
      <c r="T589" s="38">
        <v>1</v>
      </c>
      <c r="U589" s="1">
        <v>78.7</v>
      </c>
      <c r="X589" s="1">
        <v>1.6</v>
      </c>
    </row>
    <row r="590" spans="1:24" x14ac:dyDescent="0.2">
      <c r="A590" s="1" t="s">
        <v>3972</v>
      </c>
      <c r="B590" s="1" t="s">
        <v>55</v>
      </c>
      <c r="C590" s="1" t="s">
        <v>3836</v>
      </c>
      <c r="E590" s="1">
        <v>34</v>
      </c>
      <c r="F590" s="1" t="s">
        <v>3973</v>
      </c>
      <c r="H590" s="1" t="s">
        <v>3974</v>
      </c>
      <c r="I590" s="1" t="s">
        <v>7</v>
      </c>
      <c r="J590" s="1" t="s">
        <v>3975</v>
      </c>
      <c r="K590" s="1" t="s">
        <v>3976</v>
      </c>
      <c r="L590" s="1" t="s">
        <v>3975</v>
      </c>
      <c r="Q590" s="1">
        <v>1976</v>
      </c>
      <c r="R590" s="1" t="s">
        <v>3766</v>
      </c>
      <c r="S590" s="1" t="s">
        <v>27</v>
      </c>
      <c r="T590" s="38">
        <v>1</v>
      </c>
      <c r="U590" s="1">
        <v>70.7</v>
      </c>
      <c r="X590" s="1">
        <v>15.1</v>
      </c>
    </row>
    <row r="591" spans="1:24" x14ac:dyDescent="0.2">
      <c r="A591" s="1" t="s">
        <v>3977</v>
      </c>
      <c r="B591" s="1" t="s">
        <v>55</v>
      </c>
      <c r="C591" s="1" t="s">
        <v>3978</v>
      </c>
      <c r="E591" s="1">
        <v>23</v>
      </c>
      <c r="F591" s="1" t="s">
        <v>3979</v>
      </c>
      <c r="H591" s="1" t="s">
        <v>3980</v>
      </c>
      <c r="I591" s="1" t="s">
        <v>7</v>
      </c>
      <c r="J591" s="1" t="s">
        <v>3981</v>
      </c>
      <c r="K591" s="1" t="s">
        <v>3982</v>
      </c>
      <c r="L591" s="1" t="s">
        <v>3981</v>
      </c>
      <c r="Q591" s="1">
        <v>1976</v>
      </c>
      <c r="R591" s="1" t="s">
        <v>3766</v>
      </c>
      <c r="S591" s="1" t="s">
        <v>27</v>
      </c>
      <c r="T591" s="38">
        <v>1</v>
      </c>
      <c r="U591" s="1">
        <v>74.099999999999994</v>
      </c>
      <c r="X591" s="1">
        <v>3.86</v>
      </c>
    </row>
    <row r="592" spans="1:24" x14ac:dyDescent="0.2">
      <c r="A592" s="1" t="s">
        <v>3983</v>
      </c>
      <c r="B592" s="1" t="s">
        <v>55</v>
      </c>
      <c r="C592" s="1" t="s">
        <v>3856</v>
      </c>
      <c r="E592" s="1">
        <v>23</v>
      </c>
      <c r="F592" s="1" t="s">
        <v>1710</v>
      </c>
      <c r="H592" s="1" t="s">
        <v>3984</v>
      </c>
      <c r="I592" s="1" t="s">
        <v>7</v>
      </c>
      <c r="J592" s="1" t="s">
        <v>1712</v>
      </c>
      <c r="K592" s="1" t="s">
        <v>3985</v>
      </c>
      <c r="L592" s="1" t="s">
        <v>1712</v>
      </c>
      <c r="Q592" s="1">
        <v>1976</v>
      </c>
      <c r="R592" s="1" t="s">
        <v>3766</v>
      </c>
      <c r="S592" s="1" t="s">
        <v>27</v>
      </c>
      <c r="T592" s="38">
        <v>1</v>
      </c>
      <c r="U592" s="1">
        <v>73.099999999999994</v>
      </c>
      <c r="X592" s="1">
        <v>11.5</v>
      </c>
    </row>
    <row r="593" spans="1:24" x14ac:dyDescent="0.2">
      <c r="A593" s="1" t="s">
        <v>3986</v>
      </c>
      <c r="B593" s="1" t="s">
        <v>55</v>
      </c>
      <c r="C593" s="1" t="s">
        <v>3952</v>
      </c>
      <c r="E593" s="1">
        <v>23</v>
      </c>
      <c r="F593" s="1" t="s">
        <v>3987</v>
      </c>
      <c r="H593" s="1" t="s">
        <v>3988</v>
      </c>
      <c r="I593" s="1" t="s">
        <v>7</v>
      </c>
      <c r="J593" s="1" t="s">
        <v>3989</v>
      </c>
      <c r="K593" s="1" t="s">
        <v>3990</v>
      </c>
      <c r="L593" s="1" t="s">
        <v>3989</v>
      </c>
      <c r="Q593" s="1">
        <v>1976</v>
      </c>
      <c r="R593" s="1" t="s">
        <v>3766</v>
      </c>
      <c r="S593" s="1" t="s">
        <v>27</v>
      </c>
      <c r="T593" s="38">
        <v>1</v>
      </c>
      <c r="U593" s="1">
        <v>75.599999999999994</v>
      </c>
      <c r="X593" s="1">
        <v>4.76</v>
      </c>
    </row>
    <row r="594" spans="1:24" x14ac:dyDescent="0.2">
      <c r="A594" s="1" t="s">
        <v>3991</v>
      </c>
      <c r="B594" s="1" t="s">
        <v>55</v>
      </c>
      <c r="C594" s="1" t="s">
        <v>3992</v>
      </c>
      <c r="E594" s="1">
        <v>23</v>
      </c>
      <c r="F594" s="1" t="s">
        <v>2833</v>
      </c>
      <c r="H594" s="1" t="s">
        <v>3993</v>
      </c>
      <c r="I594" s="1" t="s">
        <v>7</v>
      </c>
      <c r="J594" s="1" t="s">
        <v>2835</v>
      </c>
      <c r="K594" s="1" t="s">
        <v>2836</v>
      </c>
      <c r="L594" s="1" t="s">
        <v>2835</v>
      </c>
      <c r="Q594" s="1">
        <v>1976</v>
      </c>
      <c r="R594" s="1" t="s">
        <v>3766</v>
      </c>
      <c r="S594" s="1" t="s">
        <v>27</v>
      </c>
      <c r="T594" s="38">
        <v>1</v>
      </c>
      <c r="U594" s="1">
        <v>72.599999999999994</v>
      </c>
      <c r="X594" s="1">
        <v>5.31</v>
      </c>
    </row>
    <row r="595" spans="1:24" x14ac:dyDescent="0.2">
      <c r="A595" s="1" t="s">
        <v>3994</v>
      </c>
      <c r="B595" s="1" t="s">
        <v>55</v>
      </c>
      <c r="C595" s="1" t="s">
        <v>3995</v>
      </c>
      <c r="E595" s="1">
        <v>23</v>
      </c>
      <c r="F595" s="1" t="s">
        <v>3996</v>
      </c>
      <c r="H595" s="1" t="s">
        <v>3997</v>
      </c>
      <c r="I595" s="1" t="s">
        <v>7</v>
      </c>
      <c r="J595" s="1" t="s">
        <v>3998</v>
      </c>
      <c r="K595" s="1" t="s">
        <v>3999</v>
      </c>
      <c r="L595" s="1" t="s">
        <v>3998</v>
      </c>
      <c r="Q595" s="1">
        <v>1976</v>
      </c>
      <c r="R595" s="1" t="s">
        <v>3766</v>
      </c>
      <c r="S595" s="1" t="s">
        <v>27</v>
      </c>
      <c r="T595" s="38">
        <v>1</v>
      </c>
      <c r="U595" s="1">
        <v>70</v>
      </c>
      <c r="X595" s="1">
        <v>8.5500000000000007</v>
      </c>
    </row>
    <row r="596" spans="1:24" x14ac:dyDescent="0.2">
      <c r="A596" s="1" t="s">
        <v>4000</v>
      </c>
      <c r="B596" s="1" t="s">
        <v>55</v>
      </c>
      <c r="C596" s="1" t="s">
        <v>3856</v>
      </c>
      <c r="E596" s="1">
        <v>24</v>
      </c>
      <c r="F596" s="1" t="s">
        <v>4001</v>
      </c>
      <c r="H596" s="1" t="s">
        <v>4002</v>
      </c>
      <c r="I596" s="1" t="s">
        <v>7</v>
      </c>
      <c r="J596" s="1" t="s">
        <v>4003</v>
      </c>
      <c r="K596" s="1" t="s">
        <v>4004</v>
      </c>
      <c r="L596" s="1" t="s">
        <v>4003</v>
      </c>
      <c r="Q596" s="1">
        <v>1976</v>
      </c>
      <c r="R596" s="1" t="s">
        <v>3766</v>
      </c>
      <c r="S596" s="1" t="s">
        <v>27</v>
      </c>
      <c r="T596" s="38">
        <v>1</v>
      </c>
      <c r="U596" s="1">
        <v>71.400000000000006</v>
      </c>
      <c r="X596" s="1">
        <v>7.9</v>
      </c>
    </row>
    <row r="597" spans="1:24" x14ac:dyDescent="0.2">
      <c r="A597" s="1" t="s">
        <v>4005</v>
      </c>
      <c r="B597" s="1" t="s">
        <v>1911</v>
      </c>
      <c r="C597" s="1" t="s">
        <v>3952</v>
      </c>
      <c r="E597" s="1">
        <v>45</v>
      </c>
      <c r="F597" s="1" t="s">
        <v>4006</v>
      </c>
      <c r="H597" s="1" t="s">
        <v>4007</v>
      </c>
      <c r="I597" s="1" t="s">
        <v>7</v>
      </c>
      <c r="J597" s="1" t="s">
        <v>4008</v>
      </c>
      <c r="K597" s="1" t="s">
        <v>4009</v>
      </c>
      <c r="L597" s="1" t="s">
        <v>4008</v>
      </c>
      <c r="Q597" s="1">
        <v>1976</v>
      </c>
      <c r="R597" s="1" t="s">
        <v>3766</v>
      </c>
      <c r="S597" s="1" t="s">
        <v>27</v>
      </c>
      <c r="T597" s="38">
        <v>1</v>
      </c>
      <c r="U597" s="1">
        <v>80.099999999999994</v>
      </c>
      <c r="X597" s="1">
        <v>0.95</v>
      </c>
    </row>
    <row r="598" spans="1:24" x14ac:dyDescent="0.2">
      <c r="A598" s="1" t="s">
        <v>4010</v>
      </c>
      <c r="B598" s="1" t="s">
        <v>55</v>
      </c>
      <c r="C598" s="1" t="s">
        <v>1029</v>
      </c>
      <c r="E598" s="1">
        <v>38</v>
      </c>
      <c r="F598" s="1" t="s">
        <v>1876</v>
      </c>
      <c r="H598" s="1" t="s">
        <v>4011</v>
      </c>
      <c r="I598" s="1" t="s">
        <v>7</v>
      </c>
      <c r="J598" s="1" t="s">
        <v>4012</v>
      </c>
      <c r="K598" s="1" t="s">
        <v>1879</v>
      </c>
      <c r="L598" s="1" t="s">
        <v>1880</v>
      </c>
      <c r="Q598" s="1">
        <v>1976</v>
      </c>
      <c r="R598" s="1" t="s">
        <v>3766</v>
      </c>
      <c r="S598" s="1" t="s">
        <v>27</v>
      </c>
      <c r="T598" s="38">
        <v>1</v>
      </c>
      <c r="U598" s="1">
        <v>81.8</v>
      </c>
      <c r="X598" s="1">
        <v>6.05</v>
      </c>
    </row>
    <row r="599" spans="1:24" x14ac:dyDescent="0.2">
      <c r="A599" s="1" t="s">
        <v>4013</v>
      </c>
      <c r="B599" s="1" t="s">
        <v>55</v>
      </c>
      <c r="C599" s="1" t="s">
        <v>3796</v>
      </c>
      <c r="E599" s="1">
        <v>31</v>
      </c>
      <c r="F599" s="1" t="s">
        <v>4014</v>
      </c>
      <c r="H599" s="1" t="s">
        <v>4015</v>
      </c>
      <c r="I599" s="1" t="s">
        <v>7</v>
      </c>
      <c r="J599" s="1" t="s">
        <v>4016</v>
      </c>
      <c r="K599" s="1" t="s">
        <v>4017</v>
      </c>
      <c r="L599" s="1" t="s">
        <v>4016</v>
      </c>
      <c r="Q599" s="1">
        <v>1976</v>
      </c>
      <c r="R599" s="1" t="s">
        <v>3766</v>
      </c>
      <c r="S599" s="1" t="s">
        <v>27</v>
      </c>
      <c r="T599" s="38">
        <v>1</v>
      </c>
      <c r="U599" s="1">
        <v>85.4</v>
      </c>
      <c r="X599" s="1">
        <v>0.95</v>
      </c>
    </row>
    <row r="600" spans="1:24" x14ac:dyDescent="0.2">
      <c r="A600" s="1" t="s">
        <v>4018</v>
      </c>
      <c r="B600" s="1" t="s">
        <v>55</v>
      </c>
      <c r="C600" s="1" t="s">
        <v>4019</v>
      </c>
      <c r="E600" s="1">
        <v>31</v>
      </c>
      <c r="F600" s="1" t="s">
        <v>4020</v>
      </c>
      <c r="H600" s="1" t="s">
        <v>4021</v>
      </c>
      <c r="I600" s="1" t="s">
        <v>7</v>
      </c>
      <c r="J600" s="1" t="s">
        <v>4022</v>
      </c>
      <c r="K600" s="1" t="s">
        <v>4023</v>
      </c>
      <c r="L600" s="1" t="s">
        <v>4024</v>
      </c>
      <c r="Q600" s="1">
        <v>1976</v>
      </c>
      <c r="R600" s="1" t="s">
        <v>3766</v>
      </c>
      <c r="S600" s="1" t="s">
        <v>27</v>
      </c>
      <c r="T600" s="38">
        <v>1</v>
      </c>
      <c r="U600" s="1">
        <v>81.400000000000006</v>
      </c>
      <c r="X600" s="1">
        <v>1.36</v>
      </c>
    </row>
    <row r="601" spans="1:24" x14ac:dyDescent="0.2">
      <c r="A601" s="1" t="s">
        <v>4025</v>
      </c>
      <c r="B601" s="1" t="s">
        <v>55</v>
      </c>
      <c r="C601" s="1" t="s">
        <v>4019</v>
      </c>
      <c r="E601" s="1">
        <v>31</v>
      </c>
      <c r="F601" s="1" t="s">
        <v>4026</v>
      </c>
      <c r="H601" s="1" t="s">
        <v>4027</v>
      </c>
      <c r="I601" s="1" t="s">
        <v>7</v>
      </c>
      <c r="J601" s="1" t="s">
        <v>4028</v>
      </c>
      <c r="K601" s="1" t="s">
        <v>4029</v>
      </c>
      <c r="L601" s="1" t="s">
        <v>4028</v>
      </c>
      <c r="Q601" s="1">
        <v>1976</v>
      </c>
      <c r="R601" s="1" t="s">
        <v>3766</v>
      </c>
      <c r="S601" s="1" t="s">
        <v>27</v>
      </c>
      <c r="T601" s="38">
        <v>1</v>
      </c>
      <c r="U601" s="1">
        <v>81</v>
      </c>
      <c r="X601" s="1">
        <v>1.1000000000000001</v>
      </c>
    </row>
    <row r="602" spans="1:24" x14ac:dyDescent="0.2">
      <c r="A602" s="1" t="s">
        <v>4030</v>
      </c>
      <c r="B602" s="1" t="s">
        <v>55</v>
      </c>
      <c r="C602" s="1" t="s">
        <v>4031</v>
      </c>
      <c r="E602" s="1">
        <v>31</v>
      </c>
      <c r="F602" s="1" t="s">
        <v>4032</v>
      </c>
      <c r="H602" s="1" t="s">
        <v>4033</v>
      </c>
      <c r="I602" s="1" t="s">
        <v>7</v>
      </c>
      <c r="J602" s="1" t="s">
        <v>4034</v>
      </c>
      <c r="K602" s="1" t="s">
        <v>4035</v>
      </c>
      <c r="L602" s="1" t="s">
        <v>4034</v>
      </c>
      <c r="Q602" s="1">
        <v>1976</v>
      </c>
      <c r="R602" s="1" t="s">
        <v>3766</v>
      </c>
      <c r="S602" s="1" t="s">
        <v>27</v>
      </c>
      <c r="T602" s="38">
        <v>1</v>
      </c>
      <c r="U602" s="1">
        <v>80</v>
      </c>
      <c r="X602" s="1">
        <v>0.8</v>
      </c>
    </row>
    <row r="603" spans="1:24" x14ac:dyDescent="0.2">
      <c r="A603" s="1" t="s">
        <v>4036</v>
      </c>
      <c r="B603" s="1" t="s">
        <v>55</v>
      </c>
      <c r="C603" s="1" t="s">
        <v>3790</v>
      </c>
      <c r="E603" s="1">
        <v>31</v>
      </c>
      <c r="F603" s="1" t="s">
        <v>4037</v>
      </c>
      <c r="H603" s="1" t="s">
        <v>4038</v>
      </c>
      <c r="I603" s="1" t="s">
        <v>7</v>
      </c>
      <c r="J603" s="1" t="s">
        <v>4039</v>
      </c>
      <c r="K603" s="1" t="s">
        <v>4040</v>
      </c>
      <c r="L603" s="1" t="s">
        <v>4041</v>
      </c>
      <c r="Q603" s="1">
        <v>1976</v>
      </c>
      <c r="R603" s="1" t="s">
        <v>3766</v>
      </c>
      <c r="S603" s="1" t="s">
        <v>27</v>
      </c>
      <c r="T603" s="38">
        <v>1</v>
      </c>
      <c r="U603" s="1">
        <v>82.3</v>
      </c>
      <c r="X603" s="1">
        <v>0.71</v>
      </c>
    </row>
    <row r="604" spans="1:24" x14ac:dyDescent="0.2">
      <c r="A604" s="1" t="s">
        <v>4042</v>
      </c>
      <c r="B604" s="1" t="s">
        <v>55</v>
      </c>
      <c r="C604" s="1" t="s">
        <v>4043</v>
      </c>
      <c r="E604" s="1">
        <v>31</v>
      </c>
      <c r="F604" s="1" t="s">
        <v>4044</v>
      </c>
      <c r="H604" s="1" t="s">
        <v>4045</v>
      </c>
      <c r="I604" s="1" t="s">
        <v>7</v>
      </c>
      <c r="J604" s="1" t="s">
        <v>4046</v>
      </c>
      <c r="K604" s="1" t="s">
        <v>4047</v>
      </c>
      <c r="L604" s="1" t="s">
        <v>4046</v>
      </c>
      <c r="Q604" s="1">
        <v>1976</v>
      </c>
      <c r="R604" s="1" t="s">
        <v>3766</v>
      </c>
      <c r="S604" s="1" t="s">
        <v>27</v>
      </c>
      <c r="T604" s="38">
        <v>1</v>
      </c>
      <c r="U604" s="1">
        <v>80.7</v>
      </c>
      <c r="X604" s="1">
        <v>0.77</v>
      </c>
    </row>
    <row r="605" spans="1:24" x14ac:dyDescent="0.2">
      <c r="A605" s="1" t="s">
        <v>4048</v>
      </c>
      <c r="B605" s="1" t="s">
        <v>55</v>
      </c>
      <c r="C605" s="1" t="s">
        <v>3978</v>
      </c>
      <c r="E605" s="1">
        <v>31</v>
      </c>
      <c r="F605" s="1" t="s">
        <v>4049</v>
      </c>
      <c r="H605" s="1" t="s">
        <v>4050</v>
      </c>
      <c r="I605" s="1" t="s">
        <v>7</v>
      </c>
      <c r="J605" s="1" t="s">
        <v>4051</v>
      </c>
      <c r="K605" s="1" t="s">
        <v>4052</v>
      </c>
      <c r="L605" s="1" t="s">
        <v>4051</v>
      </c>
      <c r="Q605" s="1">
        <v>1976</v>
      </c>
      <c r="R605" s="1" t="s">
        <v>3766</v>
      </c>
      <c r="S605" s="1" t="s">
        <v>27</v>
      </c>
      <c r="T605" s="38">
        <v>1</v>
      </c>
      <c r="U605" s="1">
        <v>83.4</v>
      </c>
      <c r="X605" s="1">
        <v>0.44</v>
      </c>
    </row>
    <row r="606" spans="1:24" x14ac:dyDescent="0.2">
      <c r="A606" s="1" t="s">
        <v>4053</v>
      </c>
      <c r="B606" s="1" t="s">
        <v>55</v>
      </c>
      <c r="C606" s="1" t="s">
        <v>4054</v>
      </c>
      <c r="E606" s="1">
        <v>31</v>
      </c>
      <c r="F606" s="1" t="s">
        <v>4055</v>
      </c>
      <c r="H606" s="1" t="s">
        <v>4056</v>
      </c>
      <c r="I606" s="1" t="s">
        <v>7</v>
      </c>
      <c r="J606" s="1" t="s">
        <v>4057</v>
      </c>
      <c r="K606" s="1" t="s">
        <v>4058</v>
      </c>
      <c r="L606" s="1" t="s">
        <v>4057</v>
      </c>
      <c r="Q606" s="1">
        <v>1976</v>
      </c>
      <c r="R606" s="1" t="s">
        <v>3766</v>
      </c>
      <c r="S606" s="1" t="s">
        <v>27</v>
      </c>
      <c r="T606" s="38">
        <v>1</v>
      </c>
      <c r="U606" s="1">
        <v>82.66</v>
      </c>
      <c r="X606" s="1">
        <v>1.25</v>
      </c>
    </row>
    <row r="607" spans="1:24" x14ac:dyDescent="0.2">
      <c r="A607" s="1" t="s">
        <v>4059</v>
      </c>
      <c r="B607" s="1" t="s">
        <v>57</v>
      </c>
      <c r="C607" s="1" t="s">
        <v>3760</v>
      </c>
      <c r="E607" s="1">
        <v>76</v>
      </c>
      <c r="F607" s="1" t="s">
        <v>4060</v>
      </c>
      <c r="H607" s="1" t="s">
        <v>4061</v>
      </c>
      <c r="I607" s="1" t="s">
        <v>7</v>
      </c>
      <c r="J607" s="1" t="s">
        <v>4062</v>
      </c>
      <c r="K607" s="1" t="s">
        <v>4063</v>
      </c>
      <c r="L607" s="1" t="s">
        <v>4064</v>
      </c>
      <c r="Q607" s="1">
        <v>1976</v>
      </c>
      <c r="R607" s="1" t="s">
        <v>3766</v>
      </c>
      <c r="S607" s="1" t="s">
        <v>27</v>
      </c>
      <c r="T607" s="38">
        <v>1</v>
      </c>
      <c r="U607" s="1">
        <v>70.599999999999994</v>
      </c>
      <c r="X607" s="1">
        <v>1.2</v>
      </c>
    </row>
    <row r="608" spans="1:24" x14ac:dyDescent="0.2">
      <c r="A608" s="1" t="s">
        <v>4065</v>
      </c>
      <c r="B608" s="1" t="s">
        <v>57</v>
      </c>
      <c r="C608" s="1" t="s">
        <v>3760</v>
      </c>
      <c r="E608" s="1">
        <v>76</v>
      </c>
      <c r="F608" s="1" t="s">
        <v>4060</v>
      </c>
      <c r="H608" s="1" t="s">
        <v>4066</v>
      </c>
      <c r="I608" s="1" t="s">
        <v>7</v>
      </c>
      <c r="J608" s="1" t="s">
        <v>4067</v>
      </c>
      <c r="K608" s="1" t="s">
        <v>4063</v>
      </c>
      <c r="L608" s="1" t="s">
        <v>4064</v>
      </c>
      <c r="Q608" s="1">
        <v>1976</v>
      </c>
      <c r="R608" s="1" t="s">
        <v>3766</v>
      </c>
      <c r="S608" s="1" t="s">
        <v>27</v>
      </c>
      <c r="T608" s="38">
        <v>1</v>
      </c>
      <c r="U608" s="1">
        <v>71.400000000000006</v>
      </c>
      <c r="X608" s="1">
        <v>1.5</v>
      </c>
    </row>
    <row r="609" spans="1:24" x14ac:dyDescent="0.2">
      <c r="A609" s="1" t="s">
        <v>4068</v>
      </c>
      <c r="B609" s="1" t="s">
        <v>57</v>
      </c>
      <c r="C609" s="1" t="s">
        <v>3760</v>
      </c>
      <c r="E609" s="1">
        <v>76</v>
      </c>
      <c r="F609" s="1" t="s">
        <v>4060</v>
      </c>
      <c r="H609" s="1" t="s">
        <v>4069</v>
      </c>
      <c r="I609" s="1" t="s">
        <v>7</v>
      </c>
      <c r="J609" s="1" t="s">
        <v>4070</v>
      </c>
      <c r="K609" s="1" t="s">
        <v>4063</v>
      </c>
      <c r="L609" s="1" t="s">
        <v>4064</v>
      </c>
      <c r="Q609" s="1">
        <v>1976</v>
      </c>
      <c r="R609" s="1" t="s">
        <v>3766</v>
      </c>
      <c r="S609" s="1" t="s">
        <v>27</v>
      </c>
      <c r="T609" s="38">
        <v>1</v>
      </c>
      <c r="U609" s="1">
        <v>87.6</v>
      </c>
      <c r="X609" s="1">
        <v>0.7</v>
      </c>
    </row>
    <row r="610" spans="1:24" x14ac:dyDescent="0.2">
      <c r="A610" s="1" t="s">
        <v>4071</v>
      </c>
      <c r="B610" s="1" t="s">
        <v>55</v>
      </c>
      <c r="C610" s="1" t="s">
        <v>4072</v>
      </c>
      <c r="E610" s="1">
        <v>23</v>
      </c>
      <c r="F610" s="1" t="s">
        <v>4073</v>
      </c>
      <c r="H610" s="1" t="s">
        <v>4074</v>
      </c>
      <c r="I610" s="1" t="s">
        <v>7</v>
      </c>
      <c r="J610" s="1" t="s">
        <v>4075</v>
      </c>
      <c r="K610" s="1" t="s">
        <v>4076</v>
      </c>
      <c r="L610" s="1" t="s">
        <v>4075</v>
      </c>
      <c r="Q610" s="1">
        <v>1976</v>
      </c>
      <c r="R610" s="1" t="s">
        <v>3766</v>
      </c>
      <c r="S610" s="1" t="s">
        <v>27</v>
      </c>
      <c r="T610" s="38">
        <v>1</v>
      </c>
      <c r="U610" s="1">
        <v>78.2</v>
      </c>
      <c r="X610" s="1">
        <v>1.8</v>
      </c>
    </row>
    <row r="611" spans="1:24" x14ac:dyDescent="0.2">
      <c r="A611" s="1" t="s">
        <v>4077</v>
      </c>
      <c r="B611" s="1" t="s">
        <v>55</v>
      </c>
      <c r="C611" s="1" t="s">
        <v>4078</v>
      </c>
      <c r="E611" s="1">
        <v>23</v>
      </c>
      <c r="F611" s="1" t="s">
        <v>4079</v>
      </c>
      <c r="H611" s="1" t="s">
        <v>4080</v>
      </c>
      <c r="I611" s="1" t="s">
        <v>7</v>
      </c>
      <c r="J611" s="1" t="s">
        <v>4081</v>
      </c>
      <c r="K611" s="1" t="s">
        <v>4082</v>
      </c>
      <c r="L611" s="1" t="s">
        <v>4081</v>
      </c>
      <c r="Q611" s="1">
        <v>1976</v>
      </c>
      <c r="R611" s="1" t="s">
        <v>3766</v>
      </c>
      <c r="S611" s="1" t="s">
        <v>27</v>
      </c>
      <c r="T611" s="38">
        <v>1</v>
      </c>
      <c r="U611" s="1">
        <v>74.099999999999994</v>
      </c>
      <c r="X611" s="1">
        <v>5.4</v>
      </c>
    </row>
    <row r="612" spans="1:24" x14ac:dyDescent="0.2">
      <c r="A612" s="1" t="s">
        <v>4083</v>
      </c>
      <c r="B612" s="1" t="s">
        <v>55</v>
      </c>
      <c r="C612" s="1" t="s">
        <v>3760</v>
      </c>
      <c r="E612" s="1">
        <v>23</v>
      </c>
      <c r="F612" s="1" t="s">
        <v>1471</v>
      </c>
      <c r="H612" s="1" t="s">
        <v>4084</v>
      </c>
      <c r="I612" s="1" t="s">
        <v>7</v>
      </c>
      <c r="J612" s="1" t="s">
        <v>2844</v>
      </c>
      <c r="K612" s="1" t="s">
        <v>1474</v>
      </c>
      <c r="L612" s="1" t="s">
        <v>1473</v>
      </c>
      <c r="Q612" s="1">
        <v>1976</v>
      </c>
      <c r="R612" s="1" t="s">
        <v>3766</v>
      </c>
      <c r="S612" s="1" t="s">
        <v>27</v>
      </c>
      <c r="T612" s="38">
        <v>1</v>
      </c>
      <c r="U612" s="1">
        <v>68.900000000000006</v>
      </c>
      <c r="X612" s="1">
        <v>9.02</v>
      </c>
    </row>
    <row r="613" spans="1:24" x14ac:dyDescent="0.2">
      <c r="A613" s="1" t="s">
        <v>4085</v>
      </c>
      <c r="B613" s="1" t="s">
        <v>55</v>
      </c>
      <c r="C613" s="1" t="s">
        <v>3790</v>
      </c>
      <c r="E613" s="1">
        <v>36</v>
      </c>
      <c r="F613" s="1" t="s">
        <v>3093</v>
      </c>
      <c r="H613" s="1" t="s">
        <v>4086</v>
      </c>
      <c r="I613" s="1" t="s">
        <v>7</v>
      </c>
      <c r="J613" s="1" t="s">
        <v>3096</v>
      </c>
      <c r="K613" s="1" t="s">
        <v>3097</v>
      </c>
      <c r="L613" s="1" t="s">
        <v>3096</v>
      </c>
      <c r="Q613" s="1">
        <v>1976</v>
      </c>
      <c r="R613" s="1" t="s">
        <v>3766</v>
      </c>
      <c r="S613" s="1" t="s">
        <v>27</v>
      </c>
      <c r="T613" s="38">
        <v>1</v>
      </c>
      <c r="U613" s="1">
        <v>64.900000000000006</v>
      </c>
      <c r="X613" s="1">
        <v>10.3</v>
      </c>
    </row>
    <row r="614" spans="1:24" x14ac:dyDescent="0.2">
      <c r="A614" s="1" t="s">
        <v>4087</v>
      </c>
      <c r="B614" s="1" t="s">
        <v>55</v>
      </c>
      <c r="C614" s="1" t="s">
        <v>3790</v>
      </c>
      <c r="E614" s="1">
        <v>36</v>
      </c>
      <c r="F614" s="1" t="s">
        <v>3093</v>
      </c>
      <c r="H614" s="1" t="s">
        <v>4088</v>
      </c>
      <c r="I614" s="1" t="s">
        <v>7</v>
      </c>
      <c r="J614" s="1" t="s">
        <v>3096</v>
      </c>
      <c r="K614" s="1" t="s">
        <v>3097</v>
      </c>
      <c r="L614" s="1" t="s">
        <v>3096</v>
      </c>
      <c r="Q614" s="1">
        <v>1976</v>
      </c>
      <c r="R614" s="1" t="s">
        <v>3766</v>
      </c>
      <c r="S614" s="1" t="s">
        <v>27</v>
      </c>
      <c r="T614" s="38">
        <v>1</v>
      </c>
      <c r="U614" s="1">
        <v>68.599999999999994</v>
      </c>
      <c r="X614" s="1">
        <v>8.25</v>
      </c>
    </row>
    <row r="615" spans="1:24" x14ac:dyDescent="0.2">
      <c r="A615" s="1" t="s">
        <v>4089</v>
      </c>
      <c r="B615" s="1" t="s">
        <v>55</v>
      </c>
      <c r="C615" s="1" t="s">
        <v>4090</v>
      </c>
      <c r="E615" s="1">
        <v>33</v>
      </c>
      <c r="F615" s="1" t="s">
        <v>4091</v>
      </c>
      <c r="G615" s="1" t="s">
        <v>4092</v>
      </c>
      <c r="H615" s="1" t="s">
        <v>4093</v>
      </c>
      <c r="I615" s="1" t="s">
        <v>7</v>
      </c>
      <c r="J615" s="1" t="s">
        <v>4094</v>
      </c>
      <c r="K615" s="1" t="s">
        <v>4095</v>
      </c>
      <c r="L615" s="1" t="s">
        <v>4094</v>
      </c>
      <c r="M615" s="1" t="s">
        <v>4096</v>
      </c>
      <c r="P615" s="1" t="s">
        <v>4097</v>
      </c>
      <c r="Q615" s="1">
        <v>2008</v>
      </c>
      <c r="R615" s="1" t="s">
        <v>4098</v>
      </c>
      <c r="S615" s="1" t="s">
        <v>27</v>
      </c>
      <c r="T615" s="38">
        <v>1</v>
      </c>
      <c r="U615" s="1">
        <v>80.7</v>
      </c>
      <c r="V615" s="1">
        <v>1</v>
      </c>
    </row>
    <row r="616" spans="1:24" x14ac:dyDescent="0.2">
      <c r="A616" s="1" t="s">
        <v>4099</v>
      </c>
      <c r="B616" s="1" t="s">
        <v>55</v>
      </c>
      <c r="C616" s="1" t="s">
        <v>4090</v>
      </c>
      <c r="E616" s="1">
        <v>12</v>
      </c>
      <c r="F616" s="1" t="s">
        <v>1373</v>
      </c>
      <c r="G616" s="1" t="s">
        <v>4100</v>
      </c>
      <c r="H616" s="1" t="s">
        <v>4101</v>
      </c>
      <c r="I616" s="1" t="s">
        <v>7</v>
      </c>
      <c r="J616" s="1" t="s">
        <v>1375</v>
      </c>
      <c r="K616" s="1" t="s">
        <v>1376</v>
      </c>
      <c r="L616" s="1" t="s">
        <v>1375</v>
      </c>
      <c r="M616" s="1" t="s">
        <v>4096</v>
      </c>
      <c r="P616" s="1" t="s">
        <v>4097</v>
      </c>
      <c r="Q616" s="1">
        <v>2008</v>
      </c>
      <c r="R616" s="1" t="s">
        <v>4098</v>
      </c>
      <c r="S616" s="1" t="s">
        <v>27</v>
      </c>
      <c r="T616" s="38">
        <v>1</v>
      </c>
      <c r="U616" s="1">
        <v>80.2</v>
      </c>
      <c r="V616" s="1">
        <v>1.2</v>
      </c>
    </row>
    <row r="617" spans="1:24" x14ac:dyDescent="0.2">
      <c r="A617" s="1" t="s">
        <v>4102</v>
      </c>
      <c r="B617" s="1" t="s">
        <v>55</v>
      </c>
      <c r="C617" s="1" t="s">
        <v>4090</v>
      </c>
      <c r="E617" s="1">
        <v>13</v>
      </c>
      <c r="F617" s="1" t="s">
        <v>4103</v>
      </c>
      <c r="G617" s="1" t="s">
        <v>4104</v>
      </c>
      <c r="H617" s="1" t="s">
        <v>4105</v>
      </c>
      <c r="I617" s="1" t="s">
        <v>7</v>
      </c>
      <c r="J617" s="1" t="s">
        <v>4106</v>
      </c>
      <c r="K617" s="1" t="s">
        <v>4107</v>
      </c>
      <c r="L617" s="1" t="s">
        <v>4108</v>
      </c>
      <c r="M617" s="1" t="s">
        <v>4096</v>
      </c>
      <c r="P617" s="1" t="s">
        <v>4097</v>
      </c>
      <c r="Q617" s="1">
        <v>2008</v>
      </c>
      <c r="R617" s="1" t="s">
        <v>4098</v>
      </c>
      <c r="S617" s="1" t="s">
        <v>27</v>
      </c>
      <c r="T617" s="38">
        <v>1</v>
      </c>
      <c r="U617" s="1">
        <v>76.400000000000006</v>
      </c>
      <c r="V617" s="1">
        <v>3.2</v>
      </c>
    </row>
    <row r="618" spans="1:24" x14ac:dyDescent="0.2">
      <c r="A618" s="1" t="s">
        <v>4109</v>
      </c>
      <c r="B618" s="1" t="s">
        <v>55</v>
      </c>
      <c r="C618" s="1" t="s">
        <v>4090</v>
      </c>
      <c r="E618" s="1">
        <v>13</v>
      </c>
      <c r="F618" s="1" t="s">
        <v>4110</v>
      </c>
      <c r="G618" s="1" t="s">
        <v>4111</v>
      </c>
      <c r="H618" s="1" t="s">
        <v>4112</v>
      </c>
      <c r="I618" s="1" t="s">
        <v>7</v>
      </c>
      <c r="J618" s="1" t="s">
        <v>4113</v>
      </c>
      <c r="L618" s="1" t="s">
        <v>4113</v>
      </c>
      <c r="M618" s="1" t="s">
        <v>4096</v>
      </c>
      <c r="P618" s="1" t="s">
        <v>4097</v>
      </c>
      <c r="Q618" s="1">
        <v>2008</v>
      </c>
      <c r="R618" s="1" t="s">
        <v>4098</v>
      </c>
      <c r="S618" s="1" t="s">
        <v>27</v>
      </c>
      <c r="T618" s="38">
        <v>1</v>
      </c>
      <c r="U618" s="1">
        <v>77.2</v>
      </c>
      <c r="V618" s="1">
        <v>4.5999999999999996</v>
      </c>
    </row>
    <row r="619" spans="1:24" x14ac:dyDescent="0.2">
      <c r="A619" s="1" t="s">
        <v>4114</v>
      </c>
      <c r="B619" s="1" t="s">
        <v>1911</v>
      </c>
      <c r="C619" s="1" t="s">
        <v>4115</v>
      </c>
      <c r="E619" s="1">
        <v>43</v>
      </c>
      <c r="F619" s="1" t="s">
        <v>4116</v>
      </c>
      <c r="H619" s="1" t="s">
        <v>4117</v>
      </c>
      <c r="I619" s="1" t="s">
        <v>7</v>
      </c>
      <c r="J619" s="1" t="s">
        <v>4118</v>
      </c>
      <c r="K619" s="1" t="s">
        <v>4119</v>
      </c>
      <c r="L619" s="1" t="s">
        <v>4118</v>
      </c>
      <c r="N619" s="1" t="s">
        <v>4120</v>
      </c>
      <c r="Q619" s="1">
        <v>2008</v>
      </c>
      <c r="R619" s="1" t="s">
        <v>4121</v>
      </c>
      <c r="S619" s="1" t="s">
        <v>27</v>
      </c>
      <c r="T619" s="38">
        <v>1</v>
      </c>
    </row>
    <row r="620" spans="1:24" x14ac:dyDescent="0.2">
      <c r="A620" s="1" t="s">
        <v>4122</v>
      </c>
      <c r="B620" s="1" t="s">
        <v>1911</v>
      </c>
      <c r="C620" s="1" t="s">
        <v>4115</v>
      </c>
      <c r="E620" s="1">
        <v>43</v>
      </c>
      <c r="F620" s="1" t="s">
        <v>4116</v>
      </c>
      <c r="H620" s="1" t="s">
        <v>4123</v>
      </c>
      <c r="I620" s="1" t="s">
        <v>7</v>
      </c>
      <c r="J620" s="1" t="s">
        <v>4118</v>
      </c>
      <c r="K620" s="1" t="s">
        <v>4119</v>
      </c>
      <c r="L620" s="1" t="s">
        <v>4118</v>
      </c>
      <c r="N620" s="1" t="s">
        <v>4120</v>
      </c>
      <c r="Q620" s="1">
        <v>2008</v>
      </c>
      <c r="R620" s="1" t="s">
        <v>4121</v>
      </c>
      <c r="S620" s="1" t="s">
        <v>27</v>
      </c>
      <c r="T620" s="38">
        <v>1</v>
      </c>
    </row>
    <row r="621" spans="1:24" x14ac:dyDescent="0.2">
      <c r="A621" s="1" t="s">
        <v>4124</v>
      </c>
      <c r="B621" s="1" t="s">
        <v>1911</v>
      </c>
      <c r="C621" s="1" t="s">
        <v>4115</v>
      </c>
      <c r="E621" s="1">
        <v>43</v>
      </c>
      <c r="F621" s="1" t="s">
        <v>4116</v>
      </c>
      <c r="H621" s="1" t="s">
        <v>4125</v>
      </c>
      <c r="I621" s="1" t="s">
        <v>7</v>
      </c>
      <c r="J621" s="1" t="s">
        <v>4118</v>
      </c>
      <c r="K621" s="1" t="s">
        <v>4119</v>
      </c>
      <c r="L621" s="1" t="s">
        <v>4118</v>
      </c>
      <c r="N621" s="1" t="s">
        <v>4120</v>
      </c>
      <c r="Q621" s="1">
        <v>2008</v>
      </c>
      <c r="R621" s="1" t="s">
        <v>4121</v>
      </c>
      <c r="S621" s="1" t="s">
        <v>27</v>
      </c>
      <c r="T621" s="38">
        <v>1</v>
      </c>
    </row>
    <row r="622" spans="1:24" x14ac:dyDescent="0.2">
      <c r="A622" s="1" t="s">
        <v>4126</v>
      </c>
      <c r="B622" s="1" t="s">
        <v>1911</v>
      </c>
      <c r="C622" s="1" t="s">
        <v>2594</v>
      </c>
      <c r="E622" s="1">
        <v>43</v>
      </c>
      <c r="F622" s="1" t="s">
        <v>1912</v>
      </c>
      <c r="H622" s="1" t="s">
        <v>4127</v>
      </c>
      <c r="I622" s="1" t="s">
        <v>7</v>
      </c>
      <c r="J622" s="1" t="s">
        <v>1914</v>
      </c>
      <c r="K622" s="1" t="s">
        <v>1915</v>
      </c>
      <c r="L622" s="1" t="s">
        <v>1914</v>
      </c>
      <c r="N622" s="1" t="s">
        <v>4128</v>
      </c>
      <c r="Q622" s="1">
        <v>2008</v>
      </c>
      <c r="R622" s="1" t="s">
        <v>4121</v>
      </c>
      <c r="S622" s="1" t="s">
        <v>27</v>
      </c>
      <c r="T622" s="38">
        <v>1</v>
      </c>
    </row>
    <row r="623" spans="1:24" x14ac:dyDescent="0.2">
      <c r="A623" s="1" t="s">
        <v>4129</v>
      </c>
      <c r="B623" s="1" t="s">
        <v>1911</v>
      </c>
      <c r="C623" s="1" t="s">
        <v>2594</v>
      </c>
      <c r="E623" s="1">
        <v>43</v>
      </c>
      <c r="F623" s="1" t="s">
        <v>1912</v>
      </c>
      <c r="H623" s="1" t="s">
        <v>4130</v>
      </c>
      <c r="I623" s="1" t="s">
        <v>7</v>
      </c>
      <c r="J623" s="1" t="s">
        <v>1914</v>
      </c>
      <c r="K623" s="1" t="s">
        <v>1915</v>
      </c>
      <c r="L623" s="1" t="s">
        <v>1914</v>
      </c>
      <c r="N623" s="1" t="s">
        <v>4128</v>
      </c>
      <c r="Q623" s="1">
        <v>2008</v>
      </c>
      <c r="R623" s="1" t="s">
        <v>4121</v>
      </c>
      <c r="S623" s="1" t="s">
        <v>27</v>
      </c>
      <c r="T623" s="38">
        <v>1</v>
      </c>
    </row>
    <row r="624" spans="1:24" x14ac:dyDescent="0.2">
      <c r="A624" s="1" t="s">
        <v>4131</v>
      </c>
      <c r="B624" s="1" t="s">
        <v>1911</v>
      </c>
      <c r="C624" s="1" t="s">
        <v>2594</v>
      </c>
      <c r="E624" s="1">
        <v>43</v>
      </c>
      <c r="F624" s="1" t="s">
        <v>1912</v>
      </c>
      <c r="H624" s="1" t="s">
        <v>4132</v>
      </c>
      <c r="I624" s="1" t="s">
        <v>7</v>
      </c>
      <c r="J624" s="1" t="s">
        <v>1914</v>
      </c>
      <c r="K624" s="1" t="s">
        <v>1915</v>
      </c>
      <c r="L624" s="1" t="s">
        <v>1914</v>
      </c>
      <c r="N624" s="1" t="s">
        <v>4128</v>
      </c>
      <c r="Q624" s="1">
        <v>2008</v>
      </c>
      <c r="R624" s="1" t="s">
        <v>4121</v>
      </c>
      <c r="S624" s="1" t="s">
        <v>27</v>
      </c>
      <c r="T624" s="38">
        <v>1</v>
      </c>
    </row>
    <row r="625" spans="1:169" x14ac:dyDescent="0.2">
      <c r="A625" s="1" t="s">
        <v>4133</v>
      </c>
      <c r="B625" s="1" t="s">
        <v>1911</v>
      </c>
      <c r="C625" s="1" t="s">
        <v>2594</v>
      </c>
      <c r="E625" s="1">
        <v>43</v>
      </c>
      <c r="F625" s="1" t="s">
        <v>1912</v>
      </c>
      <c r="H625" s="1" t="s">
        <v>4134</v>
      </c>
      <c r="I625" s="1" t="s">
        <v>7</v>
      </c>
      <c r="J625" s="1" t="s">
        <v>1914</v>
      </c>
      <c r="K625" s="1" t="s">
        <v>1915</v>
      </c>
      <c r="L625" s="1" t="s">
        <v>1914</v>
      </c>
      <c r="N625" s="1" t="s">
        <v>4128</v>
      </c>
      <c r="Q625" s="1">
        <v>2008</v>
      </c>
      <c r="R625" s="1" t="s">
        <v>4121</v>
      </c>
      <c r="S625" s="1" t="s">
        <v>27</v>
      </c>
      <c r="T625" s="38">
        <v>1</v>
      </c>
    </row>
    <row r="626" spans="1:169" x14ac:dyDescent="0.2">
      <c r="A626" s="1" t="s">
        <v>4135</v>
      </c>
      <c r="B626" s="1" t="s">
        <v>1911</v>
      </c>
      <c r="C626" s="1" t="s">
        <v>4136</v>
      </c>
      <c r="D626" s="1" t="s">
        <v>2</v>
      </c>
      <c r="E626" s="1">
        <v>41</v>
      </c>
      <c r="F626" s="1" t="s">
        <v>4137</v>
      </c>
      <c r="H626" s="1" t="s">
        <v>4138</v>
      </c>
      <c r="I626" s="1" t="s">
        <v>11</v>
      </c>
      <c r="J626" s="1" t="s">
        <v>4139</v>
      </c>
      <c r="K626" s="1" t="s">
        <v>4140</v>
      </c>
      <c r="L626" s="1" t="s">
        <v>4139</v>
      </c>
      <c r="M626" s="1" t="s">
        <v>4141</v>
      </c>
      <c r="N626" s="1" t="s">
        <v>4142</v>
      </c>
      <c r="P626" s="1" t="s">
        <v>1269</v>
      </c>
      <c r="Q626" s="1">
        <v>2007</v>
      </c>
      <c r="R626" s="1" t="s">
        <v>4143</v>
      </c>
      <c r="S626" s="1" t="s">
        <v>27</v>
      </c>
      <c r="T626" s="38">
        <v>1</v>
      </c>
      <c r="U626" s="1">
        <v>78.8</v>
      </c>
      <c r="W626" s="1">
        <v>0.9</v>
      </c>
      <c r="Y626" s="1">
        <v>0.14632133999999999</v>
      </c>
      <c r="Z626" s="1">
        <v>0.29258393999999999</v>
      </c>
      <c r="AA626" s="1">
        <v>0.14021238</v>
      </c>
      <c r="AB626" s="1">
        <v>8.2235999999999993E-3</v>
      </c>
      <c r="AD626" s="1">
        <v>0.65266666666666695</v>
      </c>
      <c r="AF626" s="1">
        <v>4.3702560000000001E-2</v>
      </c>
      <c r="AG626" s="1">
        <v>9.6509819999999996E-2</v>
      </c>
      <c r="AW626" s="1">
        <v>1.0103279999999999E-2</v>
      </c>
      <c r="AY626" s="1">
        <v>7.2837600000000002E-3</v>
      </c>
      <c r="BA626" s="1">
        <v>8.3528279999999996E-2</v>
      </c>
      <c r="BD626" s="1">
        <v>1.6682160000000001E-2</v>
      </c>
      <c r="BG626" s="1">
        <v>1.6917120000000001E-2</v>
      </c>
      <c r="BH626" s="1">
        <v>1.1747999999999999E-3</v>
      </c>
      <c r="BI626" s="1">
        <v>1.05732E-3</v>
      </c>
      <c r="BK626" s="1">
        <v>9.3983999999999995E-4</v>
      </c>
      <c r="BL626" s="1">
        <v>9.3983999999999995E-4</v>
      </c>
      <c r="BR626" s="1">
        <v>1.5859800000000001E-3</v>
      </c>
      <c r="BZ626" s="1">
        <v>8.4115679999999998E-2</v>
      </c>
      <c r="CK626" s="1">
        <v>0.18185904</v>
      </c>
      <c r="CS626" s="1">
        <v>4.6404599999999999E-3</v>
      </c>
      <c r="CV626" s="1">
        <v>1.7856960000000002E-2</v>
      </c>
      <c r="DB626" s="1">
        <v>8.811E-4</v>
      </c>
      <c r="DN626" s="1">
        <v>6.9959339999999995E-2</v>
      </c>
      <c r="DT626" s="1">
        <v>8.2823399999999991E-3</v>
      </c>
      <c r="EH626" s="1">
        <v>1.421508E-2</v>
      </c>
      <c r="EK626" s="1">
        <v>2.46708E-3</v>
      </c>
      <c r="EX626" s="1">
        <v>1.5801059999999999E-2</v>
      </c>
      <c r="FE626" s="1">
        <v>1.274658E-2</v>
      </c>
      <c r="FM626" s="1">
        <v>1.67409E-2</v>
      </c>
    </row>
    <row r="627" spans="1:169" x14ac:dyDescent="0.2">
      <c r="A627" s="1" t="s">
        <v>4144</v>
      </c>
      <c r="B627" s="1" t="s">
        <v>1911</v>
      </c>
      <c r="C627" s="1" t="s">
        <v>4136</v>
      </c>
      <c r="D627" s="1" t="s">
        <v>2</v>
      </c>
      <c r="E627" s="1">
        <v>41</v>
      </c>
      <c r="F627" s="1" t="s">
        <v>4137</v>
      </c>
      <c r="H627" s="1" t="s">
        <v>4145</v>
      </c>
      <c r="I627" s="1" t="s">
        <v>11</v>
      </c>
      <c r="J627" s="1" t="s">
        <v>4139</v>
      </c>
      <c r="K627" s="1" t="s">
        <v>4140</v>
      </c>
      <c r="L627" s="1" t="s">
        <v>4139</v>
      </c>
      <c r="M627" s="1" t="s">
        <v>4141</v>
      </c>
      <c r="N627" s="1" t="s">
        <v>4142</v>
      </c>
      <c r="Q627" s="1">
        <v>2007</v>
      </c>
      <c r="R627" s="1" t="s">
        <v>4143</v>
      </c>
      <c r="S627" s="1" t="s">
        <v>27</v>
      </c>
      <c r="T627" s="38">
        <v>1</v>
      </c>
      <c r="U627" s="1" t="s">
        <v>4146</v>
      </c>
      <c r="W627" s="1" t="s">
        <v>4148</v>
      </c>
    </row>
    <row r="628" spans="1:169" x14ac:dyDescent="0.2">
      <c r="A628" s="1" t="s">
        <v>4150</v>
      </c>
      <c r="B628" s="1" t="s">
        <v>57</v>
      </c>
      <c r="C628" s="1" t="s">
        <v>4151</v>
      </c>
      <c r="D628" s="1" t="s">
        <v>2</v>
      </c>
      <c r="E628" s="1">
        <v>54</v>
      </c>
      <c r="F628" s="1" t="s">
        <v>4152</v>
      </c>
      <c r="H628" s="1" t="s">
        <v>4153</v>
      </c>
      <c r="I628" s="1" t="s">
        <v>7</v>
      </c>
      <c r="J628" s="1" t="s">
        <v>4154</v>
      </c>
      <c r="K628" s="1" t="s">
        <v>4155</v>
      </c>
      <c r="L628" s="1" t="s">
        <v>4154</v>
      </c>
      <c r="M628" s="1" t="s">
        <v>4156</v>
      </c>
      <c r="P628" s="1" t="s">
        <v>1269</v>
      </c>
      <c r="Q628" s="1">
        <v>2009</v>
      </c>
      <c r="R628" s="1" t="s">
        <v>4157</v>
      </c>
      <c r="S628" s="1" t="s">
        <v>27</v>
      </c>
      <c r="T628" s="38">
        <v>1</v>
      </c>
      <c r="U628" s="1" t="s">
        <v>4158</v>
      </c>
      <c r="W628" s="1" t="s">
        <v>1567</v>
      </c>
      <c r="Y628" s="1">
        <v>0.37843653199999999</v>
      </c>
      <c r="Z628" s="1">
        <v>0.26165302000000001</v>
      </c>
      <c r="AA628" s="1">
        <v>0.33834786</v>
      </c>
      <c r="AD628" s="1">
        <v>0.78188235294117603</v>
      </c>
      <c r="AW628" s="1">
        <v>2.1386828E-2</v>
      </c>
      <c r="AY628" s="1">
        <v>1.2786904E-2</v>
      </c>
      <c r="BA628" s="1">
        <v>0.27408104</v>
      </c>
      <c r="BD628" s="1">
        <v>9.7031600000000006E-3</v>
      </c>
      <c r="BG628" s="1">
        <v>6.04786E-2</v>
      </c>
      <c r="BZ628" s="1">
        <v>0.18382836</v>
      </c>
      <c r="CK628" s="1">
        <v>3.9144940000000003E-2</v>
      </c>
      <c r="CV628" s="1">
        <v>3.8679720000000001E-2</v>
      </c>
      <c r="DN628" s="1">
        <v>2.1014652000000002E-2</v>
      </c>
      <c r="DS628" s="1">
        <v>8.6397999999999996E-3</v>
      </c>
      <c r="EH628" s="1">
        <v>3.92114E-2</v>
      </c>
      <c r="EX628" s="1">
        <v>1.4501572000000001E-2</v>
      </c>
      <c r="FE628" s="1">
        <v>0.13561827600000001</v>
      </c>
      <c r="FM628" s="1">
        <v>0.11936215999999999</v>
      </c>
    </row>
    <row r="629" spans="1:169" x14ac:dyDescent="0.2">
      <c r="A629" s="1" t="s">
        <v>4161</v>
      </c>
      <c r="B629" s="1" t="s">
        <v>57</v>
      </c>
      <c r="C629" s="1" t="s">
        <v>4162</v>
      </c>
      <c r="D629" s="1" t="s">
        <v>2</v>
      </c>
      <c r="E629" s="1">
        <v>54</v>
      </c>
      <c r="F629" s="1" t="s">
        <v>4152</v>
      </c>
      <c r="H629" s="1" t="s">
        <v>4153</v>
      </c>
      <c r="I629" s="1" t="s">
        <v>7</v>
      </c>
      <c r="J629" s="1" t="s">
        <v>4154</v>
      </c>
      <c r="K629" s="1" t="s">
        <v>4155</v>
      </c>
      <c r="L629" s="1" t="s">
        <v>4154</v>
      </c>
      <c r="M629" s="1" t="s">
        <v>4156</v>
      </c>
      <c r="P629" s="1" t="s">
        <v>1269</v>
      </c>
      <c r="Q629" s="1">
        <v>2009</v>
      </c>
      <c r="R629" s="1" t="s">
        <v>4157</v>
      </c>
      <c r="S629" s="1" t="s">
        <v>27</v>
      </c>
      <c r="T629" s="38">
        <v>1</v>
      </c>
      <c r="U629" s="1" t="s">
        <v>4163</v>
      </c>
      <c r="W629" s="1" t="s">
        <v>4165</v>
      </c>
      <c r="Y629" s="1">
        <v>0.67224801599999995</v>
      </c>
      <c r="Z629" s="1">
        <v>0.315755968</v>
      </c>
      <c r="AA629" s="1">
        <v>0.53963324800000001</v>
      </c>
      <c r="AD629" s="1">
        <v>0.81504761904761902</v>
      </c>
      <c r="AW629" s="1">
        <v>6.3312084000000005E-2</v>
      </c>
      <c r="AY629" s="1">
        <v>2.6872119999999999E-2</v>
      </c>
      <c r="BA629" s="1">
        <v>0.41662055599999998</v>
      </c>
      <c r="BD629" s="1">
        <v>1.1125400000000001E-2</v>
      </c>
      <c r="BG629" s="1">
        <v>0.154317856</v>
      </c>
      <c r="BZ629" s="1">
        <v>0.18861832000000001</v>
      </c>
      <c r="CK629" s="1">
        <v>6.2952648E-2</v>
      </c>
      <c r="CV629" s="1">
        <v>6.4185000000000006E-2</v>
      </c>
      <c r="DN629" s="1">
        <v>4.6247431999999998E-2</v>
      </c>
      <c r="DS629" s="1">
        <v>1.300816E-2</v>
      </c>
      <c r="EH629" s="1">
        <v>3.1493439999999998E-2</v>
      </c>
      <c r="EX629" s="1">
        <v>1.5199008E-2</v>
      </c>
      <c r="FE629" s="1">
        <v>0.213573448</v>
      </c>
      <c r="FM629" s="1">
        <v>0.22011175999999999</v>
      </c>
    </row>
    <row r="630" spans="1:169" x14ac:dyDescent="0.2">
      <c r="A630" s="1" t="s">
        <v>4167</v>
      </c>
      <c r="B630" s="1" t="s">
        <v>1911</v>
      </c>
      <c r="C630" s="1" t="s">
        <v>4168</v>
      </c>
      <c r="D630" s="1" t="s">
        <v>2</v>
      </c>
      <c r="E630" s="1">
        <v>45</v>
      </c>
      <c r="F630" s="1" t="s">
        <v>3695</v>
      </c>
      <c r="H630" s="1" t="s">
        <v>4169</v>
      </c>
      <c r="I630" s="1" t="s">
        <v>7</v>
      </c>
      <c r="J630" s="1" t="s">
        <v>3697</v>
      </c>
      <c r="K630" s="1" t="s">
        <v>3698</v>
      </c>
      <c r="L630" s="1" t="s">
        <v>3697</v>
      </c>
      <c r="P630" s="1" t="s">
        <v>4170</v>
      </c>
      <c r="Q630" s="1">
        <v>2007</v>
      </c>
      <c r="R630" s="1" t="s">
        <v>4171</v>
      </c>
      <c r="S630" s="1" t="s">
        <v>27</v>
      </c>
      <c r="T630" s="38">
        <v>1</v>
      </c>
      <c r="U630" s="1">
        <v>80.47</v>
      </c>
      <c r="X630" s="1">
        <v>1.23</v>
      </c>
      <c r="Y630" s="1">
        <v>0.31961951999999999</v>
      </c>
      <c r="AA630" s="1">
        <v>0.39997584000000003</v>
      </c>
      <c r="AB630" s="1">
        <v>4.9658399999999998E-2</v>
      </c>
      <c r="AD630" s="1">
        <v>0.73404878048780497</v>
      </c>
      <c r="AF630" s="1">
        <v>0.22662288</v>
      </c>
      <c r="AG630" s="1">
        <v>0.17425584</v>
      </c>
      <c r="AW630" s="1">
        <v>3.430944E-3</v>
      </c>
      <c r="AY630" s="1">
        <v>3.430944E-3</v>
      </c>
      <c r="BA630" s="1">
        <v>0.20043936000000001</v>
      </c>
      <c r="BD630" s="1">
        <v>1.3814063999999999E-2</v>
      </c>
      <c r="BG630" s="1">
        <v>9.4892688000000003E-2</v>
      </c>
      <c r="BI630" s="1">
        <v>1.35432E-3</v>
      </c>
      <c r="BK630" s="1">
        <v>1.625184E-3</v>
      </c>
      <c r="BM630" s="1">
        <v>1.264032E-3</v>
      </c>
      <c r="BZ630" s="1">
        <v>1.2820896E-2</v>
      </c>
      <c r="CF630" s="1">
        <v>2.798928E-3</v>
      </c>
      <c r="CK630" s="1">
        <v>8.9746272000000002E-2</v>
      </c>
      <c r="CM630" s="1">
        <v>1.9682783999999998E-2</v>
      </c>
      <c r="CU630" s="1">
        <v>1.625184E-3</v>
      </c>
      <c r="CV630" s="1">
        <v>3.61152E-3</v>
      </c>
      <c r="DF630" s="1">
        <v>1.986336E-3</v>
      </c>
      <c r="DN630" s="1">
        <v>0.1173744</v>
      </c>
      <c r="DT630" s="1">
        <v>6.139584E-3</v>
      </c>
      <c r="ED630" s="1">
        <v>2.2572E-3</v>
      </c>
      <c r="EH630" s="1">
        <v>6.952176E-3</v>
      </c>
      <c r="EL630" s="1">
        <v>1.083456E-3</v>
      </c>
      <c r="EX630" s="1">
        <v>4.1081039999999999E-2</v>
      </c>
      <c r="EY630" s="1">
        <v>1.35432E-3</v>
      </c>
      <c r="FA630" s="1">
        <v>1.896048E-3</v>
      </c>
      <c r="FE630" s="1">
        <v>7.7467103999999995E-2</v>
      </c>
      <c r="FI630" s="1">
        <v>6.229872E-3</v>
      </c>
      <c r="FJ630" s="1">
        <v>5.41728E-3</v>
      </c>
      <c r="FM630" s="1">
        <v>0.13452912</v>
      </c>
    </row>
    <row r="631" spans="1:169" x14ac:dyDescent="0.2">
      <c r="A631" s="1" t="s">
        <v>4192</v>
      </c>
      <c r="B631" s="1" t="s">
        <v>1911</v>
      </c>
      <c r="C631" s="1" t="s">
        <v>4193</v>
      </c>
      <c r="D631" s="1" t="s">
        <v>2</v>
      </c>
      <c r="E631" s="1">
        <v>45</v>
      </c>
      <c r="F631" s="1" t="s">
        <v>4194</v>
      </c>
      <c r="H631" s="1" t="s">
        <v>4195</v>
      </c>
      <c r="I631" s="1" t="s">
        <v>7</v>
      </c>
      <c r="J631" s="1" t="s">
        <v>4196</v>
      </c>
      <c r="K631" s="1" t="s">
        <v>4197</v>
      </c>
      <c r="L631" s="1" t="s">
        <v>4196</v>
      </c>
      <c r="P631" s="1" t="s">
        <v>4170</v>
      </c>
      <c r="Q631" s="1">
        <v>2007</v>
      </c>
      <c r="R631" s="1" t="s">
        <v>4171</v>
      </c>
      <c r="S631" s="1" t="s">
        <v>27</v>
      </c>
      <c r="T631" s="38">
        <v>1</v>
      </c>
      <c r="U631" s="1">
        <v>77.209999999999994</v>
      </c>
      <c r="X631" s="1">
        <v>1.3</v>
      </c>
      <c r="Y631" s="1">
        <v>0.34718840000000001</v>
      </c>
      <c r="AA631" s="1">
        <v>0.4092556</v>
      </c>
      <c r="AB631" s="1">
        <v>5.7606119999999997E-2</v>
      </c>
      <c r="AD631" s="1">
        <v>0.746</v>
      </c>
      <c r="AF631" s="1">
        <v>0.2046278</v>
      </c>
      <c r="AG631" s="1">
        <v>0.2046278</v>
      </c>
      <c r="AW631" s="1">
        <v>3.9761800000000002E-3</v>
      </c>
      <c r="AY631" s="1">
        <v>3.5882599999999998E-3</v>
      </c>
      <c r="BA631" s="1">
        <v>0.2114164</v>
      </c>
      <c r="BD631" s="1">
        <v>1.4062099999999999E-2</v>
      </c>
      <c r="BG631" s="1">
        <v>0.111527</v>
      </c>
      <c r="BI631" s="1">
        <v>2.23054E-3</v>
      </c>
      <c r="BZ631" s="1">
        <v>1.3480219999999999E-2</v>
      </c>
      <c r="CF631" s="1">
        <v>2.32752E-3</v>
      </c>
      <c r="CK631" s="1">
        <v>0.11055719999999999</v>
      </c>
      <c r="CM631" s="1">
        <v>2.3372179999999999E-2</v>
      </c>
      <c r="CU631" s="1">
        <v>1.5516799999999999E-3</v>
      </c>
      <c r="CV631" s="1">
        <v>5.13994E-3</v>
      </c>
      <c r="DN631" s="1">
        <v>0.1512888</v>
      </c>
      <c r="DT631" s="1">
        <v>1.3577199999999999E-2</v>
      </c>
      <c r="ED631" s="1">
        <v>2.9093999999999999E-3</v>
      </c>
      <c r="EH631" s="1">
        <v>9.5040400000000001E-3</v>
      </c>
      <c r="EL631" s="1">
        <v>1.7456399999999999E-3</v>
      </c>
      <c r="EX631" s="1">
        <v>3.1324539999999998E-2</v>
      </c>
      <c r="FA631" s="1">
        <v>1.9396000000000001E-3</v>
      </c>
      <c r="FE631" s="1">
        <v>9.1743080000000005E-2</v>
      </c>
      <c r="FI631" s="1">
        <v>3.2973199999999999E-3</v>
      </c>
      <c r="FJ631" s="1">
        <v>4.849E-3</v>
      </c>
      <c r="FM631" s="1">
        <v>9.688302E-2</v>
      </c>
    </row>
    <row r="632" spans="1:169" x14ac:dyDescent="0.2">
      <c r="A632" s="1" t="s">
        <v>4216</v>
      </c>
      <c r="B632" s="1" t="s">
        <v>55</v>
      </c>
      <c r="C632" s="1" t="s">
        <v>4217</v>
      </c>
      <c r="E632" s="1">
        <v>37</v>
      </c>
      <c r="F632" s="1" t="s">
        <v>4218</v>
      </c>
      <c r="G632" s="1" t="s">
        <v>4219</v>
      </c>
      <c r="H632" s="1" t="s">
        <v>4220</v>
      </c>
      <c r="I632" s="1" t="s">
        <v>7</v>
      </c>
      <c r="J632" s="1" t="s">
        <v>4221</v>
      </c>
      <c r="K632" s="1" t="s">
        <v>4222</v>
      </c>
      <c r="L632" s="1" t="s">
        <v>4221</v>
      </c>
      <c r="M632" s="1" t="s">
        <v>757</v>
      </c>
      <c r="N632" s="1" t="s">
        <v>4223</v>
      </c>
      <c r="P632" s="1" t="s">
        <v>4224</v>
      </c>
      <c r="Q632" s="1">
        <v>2004</v>
      </c>
      <c r="R632" s="1" t="s">
        <v>4225</v>
      </c>
      <c r="S632" s="1" t="s">
        <v>27</v>
      </c>
      <c r="T632" s="38">
        <v>1</v>
      </c>
      <c r="U632" s="1">
        <v>76.63</v>
      </c>
      <c r="V632" s="1">
        <v>2.11</v>
      </c>
      <c r="Y632" s="1">
        <v>0.71528183400000001</v>
      </c>
      <c r="Z632" s="1">
        <v>0.726418177</v>
      </c>
      <c r="AA632" s="1">
        <v>0.35052095999999999</v>
      </c>
      <c r="AD632" s="1">
        <v>0.86522748815165895</v>
      </c>
      <c r="AF632" s="1">
        <v>0.22948169099999999</v>
      </c>
      <c r="AG632" s="1">
        <v>0.121039269</v>
      </c>
      <c r="AU632" s="1">
        <v>7.1199569999999997E-3</v>
      </c>
      <c r="AW632" s="1">
        <v>0.172156909</v>
      </c>
      <c r="AY632" s="1">
        <v>2.4828567999999999E-2</v>
      </c>
      <c r="BA632" s="1">
        <v>0.40163860000000001</v>
      </c>
      <c r="BD632" s="1">
        <v>1.4970166E-2</v>
      </c>
      <c r="BG632" s="1">
        <v>9.0916373999999994E-2</v>
      </c>
      <c r="BM632" s="1">
        <v>3.6512599999999999E-3</v>
      </c>
      <c r="BS632" s="1">
        <v>3.3409029E-2</v>
      </c>
      <c r="BX632" s="1">
        <v>4.8379195E-2</v>
      </c>
      <c r="BZ632" s="1">
        <v>0.28443315400000002</v>
      </c>
      <c r="CF632" s="1">
        <v>1.1684032E-2</v>
      </c>
      <c r="CK632" s="1">
        <v>0.21852791099999999</v>
      </c>
      <c r="CM632" s="1">
        <v>9.0186121999999994E-2</v>
      </c>
      <c r="CQ632" s="1">
        <v>1.7891173999999999E-2</v>
      </c>
      <c r="CV632" s="1">
        <v>1.3874788000000001E-2</v>
      </c>
      <c r="DB632" s="1">
        <v>4.1989490000000004E-3</v>
      </c>
      <c r="DE632" s="1">
        <v>3.8338230000000001E-3</v>
      </c>
      <c r="DN632" s="1">
        <v>8.1057972000000006E-2</v>
      </c>
      <c r="DT632" s="1">
        <v>3.1035709999999998E-3</v>
      </c>
      <c r="DW632" s="1">
        <v>4.0163860000000003E-3</v>
      </c>
      <c r="ED632" s="1">
        <v>2.9210080000000001E-3</v>
      </c>
      <c r="EH632" s="1">
        <v>3.4139281E-2</v>
      </c>
      <c r="EK632" s="1">
        <v>1.643067E-3</v>
      </c>
      <c r="EL632" s="1">
        <v>4.3815119999999997E-3</v>
      </c>
      <c r="EX632" s="1">
        <v>2.190756E-2</v>
      </c>
      <c r="FA632" s="1">
        <v>2.5558820000000002E-3</v>
      </c>
      <c r="FE632" s="1">
        <v>5.9698101000000003E-2</v>
      </c>
      <c r="FI632" s="1">
        <v>4.0163860000000003E-3</v>
      </c>
      <c r="FJ632" s="1">
        <v>1.460504E-2</v>
      </c>
      <c r="FM632" s="1">
        <v>0.116657757</v>
      </c>
    </row>
    <row r="633" spans="1:169" x14ac:dyDescent="0.2">
      <c r="A633" s="1" t="s">
        <v>4226</v>
      </c>
      <c r="B633" s="1" t="s">
        <v>55</v>
      </c>
      <c r="C633" s="1" t="s">
        <v>4217</v>
      </c>
      <c r="E633" s="1">
        <v>37</v>
      </c>
      <c r="F633" s="1" t="s">
        <v>4218</v>
      </c>
      <c r="G633" s="1" t="s">
        <v>4219</v>
      </c>
      <c r="H633" s="1" t="s">
        <v>4227</v>
      </c>
      <c r="I633" s="1" t="s">
        <v>11</v>
      </c>
      <c r="J633" s="1" t="s">
        <v>4221</v>
      </c>
      <c r="K633" s="1" t="s">
        <v>4222</v>
      </c>
      <c r="L633" s="1" t="s">
        <v>4221</v>
      </c>
      <c r="M633" s="1" t="s">
        <v>757</v>
      </c>
      <c r="N633" s="1" t="s">
        <v>4223</v>
      </c>
      <c r="P633" s="1" t="s">
        <v>4224</v>
      </c>
      <c r="Q633" s="1">
        <v>2004</v>
      </c>
      <c r="R633" s="1" t="s">
        <v>4225</v>
      </c>
      <c r="S633" s="1" t="s">
        <v>27</v>
      </c>
      <c r="T633" s="38">
        <v>1</v>
      </c>
      <c r="U633" s="1">
        <v>57.12</v>
      </c>
      <c r="V633" s="1">
        <v>14.23</v>
      </c>
      <c r="Y633" s="1">
        <v>2.8959565949999999</v>
      </c>
      <c r="Z633" s="1">
        <v>7.9077345389999998</v>
      </c>
      <c r="AA633" s="1">
        <v>2.1289549390000002</v>
      </c>
      <c r="AD633" s="1">
        <v>0.92295080815179198</v>
      </c>
      <c r="AF633" s="1">
        <v>0.90359099200000004</v>
      </c>
      <c r="AG633" s="1">
        <v>1.225363947</v>
      </c>
      <c r="AU633" s="1">
        <v>1.3133590000000001E-2</v>
      </c>
      <c r="AW633" s="1">
        <v>0.18781033699999999</v>
      </c>
      <c r="AY633" s="1">
        <v>2.4953821000000001E-2</v>
      </c>
      <c r="BA633" s="1">
        <v>2.1985629659999999</v>
      </c>
      <c r="BD633" s="1">
        <v>1.5760308000000001E-2</v>
      </c>
      <c r="BG633" s="1">
        <v>0.41108136699999998</v>
      </c>
      <c r="BI633" s="1">
        <v>3.5460693000000001E-2</v>
      </c>
      <c r="BM633" s="1">
        <v>1.0506872E-2</v>
      </c>
      <c r="BS633" s="1">
        <v>3.1520616000000001E-2</v>
      </c>
      <c r="BX633" s="1">
        <v>8.2741617000000003E-2</v>
      </c>
      <c r="BZ633" s="1">
        <v>0.49776306100000001</v>
      </c>
      <c r="CF633" s="1">
        <v>7.8801540000000003E-3</v>
      </c>
      <c r="CK633" s="1">
        <v>6.6718637200000002</v>
      </c>
      <c r="CM633" s="1">
        <v>0.387440905</v>
      </c>
      <c r="CQ633" s="1">
        <v>5.6474437000000002E-2</v>
      </c>
      <c r="CV633" s="1">
        <v>0.12214238700000001</v>
      </c>
      <c r="DB633" s="1">
        <v>3.6774052000000002E-2</v>
      </c>
      <c r="DE633" s="1">
        <v>1.1820231E-2</v>
      </c>
      <c r="DN633" s="1">
        <v>0.94824519799999996</v>
      </c>
      <c r="DT633" s="1">
        <v>3.8087411000000002E-2</v>
      </c>
      <c r="DW633" s="1">
        <v>1.8387026000000001E-2</v>
      </c>
      <c r="ED633" s="1">
        <v>1.7073667000000001E-2</v>
      </c>
      <c r="EH633" s="1">
        <v>0.282372185</v>
      </c>
      <c r="EK633" s="1">
        <v>9.1935130000000004E-3</v>
      </c>
      <c r="EL633" s="1">
        <v>5.2534360000000002E-3</v>
      </c>
      <c r="EX633" s="1">
        <v>0.16810995200000001</v>
      </c>
      <c r="FA633" s="1">
        <v>1.0506872E-2</v>
      </c>
      <c r="FE633" s="1">
        <v>0.22327103000000001</v>
      </c>
      <c r="FI633" s="1">
        <v>1.5760308000000001E-2</v>
      </c>
      <c r="FJ633" s="1">
        <v>6.4354591000000003E-2</v>
      </c>
      <c r="FM633" s="1">
        <v>0.32833974999999999</v>
      </c>
    </row>
    <row r="634" spans="1:169" x14ac:dyDescent="0.2">
      <c r="A634" s="1" t="s">
        <v>4228</v>
      </c>
      <c r="B634" s="1" t="s">
        <v>55</v>
      </c>
      <c r="C634" s="1" t="s">
        <v>4217</v>
      </c>
      <c r="E634" s="1">
        <v>35</v>
      </c>
      <c r="F634" s="1" t="s">
        <v>1740</v>
      </c>
      <c r="G634" s="1" t="s">
        <v>4229</v>
      </c>
      <c r="H634" s="1" t="s">
        <v>4230</v>
      </c>
      <c r="I634" s="1" t="s">
        <v>7</v>
      </c>
      <c r="J634" s="1" t="s">
        <v>1742</v>
      </c>
      <c r="K634" s="1" t="s">
        <v>1743</v>
      </c>
      <c r="L634" s="1" t="s">
        <v>1742</v>
      </c>
      <c r="M634" s="1" t="s">
        <v>748</v>
      </c>
      <c r="N634" s="1" t="s">
        <v>4231</v>
      </c>
      <c r="P634" s="1" t="s">
        <v>4224</v>
      </c>
      <c r="Q634" s="1">
        <v>2004</v>
      </c>
      <c r="R634" s="1" t="s">
        <v>4225</v>
      </c>
      <c r="S634" s="1" t="s">
        <v>27</v>
      </c>
      <c r="T634" s="38">
        <v>1</v>
      </c>
      <c r="U634" s="1">
        <v>74.53</v>
      </c>
      <c r="V634" s="1">
        <v>2.0699999999999998</v>
      </c>
      <c r="Y634" s="1">
        <v>0.72301373300000005</v>
      </c>
      <c r="Z634" s="1">
        <v>0.50823770199999996</v>
      </c>
      <c r="AA634" s="1">
        <v>0.52522664699999999</v>
      </c>
      <c r="AD634" s="1">
        <v>0.86391787439613499</v>
      </c>
      <c r="AF634" s="1">
        <v>0.453515416</v>
      </c>
      <c r="AG634" s="1">
        <v>7.1711231E-2</v>
      </c>
      <c r="AU634" s="1">
        <v>3.2189580000000001E-3</v>
      </c>
      <c r="AW634" s="1">
        <v>0.18258645100000001</v>
      </c>
      <c r="AY634" s="1">
        <v>2.4499847000000002E-2</v>
      </c>
      <c r="BA634" s="1">
        <v>0.42061051199999999</v>
      </c>
      <c r="BD634" s="1">
        <v>1.7525438000000001E-2</v>
      </c>
      <c r="BG634" s="1">
        <v>6.0266047000000003E-2</v>
      </c>
      <c r="BI634" s="1">
        <v>7.1532399999999999E-3</v>
      </c>
      <c r="BM634" s="1">
        <v>7.1532399999999999E-3</v>
      </c>
      <c r="BS634" s="1">
        <v>7.6897329999999998E-3</v>
      </c>
      <c r="BX634" s="1">
        <v>7.3320709999999999E-3</v>
      </c>
      <c r="BZ634" s="1">
        <v>0.181692296</v>
      </c>
      <c r="CF634" s="1">
        <v>1.8598423999999999E-2</v>
      </c>
      <c r="CK634" s="1">
        <v>0.12750650299999999</v>
      </c>
      <c r="CM634" s="1">
        <v>5.0609173E-2</v>
      </c>
      <c r="CQ634" s="1">
        <v>5.5437610000000003E-3</v>
      </c>
      <c r="CV634" s="1">
        <v>8.9415499999999995E-2</v>
      </c>
      <c r="DB634" s="1">
        <v>1.2339339E-2</v>
      </c>
      <c r="DE634" s="1">
        <v>7.5109019999999999E-3</v>
      </c>
      <c r="DN634" s="1">
        <v>2.861296E-2</v>
      </c>
      <c r="DT634" s="1">
        <v>3.2189580000000001E-3</v>
      </c>
      <c r="DW634" s="1">
        <v>4.8284369999999997E-3</v>
      </c>
      <c r="ED634" s="1">
        <v>2.1459719999999999E-3</v>
      </c>
      <c r="EH634" s="1">
        <v>1.4842973000000001E-2</v>
      </c>
      <c r="EK634" s="1">
        <v>1.609479E-3</v>
      </c>
      <c r="EL634" s="1">
        <v>3.2189580000000001E-3</v>
      </c>
      <c r="EX634" s="1">
        <v>1.3233494E-2</v>
      </c>
      <c r="FA634" s="1">
        <v>1.1087522000000001E-2</v>
      </c>
      <c r="FE634" s="1">
        <v>0.14717791299999999</v>
      </c>
      <c r="FI634" s="1">
        <v>6.6167470000000001E-3</v>
      </c>
      <c r="FJ634" s="1">
        <v>1.6273620999999999E-2</v>
      </c>
      <c r="FM634" s="1">
        <v>0.27218078200000001</v>
      </c>
    </row>
    <row r="635" spans="1:169" x14ac:dyDescent="0.2">
      <c r="A635" s="1" t="s">
        <v>4232</v>
      </c>
      <c r="B635" s="1" t="s">
        <v>55</v>
      </c>
      <c r="C635" s="1" t="s">
        <v>4217</v>
      </c>
      <c r="E635" s="1">
        <v>35</v>
      </c>
      <c r="F635" s="1" t="s">
        <v>1740</v>
      </c>
      <c r="G635" s="1" t="s">
        <v>4229</v>
      </c>
      <c r="H635" s="1" t="s">
        <v>4233</v>
      </c>
      <c r="I635" s="1" t="s">
        <v>11</v>
      </c>
      <c r="J635" s="1" t="s">
        <v>1742</v>
      </c>
      <c r="K635" s="1" t="s">
        <v>1743</v>
      </c>
      <c r="L635" s="1" t="s">
        <v>1742</v>
      </c>
      <c r="M635" s="1" t="s">
        <v>748</v>
      </c>
      <c r="N635" s="1" t="s">
        <v>4231</v>
      </c>
      <c r="P635" s="1" t="s">
        <v>4224</v>
      </c>
      <c r="Q635" s="1">
        <v>2004</v>
      </c>
      <c r="R635" s="1" t="s">
        <v>4225</v>
      </c>
      <c r="S635" s="1" t="s">
        <v>27</v>
      </c>
      <c r="T635" s="38">
        <v>1</v>
      </c>
      <c r="U635" s="1">
        <v>49.38</v>
      </c>
      <c r="V635" s="1">
        <v>18.28</v>
      </c>
      <c r="Y635" s="1">
        <v>3.3418586239999999</v>
      </c>
      <c r="Z635" s="1">
        <v>10.842437064</v>
      </c>
      <c r="AA635" s="1">
        <v>2.4387450080000002</v>
      </c>
      <c r="AD635" s="1">
        <v>0.92517724288840297</v>
      </c>
      <c r="AF635" s="1">
        <v>1.241358416</v>
      </c>
      <c r="AG635" s="1">
        <v>1.197386592</v>
      </c>
      <c r="AU635" s="1">
        <v>8.4561199999999993E-3</v>
      </c>
      <c r="AW635" s="1">
        <v>0.30272909599999998</v>
      </c>
      <c r="AY635" s="1">
        <v>3.8898151999999998E-2</v>
      </c>
      <c r="BA635" s="1">
        <v>2.55374824</v>
      </c>
      <c r="BD635" s="1">
        <v>2.8750807999999999E-2</v>
      </c>
      <c r="BG635" s="1">
        <v>0.36530438399999998</v>
      </c>
      <c r="BI635" s="1">
        <v>3.2133255999999999E-2</v>
      </c>
      <c r="BM635" s="1">
        <v>1.1838568000000001E-2</v>
      </c>
      <c r="BS635" s="1">
        <v>1.0147344000000001E-2</v>
      </c>
      <c r="BX635" s="1">
        <v>5.0736719999999999E-2</v>
      </c>
      <c r="BZ635" s="1">
        <v>0.49552863200000002</v>
      </c>
      <c r="CF635" s="1">
        <v>2.0294688000000002E-2</v>
      </c>
      <c r="CK635" s="1">
        <v>9.5148262240000001</v>
      </c>
      <c r="CM635" s="1">
        <v>0.23677135999999999</v>
      </c>
      <c r="CQ635" s="1">
        <v>0.23677135999999999</v>
      </c>
      <c r="CV635" s="1">
        <v>0.165739952</v>
      </c>
      <c r="DB635" s="1">
        <v>0.10147344</v>
      </c>
      <c r="DE635" s="1">
        <v>8.4561199999999993E-3</v>
      </c>
      <c r="DN635" s="1">
        <v>1.0891482560000001</v>
      </c>
      <c r="DT635" s="1">
        <v>1.6912239999999999E-2</v>
      </c>
      <c r="DW635" s="1">
        <v>1.5221016E-2</v>
      </c>
      <c r="ED635" s="1">
        <v>1.6912239999999999E-2</v>
      </c>
      <c r="EH635" s="1">
        <v>0.16743117599999999</v>
      </c>
      <c r="EK635" s="1" t="s">
        <v>15</v>
      </c>
      <c r="EL635" s="1" t="s">
        <v>15</v>
      </c>
      <c r="EX635" s="1">
        <v>3.2133255999999999E-2</v>
      </c>
      <c r="FA635" s="1">
        <v>1.3529792000000001E-2</v>
      </c>
      <c r="FE635" s="1">
        <v>0.34500969599999998</v>
      </c>
      <c r="FI635" s="1">
        <v>1.3529792000000001E-2</v>
      </c>
      <c r="FJ635" s="1">
        <v>2.3677136000000001E-2</v>
      </c>
      <c r="FM635" s="1">
        <v>0.70524040799999999</v>
      </c>
    </row>
    <row r="636" spans="1:169" x14ac:dyDescent="0.2">
      <c r="A636" s="1" t="s">
        <v>4234</v>
      </c>
      <c r="B636" s="1" t="s">
        <v>55</v>
      </c>
      <c r="C636" s="1" t="s">
        <v>4217</v>
      </c>
      <c r="E636" s="1">
        <v>33</v>
      </c>
      <c r="F636" s="1" t="s">
        <v>4235</v>
      </c>
      <c r="G636" s="1" t="s">
        <v>4236</v>
      </c>
      <c r="H636" s="1" t="s">
        <v>4237</v>
      </c>
      <c r="I636" s="1" t="s">
        <v>7</v>
      </c>
      <c r="J636" s="1" t="s">
        <v>4238</v>
      </c>
      <c r="K636" s="1" t="s">
        <v>4239</v>
      </c>
      <c r="L636" s="1" t="s">
        <v>4238</v>
      </c>
      <c r="M636" s="1" t="s">
        <v>757</v>
      </c>
      <c r="N636" s="1" t="s">
        <v>4240</v>
      </c>
      <c r="P636" s="1" t="s">
        <v>4224</v>
      </c>
      <c r="Q636" s="1">
        <v>2004</v>
      </c>
      <c r="R636" s="1" t="s">
        <v>4225</v>
      </c>
      <c r="S636" s="1" t="s">
        <v>27</v>
      </c>
      <c r="T636" s="38">
        <v>1</v>
      </c>
      <c r="U636" s="1">
        <v>78.790000000000006</v>
      </c>
      <c r="V636" s="1">
        <v>1.31</v>
      </c>
      <c r="Y636" s="1">
        <v>0.48867534400000001</v>
      </c>
      <c r="Z636" s="1">
        <v>0.31848077299999999</v>
      </c>
      <c r="AA636" s="1">
        <v>0.24498521000000001</v>
      </c>
      <c r="AD636" s="1">
        <v>0.82383969465648899</v>
      </c>
      <c r="AF636" s="1">
        <v>0.19847039699999999</v>
      </c>
      <c r="AG636" s="1">
        <v>4.6514813000000002E-2</v>
      </c>
      <c r="AU636" s="1">
        <v>2.0505369999999998E-3</v>
      </c>
      <c r="AW636" s="1">
        <v>0.105440771</v>
      </c>
      <c r="AY636" s="1">
        <v>2.5901520000000001E-2</v>
      </c>
      <c r="BA636" s="1">
        <v>0.27541949599999999</v>
      </c>
      <c r="BD636" s="1">
        <v>1.2626991000000001E-2</v>
      </c>
      <c r="BG636" s="1">
        <v>5.9897264999999998E-2</v>
      </c>
      <c r="BI636" s="1">
        <v>4.3169200000000001E-3</v>
      </c>
      <c r="BM636" s="1">
        <v>3.0218440000000001E-3</v>
      </c>
      <c r="BS636" s="1">
        <v>2.0505369999999998E-3</v>
      </c>
      <c r="BX636" s="1">
        <v>6.2595339999999998E-3</v>
      </c>
      <c r="BZ636" s="1">
        <v>6.8962797000000006E-2</v>
      </c>
      <c r="CF636" s="1">
        <v>2.4822289999999999E-3</v>
      </c>
      <c r="CK636" s="1">
        <v>0.16717272699999999</v>
      </c>
      <c r="CM636" s="1">
        <v>3.0434286000000001E-2</v>
      </c>
      <c r="CQ636" s="1">
        <v>6.1516110000000004E-3</v>
      </c>
      <c r="CV636" s="1">
        <v>2.4714367000000001E-2</v>
      </c>
      <c r="DB636" s="1">
        <v>7.0149950000000004E-3</v>
      </c>
      <c r="DE636" s="1">
        <v>3.1297669999999999E-3</v>
      </c>
      <c r="DN636" s="1">
        <v>1.9318216999999999E-2</v>
      </c>
      <c r="DT636" s="1">
        <v>3.3456129999999999E-3</v>
      </c>
      <c r="DW636" s="1">
        <v>1.510922E-3</v>
      </c>
      <c r="ED636" s="1">
        <v>1.402999E-3</v>
      </c>
      <c r="EH636" s="1">
        <v>9.0655319999999994E-3</v>
      </c>
      <c r="EK636" s="1">
        <v>1.295076E-3</v>
      </c>
      <c r="EL636" s="1">
        <v>2.1584600000000001E-3</v>
      </c>
      <c r="EX636" s="1">
        <v>1.1439838000000001E-2</v>
      </c>
      <c r="FA636" s="1">
        <v>3.1297669999999999E-3</v>
      </c>
      <c r="FE636" s="1">
        <v>6.5725107000000005E-2</v>
      </c>
      <c r="FI636" s="1">
        <v>5.1803040000000002E-3</v>
      </c>
      <c r="FJ636" s="1">
        <v>8.5259169999999992E-3</v>
      </c>
      <c r="FM636" s="1">
        <v>0.113103304</v>
      </c>
    </row>
    <row r="637" spans="1:169" x14ac:dyDescent="0.2">
      <c r="A637" s="1" t="s">
        <v>4241</v>
      </c>
      <c r="B637" s="1" t="s">
        <v>55</v>
      </c>
      <c r="C637" s="1" t="s">
        <v>4217</v>
      </c>
      <c r="E637" s="1">
        <v>33</v>
      </c>
      <c r="F637" s="1" t="s">
        <v>4235</v>
      </c>
      <c r="G637" s="1" t="s">
        <v>4236</v>
      </c>
      <c r="H637" s="1" t="s">
        <v>4242</v>
      </c>
      <c r="I637" s="1" t="s">
        <v>11</v>
      </c>
      <c r="J637" s="1" t="s">
        <v>4238</v>
      </c>
      <c r="K637" s="1" t="s">
        <v>4239</v>
      </c>
      <c r="L637" s="1" t="s">
        <v>4238</v>
      </c>
      <c r="M637" s="1" t="s">
        <v>757</v>
      </c>
      <c r="N637" s="1" t="s">
        <v>4240</v>
      </c>
      <c r="P637" s="1" t="s">
        <v>4224</v>
      </c>
      <c r="Q637" s="1">
        <v>2004</v>
      </c>
      <c r="R637" s="1" t="s">
        <v>4225</v>
      </c>
      <c r="S637" s="1" t="s">
        <v>27</v>
      </c>
      <c r="T637" s="38">
        <v>1</v>
      </c>
      <c r="U637" s="1">
        <v>64.83</v>
      </c>
      <c r="V637" s="1">
        <v>8.59</v>
      </c>
      <c r="Y637" s="1">
        <v>1.6915789029999999</v>
      </c>
      <c r="Z637" s="1">
        <v>4.6000870679999997</v>
      </c>
      <c r="AA637" s="1">
        <v>1.4821978010000001</v>
      </c>
      <c r="AD637" s="1">
        <v>0.91635273573923204</v>
      </c>
      <c r="AF637" s="1">
        <v>0.79974135199999996</v>
      </c>
      <c r="AG637" s="1">
        <v>0.68245644900000002</v>
      </c>
      <c r="AU637" s="1">
        <v>3.9357350000000001E-3</v>
      </c>
      <c r="AW637" s="1">
        <v>0.1574294</v>
      </c>
      <c r="AY637" s="1">
        <v>4.0144497000000001E-2</v>
      </c>
      <c r="BA637" s="1">
        <v>1.1885919700000001</v>
      </c>
      <c r="BD637" s="1">
        <v>4.1718790999999998E-2</v>
      </c>
      <c r="BG637" s="1">
        <v>0.2361441</v>
      </c>
      <c r="BI637" s="1">
        <v>1.1807204999999999E-2</v>
      </c>
      <c r="BM637" s="1">
        <v>1.1020057999999999E-2</v>
      </c>
      <c r="BS637" s="1" t="s">
        <v>15</v>
      </c>
      <c r="BX637" s="1">
        <v>2.6762998E-2</v>
      </c>
      <c r="BZ637" s="1">
        <v>0.18734098599999999</v>
      </c>
      <c r="CF637" s="1" t="s">
        <v>15</v>
      </c>
      <c r="CK637" s="1">
        <v>4.0238954639999998</v>
      </c>
      <c r="CM637" s="1">
        <v>0.18104381</v>
      </c>
      <c r="CQ637" s="1">
        <v>7.0056083000000005E-2</v>
      </c>
      <c r="CV637" s="1">
        <v>8.1863288000000006E-2</v>
      </c>
      <c r="DB637" s="1">
        <v>2.2040115999999998E-2</v>
      </c>
      <c r="DE637" s="1">
        <v>6.2971759999999998E-3</v>
      </c>
      <c r="DN637" s="1">
        <v>0.53998284200000002</v>
      </c>
      <c r="DT637" s="1">
        <v>4.0931644000000003E-2</v>
      </c>
      <c r="DW637" s="1">
        <v>1.8891528000000001E-2</v>
      </c>
      <c r="ED637" s="1">
        <v>1.0232911000000001E-2</v>
      </c>
      <c r="EH637" s="1">
        <v>8.5011876E-2</v>
      </c>
      <c r="EK637" s="1">
        <v>4.7228820000000003E-3</v>
      </c>
      <c r="EL637" s="1" t="s">
        <v>15</v>
      </c>
      <c r="EX637" s="1">
        <v>3.8570202999999997E-2</v>
      </c>
      <c r="FA637" s="1">
        <v>6.2971759999999998E-3</v>
      </c>
      <c r="FE637" s="1">
        <v>0.14326075399999999</v>
      </c>
      <c r="FI637" s="1">
        <v>2.2827263E-2</v>
      </c>
      <c r="FJ637" s="1">
        <v>4.5654526000000001E-2</v>
      </c>
      <c r="FM637" s="1">
        <v>0.52581419600000001</v>
      </c>
    </row>
    <row r="638" spans="1:169" x14ac:dyDescent="0.2">
      <c r="A638" s="1" t="s">
        <v>4243</v>
      </c>
      <c r="B638" s="1" t="s">
        <v>55</v>
      </c>
      <c r="C638" s="1" t="s">
        <v>4217</v>
      </c>
      <c r="E638" s="1">
        <v>33</v>
      </c>
      <c r="F638" s="1" t="s">
        <v>4244</v>
      </c>
      <c r="G638" s="1" t="s">
        <v>4245</v>
      </c>
      <c r="H638" s="1" t="s">
        <v>4246</v>
      </c>
      <c r="I638" s="1" t="s">
        <v>7</v>
      </c>
      <c r="J638" s="1" t="s">
        <v>4247</v>
      </c>
      <c r="K638" s="1" t="s">
        <v>4248</v>
      </c>
      <c r="L638" s="1" t="s">
        <v>4247</v>
      </c>
      <c r="M638" s="1" t="s">
        <v>748</v>
      </c>
      <c r="N638" s="1" t="s">
        <v>4249</v>
      </c>
      <c r="P638" s="1" t="s">
        <v>4224</v>
      </c>
      <c r="Q638" s="1">
        <v>2004</v>
      </c>
      <c r="R638" s="1" t="s">
        <v>4225</v>
      </c>
      <c r="S638" s="1" t="s">
        <v>27</v>
      </c>
      <c r="T638" s="38">
        <v>1</v>
      </c>
      <c r="U638" s="1">
        <v>79.709999999999994</v>
      </c>
      <c r="V638" s="1">
        <v>3.52</v>
      </c>
      <c r="Y638" s="1">
        <v>1.2492393319999999</v>
      </c>
      <c r="Z638" s="1">
        <v>1.3312236079999999</v>
      </c>
      <c r="AA638" s="1">
        <v>0.49253388799999998</v>
      </c>
      <c r="AD638" s="1">
        <v>0.89237500000000003</v>
      </c>
      <c r="AF638" s="1">
        <v>0.34427113599999998</v>
      </c>
      <c r="AG638" s="1">
        <v>0.148576868</v>
      </c>
      <c r="AU638" s="1">
        <v>1.4449336E-2</v>
      </c>
      <c r="AW638" s="1">
        <v>0.181559048</v>
      </c>
      <c r="AY638" s="1">
        <v>6.3765548000000005E-2</v>
      </c>
      <c r="BA638" s="1">
        <v>0.778693564</v>
      </c>
      <c r="BD638" s="1">
        <v>4.1777427999999998E-2</v>
      </c>
      <c r="BG638" s="1">
        <v>0.13821104000000001</v>
      </c>
      <c r="BI638" s="1">
        <v>5.6540879999999998E-3</v>
      </c>
      <c r="BM638" s="1">
        <v>2.5443396E-2</v>
      </c>
      <c r="BS638" s="1">
        <v>1.6648148000000002E-2</v>
      </c>
      <c r="BX638" s="1">
        <v>3.4238643999999999E-2</v>
      </c>
      <c r="BZ638" s="1">
        <v>0.437563588</v>
      </c>
      <c r="CF638" s="1">
        <v>1.2250524E-2</v>
      </c>
      <c r="CK638" s="1">
        <v>0.57012054000000001</v>
      </c>
      <c r="CM638" s="1">
        <v>0.16082739200000001</v>
      </c>
      <c r="CQ638" s="1">
        <v>4.1777427999999998E-2</v>
      </c>
      <c r="CV638" s="1">
        <v>4.4918588000000002E-2</v>
      </c>
      <c r="DB638" s="1">
        <v>9.7375959999999994E-3</v>
      </c>
      <c r="DE638" s="1">
        <v>3.14116E-3</v>
      </c>
      <c r="DN638" s="1">
        <v>4.2091544000000002E-2</v>
      </c>
      <c r="DT638" s="1">
        <v>1.1936408000000001E-2</v>
      </c>
      <c r="DW638" s="1">
        <v>5.3399720000000001E-3</v>
      </c>
      <c r="ED638" s="1">
        <v>5.0258560000000004E-3</v>
      </c>
      <c r="EH638" s="1">
        <v>1.2878756E-2</v>
      </c>
      <c r="EK638" s="1">
        <v>4.0835079999999996E-3</v>
      </c>
      <c r="EL638" s="1">
        <v>9.109364E-3</v>
      </c>
      <c r="EX638" s="1">
        <v>6.2509084000000006E-2</v>
      </c>
      <c r="FA638" s="1">
        <v>6.2823200000000001E-3</v>
      </c>
      <c r="FE638" s="1">
        <v>0.140723968</v>
      </c>
      <c r="FI638" s="1">
        <v>1.1622291999999999E-2</v>
      </c>
      <c r="FJ638" s="1">
        <v>3.9892732E-2</v>
      </c>
      <c r="FM638" s="1">
        <v>0.14166631599999999</v>
      </c>
    </row>
    <row r="639" spans="1:169" x14ac:dyDescent="0.2">
      <c r="A639" s="1" t="s">
        <v>4250</v>
      </c>
      <c r="B639" s="1" t="s">
        <v>55</v>
      </c>
      <c r="C639" s="1" t="s">
        <v>4217</v>
      </c>
      <c r="E639" s="1">
        <v>33</v>
      </c>
      <c r="F639" s="1" t="s">
        <v>4244</v>
      </c>
      <c r="G639" s="1" t="s">
        <v>4245</v>
      </c>
      <c r="H639" s="1" t="s">
        <v>4251</v>
      </c>
      <c r="I639" s="1" t="s">
        <v>11</v>
      </c>
      <c r="J639" s="1" t="s">
        <v>4247</v>
      </c>
      <c r="K639" s="1" t="s">
        <v>4248</v>
      </c>
      <c r="L639" s="1" t="s">
        <v>4247</v>
      </c>
      <c r="M639" s="1" t="s">
        <v>748</v>
      </c>
      <c r="N639" s="1" t="s">
        <v>4249</v>
      </c>
      <c r="P639" s="1" t="s">
        <v>4224</v>
      </c>
      <c r="Q639" s="1">
        <v>2004</v>
      </c>
      <c r="R639" s="1" t="s">
        <v>4225</v>
      </c>
      <c r="S639" s="1" t="s">
        <v>27</v>
      </c>
      <c r="T639" s="38">
        <v>1</v>
      </c>
      <c r="U639" s="1">
        <v>59.86</v>
      </c>
      <c r="V639" s="1">
        <v>12.05</v>
      </c>
      <c r="Y639" s="1">
        <v>2.716084355</v>
      </c>
      <c r="Z639" s="1">
        <v>6.5010650050000001</v>
      </c>
      <c r="AA639" s="1">
        <v>1.65384785</v>
      </c>
      <c r="AD639" s="1">
        <v>0.92113278008298805</v>
      </c>
      <c r="AF639" s="1">
        <v>0.74145662000000001</v>
      </c>
      <c r="AG639" s="1">
        <v>0.91239123</v>
      </c>
      <c r="AU639" s="1">
        <v>1.3319579999999999E-2</v>
      </c>
      <c r="AW639" s="1">
        <v>0.20201363</v>
      </c>
      <c r="AY639" s="1">
        <v>6.6597900000000002E-2</v>
      </c>
      <c r="BA639" s="1">
        <v>1.994607105</v>
      </c>
      <c r="BD639" s="1">
        <v>4.2178670000000001E-2</v>
      </c>
      <c r="BG639" s="1">
        <v>0.32299981500000002</v>
      </c>
      <c r="BI639" s="1">
        <v>2.441923E-2</v>
      </c>
      <c r="BM639" s="1">
        <v>4.9948424999999998E-2</v>
      </c>
      <c r="BS639" s="1">
        <v>6.6597899999999996E-3</v>
      </c>
      <c r="BX639" s="1">
        <v>5.3278319999999997E-2</v>
      </c>
      <c r="BZ639" s="1">
        <v>0.52612340999999996</v>
      </c>
      <c r="CF639" s="1">
        <v>1.2209615E-2</v>
      </c>
      <c r="CK639" s="1">
        <v>5.6119830400000001</v>
      </c>
      <c r="CM639" s="1">
        <v>0.19757377000000001</v>
      </c>
      <c r="CV639" s="1">
        <v>6.3268005000000002E-2</v>
      </c>
      <c r="DB639" s="1">
        <v>2.9969055000000001E-2</v>
      </c>
      <c r="DN639" s="1">
        <v>0.72036728500000002</v>
      </c>
      <c r="DT639" s="1">
        <v>1.1099650000000001E-2</v>
      </c>
      <c r="DW639" s="1">
        <v>1.3319579999999999E-2</v>
      </c>
      <c r="ED639" s="1">
        <v>5.5498250000000004E-3</v>
      </c>
      <c r="EH639" s="1">
        <v>0.10988653499999999</v>
      </c>
      <c r="EK639" s="1">
        <v>5.5498250000000004E-3</v>
      </c>
      <c r="EL639" s="1">
        <v>5.5498250000000004E-3</v>
      </c>
      <c r="EX639" s="1">
        <v>0.11987622000000001</v>
      </c>
      <c r="FA639" s="1">
        <v>8.8797200000000007E-3</v>
      </c>
      <c r="FE639" s="1">
        <v>0.29747062000000002</v>
      </c>
      <c r="FI639" s="1">
        <v>2.6639159999999999E-2</v>
      </c>
      <c r="FJ639" s="1">
        <v>7.8807514999999995E-2</v>
      </c>
      <c r="FM639" s="1">
        <v>0.24974212500000001</v>
      </c>
    </row>
    <row r="640" spans="1:169" x14ac:dyDescent="0.2">
      <c r="A640" s="1" t="s">
        <v>4252</v>
      </c>
      <c r="B640" s="1" t="s">
        <v>55</v>
      </c>
      <c r="C640" s="1" t="s">
        <v>4217</v>
      </c>
      <c r="E640" s="1">
        <v>33</v>
      </c>
      <c r="F640" s="1" t="s">
        <v>4253</v>
      </c>
      <c r="G640" s="1" t="s">
        <v>4254</v>
      </c>
      <c r="H640" s="1" t="s">
        <v>4255</v>
      </c>
      <c r="I640" s="1" t="s">
        <v>7</v>
      </c>
      <c r="J640" s="1" t="s">
        <v>4256</v>
      </c>
      <c r="K640" s="1" t="s">
        <v>4257</v>
      </c>
      <c r="L640" s="1" t="s">
        <v>4256</v>
      </c>
      <c r="M640" s="1" t="s">
        <v>757</v>
      </c>
      <c r="N640" s="1" t="s">
        <v>4258</v>
      </c>
      <c r="P640" s="1" t="s">
        <v>4224</v>
      </c>
      <c r="Q640" s="1">
        <v>2004</v>
      </c>
      <c r="R640" s="1" t="s">
        <v>4225</v>
      </c>
      <c r="S640" s="1" t="s">
        <v>27</v>
      </c>
      <c r="T640" s="38">
        <v>1</v>
      </c>
      <c r="U640" s="1">
        <v>71.180000000000007</v>
      </c>
      <c r="V640" s="1">
        <v>3.87</v>
      </c>
      <c r="Y640" s="1">
        <v>1.62635599</v>
      </c>
      <c r="Z640" s="1">
        <v>1.0576515500000001</v>
      </c>
      <c r="AA640" s="1">
        <v>0.70706606900000002</v>
      </c>
      <c r="AD640" s="1">
        <v>0.896049095607235</v>
      </c>
      <c r="AF640" s="1">
        <v>0.59089778400000004</v>
      </c>
      <c r="AG640" s="1">
        <v>0.116168285</v>
      </c>
      <c r="AU640" s="1">
        <v>4.8547939999999999E-3</v>
      </c>
      <c r="AW640" s="1">
        <v>0.26354596000000002</v>
      </c>
      <c r="AY640" s="1">
        <v>4.9241482000000003E-2</v>
      </c>
      <c r="BA640" s="1">
        <v>0.93003982200000002</v>
      </c>
      <c r="BD640" s="1">
        <v>0.26111856300000003</v>
      </c>
      <c r="BG640" s="1">
        <v>0.108886094</v>
      </c>
      <c r="BM640" s="1">
        <v>9.0160459999999998E-3</v>
      </c>
      <c r="BS640" s="1">
        <v>8.3225039999999997E-3</v>
      </c>
      <c r="BX640" s="1">
        <v>1.5951466000000001E-2</v>
      </c>
      <c r="BZ640" s="1">
        <v>0.33151307600000002</v>
      </c>
      <c r="CF640" s="1">
        <v>9.0160459999999998E-3</v>
      </c>
      <c r="CK640" s="1">
        <v>0.53229348499999996</v>
      </c>
      <c r="CM640" s="1">
        <v>0.108192552</v>
      </c>
      <c r="CQ640" s="1">
        <v>3.6410955000000002E-2</v>
      </c>
      <c r="DB640" s="1">
        <v>3.4677100000000001E-3</v>
      </c>
      <c r="DE640" s="1">
        <v>1.1443442999999999E-2</v>
      </c>
      <c r="DN640" s="1">
        <v>6.2765551000000003E-2</v>
      </c>
      <c r="DT640" s="1">
        <v>6.2418780000000002E-3</v>
      </c>
      <c r="DW640" s="1">
        <v>1.9072405000000001E-2</v>
      </c>
      <c r="EH640" s="1">
        <v>1.8378862999999999E-2</v>
      </c>
      <c r="EK640" s="1">
        <v>2.427397E-3</v>
      </c>
      <c r="EL640" s="1">
        <v>2.2540114999999999E-2</v>
      </c>
      <c r="EX640" s="1">
        <v>5.201565E-3</v>
      </c>
      <c r="FA640" s="1">
        <v>1.5604695E-2</v>
      </c>
      <c r="FE640" s="1">
        <v>0.148764759</v>
      </c>
      <c r="FI640" s="1">
        <v>4.8547939999999999E-3</v>
      </c>
      <c r="FJ640" s="1">
        <v>2.0459489000000001E-2</v>
      </c>
      <c r="FM640" s="1">
        <v>0.38075455800000002</v>
      </c>
    </row>
    <row r="641" spans="1:170" x14ac:dyDescent="0.2">
      <c r="A641" s="1" t="s">
        <v>4259</v>
      </c>
      <c r="B641" s="1" t="s">
        <v>55</v>
      </c>
      <c r="C641" s="1" t="s">
        <v>4217</v>
      </c>
      <c r="E641" s="1">
        <v>37</v>
      </c>
      <c r="F641" s="1" t="s">
        <v>1249</v>
      </c>
      <c r="G641" s="1" t="s">
        <v>4260</v>
      </c>
      <c r="H641" s="1" t="s">
        <v>4261</v>
      </c>
      <c r="I641" s="1" t="s">
        <v>7</v>
      </c>
      <c r="J641" s="1" t="s">
        <v>1251</v>
      </c>
      <c r="K641" s="1" t="s">
        <v>1252</v>
      </c>
      <c r="L641" s="1" t="s">
        <v>1251</v>
      </c>
      <c r="M641" s="1" t="s">
        <v>748</v>
      </c>
      <c r="N641" s="1" t="s">
        <v>4262</v>
      </c>
      <c r="P641" s="1" t="s">
        <v>4224</v>
      </c>
      <c r="Q641" s="1">
        <v>2004</v>
      </c>
      <c r="R641" s="1" t="s">
        <v>4225</v>
      </c>
      <c r="S641" s="1" t="s">
        <v>27</v>
      </c>
      <c r="T641" s="38">
        <v>1</v>
      </c>
      <c r="U641" s="1">
        <v>77.900000000000006</v>
      </c>
      <c r="V641" s="1">
        <v>3.81</v>
      </c>
      <c r="Y641" s="1">
        <v>1.1872820399999999</v>
      </c>
      <c r="Z641" s="1">
        <v>1.3196571640000001</v>
      </c>
      <c r="AA641" s="1">
        <v>0.85532071099999996</v>
      </c>
      <c r="AD641" s="1">
        <v>0.89546719160105004</v>
      </c>
      <c r="AF641" s="1">
        <v>0.77480388300000003</v>
      </c>
      <c r="AG641" s="1">
        <v>8.0175654999999998E-2</v>
      </c>
      <c r="AU641" s="1">
        <v>1.364692E-2</v>
      </c>
      <c r="AW641" s="1">
        <v>0.22176245</v>
      </c>
      <c r="AY641" s="1">
        <v>2.8658532E-2</v>
      </c>
      <c r="BA641" s="1">
        <v>0.68882828699999998</v>
      </c>
      <c r="BD641" s="1">
        <v>2.3882110000000002E-2</v>
      </c>
      <c r="BG641" s="1">
        <v>0.20197441599999999</v>
      </c>
      <c r="BM641" s="1">
        <v>8.8704979999999992E-3</v>
      </c>
      <c r="BS641" s="1">
        <v>9.8940169999999997E-3</v>
      </c>
      <c r="BX641" s="1">
        <v>1.6717477000000001E-2</v>
      </c>
      <c r="BZ641" s="1">
        <v>0.43294853700000002</v>
      </c>
      <c r="CF641" s="1">
        <v>2.3882110000000002E-2</v>
      </c>
      <c r="CK641" s="1">
        <v>0.59671157699999999</v>
      </c>
      <c r="CM641" s="1">
        <v>0.157963099</v>
      </c>
      <c r="CQ641" s="1">
        <v>2.3199764000000001E-2</v>
      </c>
      <c r="CV641" s="1">
        <v>4.3328971000000001E-2</v>
      </c>
      <c r="DB641" s="1">
        <v>1.1941055000000001E-2</v>
      </c>
      <c r="DE641" s="1">
        <v>3.41173E-3</v>
      </c>
      <c r="DN641" s="1">
        <v>3.1387916000000002E-2</v>
      </c>
      <c r="DT641" s="1">
        <v>8.5293250000000008E-3</v>
      </c>
      <c r="DW641" s="1">
        <v>3.41173E-3</v>
      </c>
      <c r="ED641" s="1">
        <v>3.41173E-3</v>
      </c>
      <c r="EH641" s="1">
        <v>1.1599882000000001E-2</v>
      </c>
      <c r="EK641" s="1">
        <v>2.7293840000000001E-3</v>
      </c>
      <c r="EL641" s="1">
        <v>4.7764219999999998E-3</v>
      </c>
      <c r="EX641" s="1">
        <v>1.7740995999999998E-2</v>
      </c>
      <c r="FA641" s="1">
        <v>8.1881520000000006E-3</v>
      </c>
      <c r="FE641" s="1">
        <v>0.23643288900000001</v>
      </c>
      <c r="FI641" s="1">
        <v>4.7764219999999998E-3</v>
      </c>
      <c r="FJ641" s="1">
        <v>3.3776127000000003E-2</v>
      </c>
      <c r="FM641" s="1">
        <v>0.48821856299999999</v>
      </c>
    </row>
    <row r="642" spans="1:170" x14ac:dyDescent="0.2">
      <c r="A642" s="1" t="s">
        <v>4263</v>
      </c>
      <c r="B642" s="1" t="s">
        <v>57</v>
      </c>
      <c r="C642" s="1" t="s">
        <v>4264</v>
      </c>
      <c r="D642" s="1" t="s">
        <v>2</v>
      </c>
      <c r="E642" s="1">
        <v>53</v>
      </c>
      <c r="F642" s="1" t="s">
        <v>3878</v>
      </c>
      <c r="H642" s="1" t="s">
        <v>4265</v>
      </c>
      <c r="I642" s="1" t="s">
        <v>7</v>
      </c>
      <c r="J642" s="1" t="s">
        <v>3880</v>
      </c>
      <c r="K642" s="1" t="s">
        <v>3881</v>
      </c>
      <c r="L642" s="1" t="s">
        <v>3880</v>
      </c>
      <c r="M642" s="1" t="s">
        <v>2889</v>
      </c>
      <c r="O642" s="1">
        <v>1</v>
      </c>
      <c r="P642" s="1" t="s">
        <v>4266</v>
      </c>
      <c r="Q642" s="1">
        <v>1999</v>
      </c>
      <c r="R642" s="1" t="s">
        <v>4267</v>
      </c>
      <c r="S642" s="1" t="s">
        <v>27</v>
      </c>
      <c r="T642" s="38">
        <v>1</v>
      </c>
      <c r="U642" s="1">
        <v>74.3</v>
      </c>
      <c r="V642" s="1">
        <v>2.1074000000000002</v>
      </c>
      <c r="AD642" s="1">
        <v>0.81554256429723804</v>
      </c>
      <c r="AW642" s="1">
        <v>7.3387396879999997E-2</v>
      </c>
      <c r="BA642" s="1">
        <v>0.25934796696000001</v>
      </c>
      <c r="BG642" s="1">
        <v>6.7887638799999997E-2</v>
      </c>
      <c r="CA642" s="1">
        <v>5.3966376160000003E-2</v>
      </c>
      <c r="CQ642" s="1">
        <v>0.22239646735999999</v>
      </c>
      <c r="CZ642" s="1">
        <v>3.6779632159999999E-2</v>
      </c>
      <c r="DR642" s="1">
        <v>3.0076802E-2</v>
      </c>
      <c r="EI642" s="1">
        <v>0.10724528256</v>
      </c>
      <c r="EV642" s="1">
        <v>7.1668722480000002E-2</v>
      </c>
      <c r="EZ642" s="1">
        <v>7.2528059680000007E-2</v>
      </c>
      <c r="FF642" s="1">
        <v>0.25556688327999999</v>
      </c>
      <c r="FN642" s="1">
        <v>0.22188086504000001</v>
      </c>
    </row>
    <row r="643" spans="1:170" x14ac:dyDescent="0.2">
      <c r="A643" s="1" t="s">
        <v>4268</v>
      </c>
      <c r="B643" s="1" t="s">
        <v>57</v>
      </c>
      <c r="C643" s="1" t="s">
        <v>4264</v>
      </c>
      <c r="D643" s="1" t="s">
        <v>2</v>
      </c>
      <c r="E643" s="1">
        <v>53</v>
      </c>
      <c r="F643" s="1" t="s">
        <v>3878</v>
      </c>
      <c r="H643" s="1" t="s">
        <v>4265</v>
      </c>
      <c r="I643" s="1" t="s">
        <v>7</v>
      </c>
      <c r="J643" s="1" t="s">
        <v>3880</v>
      </c>
      <c r="K643" s="1" t="s">
        <v>3881</v>
      </c>
      <c r="L643" s="1" t="s">
        <v>3880</v>
      </c>
      <c r="M643" s="1" t="s">
        <v>4269</v>
      </c>
      <c r="O643" s="1">
        <v>1</v>
      </c>
      <c r="P643" s="1" t="s">
        <v>4266</v>
      </c>
      <c r="Q643" s="1">
        <v>1999</v>
      </c>
      <c r="R643" s="1" t="s">
        <v>4267</v>
      </c>
      <c r="S643" s="1" t="s">
        <v>27</v>
      </c>
      <c r="T643" s="38">
        <v>1</v>
      </c>
      <c r="U643" s="1">
        <v>74.099999999999994</v>
      </c>
      <c r="V643" s="1">
        <v>2.0461</v>
      </c>
      <c r="AD643" s="1">
        <v>0.81133453887884299</v>
      </c>
      <c r="AW643" s="1">
        <v>5.5280384279999997E-2</v>
      </c>
      <c r="BA643" s="1">
        <v>0.25482099060000002</v>
      </c>
      <c r="BG643" s="1">
        <v>6.9058978559999998E-2</v>
      </c>
      <c r="CA643" s="1">
        <v>5.710646304E-2</v>
      </c>
      <c r="CQ643" s="1">
        <v>0.22178556576</v>
      </c>
      <c r="CZ643" s="1">
        <v>3.4363482119999997E-2</v>
      </c>
      <c r="DR643" s="1">
        <v>3.021330312E-2</v>
      </c>
      <c r="EI643" s="1">
        <v>0.10724062535999999</v>
      </c>
      <c r="EV643" s="1">
        <v>7.2213114600000003E-2</v>
      </c>
      <c r="EZ643" s="1">
        <v>9.7612210079999998E-2</v>
      </c>
      <c r="FF643" s="1">
        <v>0.25299491184</v>
      </c>
      <c r="FN643" s="1">
        <v>0.20169869939999999</v>
      </c>
    </row>
    <row r="644" spans="1:170" x14ac:dyDescent="0.2">
      <c r="A644" s="1" t="s">
        <v>4270</v>
      </c>
      <c r="B644" s="1" t="s">
        <v>57</v>
      </c>
      <c r="C644" s="1" t="s">
        <v>4264</v>
      </c>
      <c r="D644" s="1" t="s">
        <v>2</v>
      </c>
      <c r="E644" s="1">
        <v>53</v>
      </c>
      <c r="F644" s="1" t="s">
        <v>3878</v>
      </c>
      <c r="H644" s="1" t="s">
        <v>4265</v>
      </c>
      <c r="I644" s="1" t="s">
        <v>7</v>
      </c>
      <c r="J644" s="1" t="s">
        <v>3880</v>
      </c>
      <c r="K644" s="1" t="s">
        <v>3881</v>
      </c>
      <c r="L644" s="1" t="s">
        <v>3880</v>
      </c>
      <c r="M644" s="1" t="s">
        <v>748</v>
      </c>
      <c r="O644" s="1">
        <v>1</v>
      </c>
      <c r="P644" s="1" t="s">
        <v>4266</v>
      </c>
      <c r="Q644" s="1">
        <v>1999</v>
      </c>
      <c r="R644" s="1" t="s">
        <v>4267</v>
      </c>
      <c r="S644" s="1" t="s">
        <v>27</v>
      </c>
      <c r="T644" s="38">
        <v>1</v>
      </c>
      <c r="U644" s="1">
        <v>74</v>
      </c>
      <c r="V644" s="1">
        <v>2.1320000000000001</v>
      </c>
      <c r="AD644" s="1">
        <v>0.81716322701688504</v>
      </c>
      <c r="AW644" s="1">
        <v>6.9165022399999998E-2</v>
      </c>
      <c r="BA644" s="1">
        <v>0.28293198079999998</v>
      </c>
      <c r="BG644" s="1">
        <v>7.4391598399999995E-2</v>
      </c>
      <c r="CA644" s="1">
        <v>6.2022035199999999E-2</v>
      </c>
      <c r="CQ644" s="1">
        <v>0.21794821919999999</v>
      </c>
      <c r="CZ644" s="1">
        <v>3.6760251200000003E-2</v>
      </c>
      <c r="DR644" s="1">
        <v>3.3624305600000001E-2</v>
      </c>
      <c r="EI644" s="1">
        <v>0.1078416848</v>
      </c>
      <c r="EV644" s="1">
        <v>6.8642364799999994E-2</v>
      </c>
      <c r="EZ644" s="1">
        <v>8.6064284800000002E-2</v>
      </c>
      <c r="FF644" s="1">
        <v>0.25418581280000002</v>
      </c>
      <c r="FN644" s="1">
        <v>0.1989583264</v>
      </c>
    </row>
    <row r="645" spans="1:170" x14ac:dyDescent="0.2">
      <c r="A645" s="1" t="s">
        <v>4271</v>
      </c>
      <c r="B645" s="1" t="s">
        <v>57</v>
      </c>
      <c r="C645" s="1" t="s">
        <v>4264</v>
      </c>
      <c r="D645" s="1" t="s">
        <v>2</v>
      </c>
      <c r="E645" s="1">
        <v>53</v>
      </c>
      <c r="F645" s="1" t="s">
        <v>3878</v>
      </c>
      <c r="H645" s="1" t="s">
        <v>4265</v>
      </c>
      <c r="I645" s="1" t="s">
        <v>7</v>
      </c>
      <c r="J645" s="1" t="s">
        <v>3880</v>
      </c>
      <c r="K645" s="1" t="s">
        <v>3881</v>
      </c>
      <c r="L645" s="1" t="s">
        <v>3880</v>
      </c>
      <c r="M645" s="1" t="s">
        <v>757</v>
      </c>
      <c r="O645" s="1">
        <v>1</v>
      </c>
      <c r="P645" s="1" t="s">
        <v>4266</v>
      </c>
      <c r="Q645" s="1">
        <v>1999</v>
      </c>
      <c r="R645" s="1" t="s">
        <v>4267</v>
      </c>
      <c r="S645" s="1" t="s">
        <v>27</v>
      </c>
      <c r="T645" s="38">
        <v>1</v>
      </c>
      <c r="U645" s="1">
        <v>74.5</v>
      </c>
      <c r="V645" s="1">
        <v>2.0655000000000001</v>
      </c>
      <c r="AD645" s="1">
        <v>0.81269329460179096</v>
      </c>
      <c r="AW645" s="1">
        <v>7.6041395400000003E-2</v>
      </c>
      <c r="BA645" s="1">
        <v>0.28100065320000001</v>
      </c>
      <c r="BG645" s="1">
        <v>6.4962516600000006E-2</v>
      </c>
      <c r="CA645" s="1">
        <v>7.0669817800000007E-2</v>
      </c>
      <c r="CQ645" s="1">
        <v>0.19723761500000001</v>
      </c>
      <c r="CZ645" s="1">
        <v>3.1725880200000001E-2</v>
      </c>
      <c r="DR645" s="1">
        <v>2.3836375600000001E-2</v>
      </c>
      <c r="EI645" s="1">
        <v>9.6520535000000005E-2</v>
      </c>
      <c r="EV645" s="1">
        <v>6.89911998E-2</v>
      </c>
      <c r="EZ645" s="1">
        <v>8.7959583199999997E-2</v>
      </c>
      <c r="FF645" s="1">
        <v>0.230809975</v>
      </c>
      <c r="FN645" s="1">
        <v>0.1853194272</v>
      </c>
    </row>
    <row r="646" spans="1:170" x14ac:dyDescent="0.2">
      <c r="A646" s="1" t="s">
        <v>4272</v>
      </c>
      <c r="B646" s="1" t="s">
        <v>57</v>
      </c>
      <c r="C646" s="1" t="s">
        <v>4264</v>
      </c>
      <c r="D646" s="1" t="s">
        <v>2</v>
      </c>
      <c r="E646" s="1">
        <v>53</v>
      </c>
      <c r="F646" s="1" t="s">
        <v>3878</v>
      </c>
      <c r="H646" s="1" t="s">
        <v>4265</v>
      </c>
      <c r="I646" s="1" t="s">
        <v>7</v>
      </c>
      <c r="J646" s="1" t="s">
        <v>3880</v>
      </c>
      <c r="K646" s="1" t="s">
        <v>3881</v>
      </c>
      <c r="L646" s="1" t="s">
        <v>3880</v>
      </c>
      <c r="M646" s="1" t="s">
        <v>3225</v>
      </c>
      <c r="O646" s="1">
        <v>1</v>
      </c>
      <c r="P646" s="1" t="s">
        <v>4266</v>
      </c>
      <c r="Q646" s="1">
        <v>1999</v>
      </c>
      <c r="R646" s="1" t="s">
        <v>4267</v>
      </c>
      <c r="S646" s="1" t="s">
        <v>27</v>
      </c>
      <c r="T646" s="38">
        <v>1</v>
      </c>
      <c r="U646" s="1">
        <v>74.099999999999994</v>
      </c>
      <c r="V646" s="1">
        <v>2.0720000000000001</v>
      </c>
      <c r="AD646" s="1">
        <v>0.81314285714285695</v>
      </c>
      <c r="AW646" s="1">
        <v>8.6431881599999996E-2</v>
      </c>
      <c r="BA646" s="1">
        <v>0.28793778879999998</v>
      </c>
      <c r="BG646" s="1">
        <v>5.9306086399999999E-2</v>
      </c>
      <c r="CA646" s="1">
        <v>7.7670755199999997E-2</v>
      </c>
      <c r="CQ646" s="1">
        <v>0.1935871968</v>
      </c>
      <c r="CZ646" s="1">
        <v>2.93160768E-2</v>
      </c>
      <c r="DR646" s="1">
        <v>2.948456E-2</v>
      </c>
      <c r="EI646" s="1">
        <v>0.1000790208</v>
      </c>
      <c r="EV646" s="1">
        <v>6.4697548800000004E-2</v>
      </c>
      <c r="EZ646" s="1">
        <v>8.3736150400000001E-2</v>
      </c>
      <c r="FF646" s="1">
        <v>0.20672888640000001</v>
      </c>
      <c r="FN646" s="1">
        <v>0.1849945536</v>
      </c>
    </row>
    <row r="647" spans="1:170" x14ac:dyDescent="0.2">
      <c r="A647" s="1" t="s">
        <v>4273</v>
      </c>
      <c r="B647" s="1" t="s">
        <v>57</v>
      </c>
      <c r="C647" s="1" t="s">
        <v>4264</v>
      </c>
      <c r="D647" s="1" t="s">
        <v>2</v>
      </c>
      <c r="E647" s="1">
        <v>53</v>
      </c>
      <c r="F647" s="1" t="s">
        <v>3878</v>
      </c>
      <c r="H647" s="1" t="s">
        <v>4265</v>
      </c>
      <c r="I647" s="1" t="s">
        <v>7</v>
      </c>
      <c r="J647" s="1" t="s">
        <v>3880</v>
      </c>
      <c r="K647" s="1" t="s">
        <v>3881</v>
      </c>
      <c r="L647" s="1" t="s">
        <v>3880</v>
      </c>
      <c r="M647" s="1" t="s">
        <v>2973</v>
      </c>
      <c r="O647" s="1">
        <v>1</v>
      </c>
      <c r="P647" s="1" t="s">
        <v>4266</v>
      </c>
      <c r="Q647" s="1">
        <v>1999</v>
      </c>
      <c r="R647" s="1" t="s">
        <v>4267</v>
      </c>
      <c r="S647" s="1" t="s">
        <v>27</v>
      </c>
      <c r="T647" s="38">
        <v>1</v>
      </c>
      <c r="U647" s="1">
        <v>73</v>
      </c>
      <c r="V647" s="1">
        <v>2.2949999999999999</v>
      </c>
      <c r="AD647" s="1">
        <v>0.82702396514161203</v>
      </c>
      <c r="AW647" s="1">
        <v>0.10306248599999999</v>
      </c>
      <c r="BA647" s="1">
        <v>0.33974557999999999</v>
      </c>
      <c r="BG647" s="1">
        <v>6.2255056000000003E-2</v>
      </c>
      <c r="CA647" s="1">
        <v>9.3951989999999999E-2</v>
      </c>
      <c r="CQ647" s="1">
        <v>0.20688418</v>
      </c>
      <c r="CZ647" s="1">
        <v>2.84703E-2</v>
      </c>
      <c r="DR647" s="1">
        <v>2.9039705999999998E-2</v>
      </c>
      <c r="EI647" s="1">
        <v>0.100784862</v>
      </c>
      <c r="EV647" s="1">
        <v>7.1745156000000004E-2</v>
      </c>
      <c r="EZ647" s="1">
        <v>8.9966147999999996E-2</v>
      </c>
      <c r="FF647" s="1">
        <v>0.20479635800000001</v>
      </c>
      <c r="FN647" s="1">
        <v>0.19644507</v>
      </c>
    </row>
    <row r="648" spans="1:170" x14ac:dyDescent="0.2">
      <c r="A648" s="1" t="s">
        <v>4274</v>
      </c>
      <c r="B648" s="1" t="s">
        <v>57</v>
      </c>
      <c r="C648" s="1" t="s">
        <v>4264</v>
      </c>
      <c r="D648" s="1" t="s">
        <v>2</v>
      </c>
      <c r="E648" s="1">
        <v>53</v>
      </c>
      <c r="F648" s="1" t="s">
        <v>3878</v>
      </c>
      <c r="H648" s="1" t="s">
        <v>4265</v>
      </c>
      <c r="I648" s="1" t="s">
        <v>7</v>
      </c>
      <c r="J648" s="1" t="s">
        <v>3880</v>
      </c>
      <c r="K648" s="1" t="s">
        <v>3881</v>
      </c>
      <c r="L648" s="1" t="s">
        <v>3880</v>
      </c>
      <c r="M648" s="1" t="s">
        <v>1292</v>
      </c>
      <c r="O648" s="1">
        <v>1</v>
      </c>
      <c r="P648" s="1" t="s">
        <v>4266</v>
      </c>
      <c r="Q648" s="1">
        <v>1999</v>
      </c>
      <c r="R648" s="1" t="s">
        <v>4267</v>
      </c>
      <c r="S648" s="1" t="s">
        <v>27</v>
      </c>
      <c r="T648" s="38">
        <v>1</v>
      </c>
      <c r="U648" s="1" t="s">
        <v>4275</v>
      </c>
      <c r="V648" s="1" t="s">
        <v>4277</v>
      </c>
      <c r="AD648" s="1">
        <v>0.81279729075955498</v>
      </c>
      <c r="AW648" s="1">
        <v>8.7362703999999999E-2</v>
      </c>
      <c r="BA648" s="1">
        <v>0.30526544839999997</v>
      </c>
      <c r="BG648" s="1">
        <v>5.0737570400000001E-2</v>
      </c>
      <c r="CA648" s="1">
        <v>9.4754932799999997E-2</v>
      </c>
      <c r="CQ648" s="1">
        <v>0.15792488800000001</v>
      </c>
      <c r="CZ648" s="1">
        <v>2.9232904800000001E-2</v>
      </c>
      <c r="DR648" s="1">
        <v>3.3433034799999997E-2</v>
      </c>
      <c r="EI648" s="1">
        <v>0.1073553228</v>
      </c>
      <c r="EV648" s="1">
        <v>8.7026693599999996E-2</v>
      </c>
      <c r="EZ648" s="1">
        <v>8.7362703999999999E-2</v>
      </c>
      <c r="FF648" s="1">
        <v>0.21370261439999999</v>
      </c>
      <c r="FN648" s="1">
        <v>0.19555805279999999</v>
      </c>
    </row>
    <row r="649" spans="1:170" x14ac:dyDescent="0.2">
      <c r="A649" s="1" t="s">
        <v>4278</v>
      </c>
      <c r="B649" s="1" t="s">
        <v>57</v>
      </c>
      <c r="C649" s="1" t="s">
        <v>4264</v>
      </c>
      <c r="D649" s="1" t="s">
        <v>2</v>
      </c>
      <c r="E649" s="1">
        <v>53</v>
      </c>
      <c r="F649" s="1" t="s">
        <v>3878</v>
      </c>
      <c r="H649" s="1" t="s">
        <v>4265</v>
      </c>
      <c r="I649" s="1" t="s">
        <v>7</v>
      </c>
      <c r="J649" s="1" t="s">
        <v>3880</v>
      </c>
      <c r="K649" s="1" t="s">
        <v>3881</v>
      </c>
      <c r="L649" s="1" t="s">
        <v>3880</v>
      </c>
      <c r="M649" s="1" t="s">
        <v>480</v>
      </c>
      <c r="O649" s="1">
        <v>1</v>
      </c>
      <c r="P649" s="1" t="s">
        <v>4266</v>
      </c>
      <c r="Q649" s="1">
        <v>1999</v>
      </c>
      <c r="R649" s="1" t="s">
        <v>4267</v>
      </c>
      <c r="S649" s="1" t="s">
        <v>27</v>
      </c>
      <c r="T649" s="38">
        <v>1</v>
      </c>
      <c r="U649" s="1">
        <v>75</v>
      </c>
      <c r="V649" s="1">
        <v>1.9750000000000001</v>
      </c>
      <c r="AD649" s="1">
        <v>0.806126582278481</v>
      </c>
      <c r="AW649" s="1">
        <v>7.8172110000000003E-2</v>
      </c>
      <c r="BA649" s="1">
        <v>0.24868602000000001</v>
      </c>
      <c r="BG649" s="1">
        <v>3.9961709999999998E-2</v>
      </c>
      <c r="CA649" s="1">
        <v>7.6580010000000004E-2</v>
      </c>
      <c r="CQ649" s="1">
        <v>0.15825474</v>
      </c>
      <c r="CZ649" s="1">
        <v>2.8657800000000001E-2</v>
      </c>
      <c r="DR649" s="1">
        <v>2.6588069999999998E-2</v>
      </c>
      <c r="EI649" s="1">
        <v>9.9983879999999997E-2</v>
      </c>
      <c r="EV649" s="1">
        <v>8.6132609999999998E-2</v>
      </c>
      <c r="EZ649" s="1">
        <v>8.0878679999999994E-2</v>
      </c>
      <c r="FF649" s="1">
        <v>0.22496373</v>
      </c>
      <c r="FN649" s="1">
        <v>0.20522169000000001</v>
      </c>
    </row>
    <row r="650" spans="1:170" x14ac:dyDescent="0.2">
      <c r="A650" s="1" t="s">
        <v>4279</v>
      </c>
      <c r="B650" s="1" t="s">
        <v>57</v>
      </c>
      <c r="C650" s="1" t="s">
        <v>4264</v>
      </c>
      <c r="D650" s="1" t="s">
        <v>2</v>
      </c>
      <c r="E650" s="1">
        <v>53</v>
      </c>
      <c r="F650" s="1" t="s">
        <v>3878</v>
      </c>
      <c r="H650" s="1" t="s">
        <v>4265</v>
      </c>
      <c r="I650" s="1" t="s">
        <v>7</v>
      </c>
      <c r="J650" s="1" t="s">
        <v>3880</v>
      </c>
      <c r="K650" s="1" t="s">
        <v>3881</v>
      </c>
      <c r="L650" s="1" t="s">
        <v>3880</v>
      </c>
      <c r="M650" s="1" t="s">
        <v>1283</v>
      </c>
      <c r="O650" s="1">
        <v>1</v>
      </c>
      <c r="P650" s="1" t="s">
        <v>4266</v>
      </c>
      <c r="Q650" s="1">
        <v>1999</v>
      </c>
      <c r="R650" s="1" t="s">
        <v>4267</v>
      </c>
      <c r="S650" s="1" t="s">
        <v>27</v>
      </c>
      <c r="T650" s="38">
        <v>1</v>
      </c>
      <c r="U650" s="1" t="s">
        <v>4280</v>
      </c>
      <c r="V650" s="1" t="s">
        <v>4282</v>
      </c>
      <c r="AD650" s="1">
        <v>0.80411165845648602</v>
      </c>
      <c r="AW650" s="1">
        <v>6.2838817280000001E-2</v>
      </c>
      <c r="BA650" s="1">
        <v>0.24304988927999999</v>
      </c>
      <c r="BG650" s="1">
        <v>4.0586667520000001E-2</v>
      </c>
      <c r="CA650" s="1">
        <v>7.3494776319999996E-2</v>
      </c>
      <c r="CQ650" s="1">
        <v>0.15654857472</v>
      </c>
      <c r="CZ650" s="1">
        <v>2.9303887359999999E-2</v>
      </c>
      <c r="DR650" s="1">
        <v>2.5856371199999999E-2</v>
      </c>
      <c r="EI650" s="1">
        <v>0.10091820032</v>
      </c>
      <c r="EV650" s="1">
        <v>8.556108288E-2</v>
      </c>
      <c r="EZ650" s="1">
        <v>8.4777556480000002E-2</v>
      </c>
      <c r="FF650" s="1">
        <v>0.23176710912000001</v>
      </c>
      <c r="FN650" s="1">
        <v>0.21264906495999999</v>
      </c>
    </row>
    <row r="651" spans="1:170" x14ac:dyDescent="0.2">
      <c r="A651" s="1" t="s">
        <v>4283</v>
      </c>
      <c r="B651" s="1" t="s">
        <v>57</v>
      </c>
      <c r="C651" s="1" t="s">
        <v>4264</v>
      </c>
      <c r="D651" s="1" t="s">
        <v>2</v>
      </c>
      <c r="E651" s="1">
        <v>53</v>
      </c>
      <c r="F651" s="1" t="s">
        <v>3878</v>
      </c>
      <c r="H651" s="1" t="s">
        <v>4265</v>
      </c>
      <c r="I651" s="1" t="s">
        <v>7</v>
      </c>
      <c r="J651" s="1" t="s">
        <v>3880</v>
      </c>
      <c r="K651" s="1" t="s">
        <v>3881</v>
      </c>
      <c r="L651" s="1" t="s">
        <v>3880</v>
      </c>
      <c r="M651" s="1" t="s">
        <v>3315</v>
      </c>
      <c r="O651" s="1">
        <v>1</v>
      </c>
      <c r="P651" s="1" t="s">
        <v>4266</v>
      </c>
      <c r="Q651" s="1">
        <v>1999</v>
      </c>
      <c r="R651" s="1" t="s">
        <v>4267</v>
      </c>
      <c r="S651" s="1" t="s">
        <v>27</v>
      </c>
      <c r="T651" s="38">
        <v>1</v>
      </c>
      <c r="U651" s="1" t="s">
        <v>4284</v>
      </c>
      <c r="V651" s="1" t="s">
        <v>4286</v>
      </c>
      <c r="AD651" s="1">
        <v>0.81304626678257497</v>
      </c>
      <c r="AW651" s="1">
        <v>7.255857416E-2</v>
      </c>
      <c r="BA651" s="1">
        <v>0.25656442464000001</v>
      </c>
      <c r="BG651" s="1">
        <v>4.7306170160000001E-2</v>
      </c>
      <c r="CA651" s="1">
        <v>8.8215064639999993E-2</v>
      </c>
      <c r="CQ651" s="1">
        <v>0.17878702031999999</v>
      </c>
      <c r="CZ651" s="1">
        <v>3.2323077120000002E-2</v>
      </c>
      <c r="DR651" s="1">
        <v>2.9292788640000001E-2</v>
      </c>
      <c r="EI651" s="1">
        <v>9.9494471759999994E-2</v>
      </c>
      <c r="EV651" s="1">
        <v>8.3332933200000001E-2</v>
      </c>
      <c r="EZ651" s="1">
        <v>8.1481090239999998E-2</v>
      </c>
      <c r="FF651" s="1">
        <v>0.23754094696</v>
      </c>
      <c r="FN651" s="1">
        <v>0.25201899191999999</v>
      </c>
    </row>
    <row r="652" spans="1:170" x14ac:dyDescent="0.2">
      <c r="A652" s="1" t="s">
        <v>4287</v>
      </c>
      <c r="B652" s="1" t="s">
        <v>57</v>
      </c>
      <c r="C652" s="1" t="s">
        <v>4264</v>
      </c>
      <c r="D652" s="1" t="s">
        <v>2</v>
      </c>
      <c r="E652" s="1">
        <v>53</v>
      </c>
      <c r="F652" s="1" t="s">
        <v>3878</v>
      </c>
      <c r="H652" s="1" t="s">
        <v>4265</v>
      </c>
      <c r="I652" s="1" t="s">
        <v>7</v>
      </c>
      <c r="J652" s="1" t="s">
        <v>3880</v>
      </c>
      <c r="K652" s="1" t="s">
        <v>3881</v>
      </c>
      <c r="L652" s="1" t="s">
        <v>3880</v>
      </c>
      <c r="M652" s="1" t="s">
        <v>2966</v>
      </c>
      <c r="O652" s="1">
        <v>1</v>
      </c>
      <c r="P652" s="1" t="s">
        <v>4266</v>
      </c>
      <c r="Q652" s="1">
        <v>1999</v>
      </c>
      <c r="R652" s="1" t="s">
        <v>4267</v>
      </c>
      <c r="S652" s="1" t="s">
        <v>27</v>
      </c>
      <c r="T652" s="38">
        <v>1</v>
      </c>
      <c r="U652" s="1">
        <v>79.5</v>
      </c>
      <c r="V652" s="1">
        <v>1.6605000000000001</v>
      </c>
      <c r="AD652" s="1">
        <v>0.77774043962661799</v>
      </c>
      <c r="AW652" s="1">
        <v>5.2819814200000002E-2</v>
      </c>
      <c r="BA652" s="1">
        <v>0.1966860074</v>
      </c>
      <c r="BG652" s="1">
        <v>4.0163721800000003E-2</v>
      </c>
      <c r="CA652" s="1">
        <v>6.9608508200000002E-2</v>
      </c>
      <c r="CQ652" s="1">
        <v>0.13456783959999999</v>
      </c>
      <c r="CZ652" s="1">
        <v>2.7636773199999999E-2</v>
      </c>
      <c r="DR652" s="1">
        <v>2.4795609600000001E-2</v>
      </c>
      <c r="EI652" s="1">
        <v>7.7744567599999995E-2</v>
      </c>
      <c r="EV652" s="1">
        <v>5.4886114999999999E-2</v>
      </c>
      <c r="EZ652" s="1">
        <v>6.5863337999999993E-2</v>
      </c>
      <c r="FF652" s="1">
        <v>0.18402991499999999</v>
      </c>
      <c r="FN652" s="1">
        <v>0.20017288999999999</v>
      </c>
    </row>
    <row r="653" spans="1:170" x14ac:dyDescent="0.2">
      <c r="A653" s="1" t="s">
        <v>4288</v>
      </c>
      <c r="B653" s="1" t="s">
        <v>57</v>
      </c>
      <c r="C653" s="1" t="s">
        <v>4264</v>
      </c>
      <c r="D653" s="1" t="s">
        <v>2</v>
      </c>
      <c r="E653" s="1">
        <v>53</v>
      </c>
      <c r="F653" s="1" t="s">
        <v>3878</v>
      </c>
      <c r="H653" s="1" t="s">
        <v>4265</v>
      </c>
      <c r="I653" s="1" t="s">
        <v>7</v>
      </c>
      <c r="J653" s="1" t="s">
        <v>3880</v>
      </c>
      <c r="K653" s="1" t="s">
        <v>3881</v>
      </c>
      <c r="L653" s="1" t="s">
        <v>3880</v>
      </c>
      <c r="M653" s="1" t="s">
        <v>816</v>
      </c>
      <c r="O653" s="1">
        <v>1</v>
      </c>
      <c r="P653" s="1" t="s">
        <v>4266</v>
      </c>
      <c r="Q653" s="1">
        <v>1999</v>
      </c>
      <c r="R653" s="1" t="s">
        <v>4267</v>
      </c>
      <c r="S653" s="1" t="s">
        <v>27</v>
      </c>
      <c r="T653" s="38">
        <v>1</v>
      </c>
      <c r="U653" s="1">
        <v>77.3</v>
      </c>
      <c r="V653" s="1">
        <v>1.8613999999999999</v>
      </c>
      <c r="AD653" s="1">
        <v>0.796979907596433</v>
      </c>
      <c r="AW653" s="1">
        <v>7.0466174000000006E-2</v>
      </c>
      <c r="BA653" s="1">
        <v>0.22875545327999999</v>
      </c>
      <c r="BG653" s="1">
        <v>5.1477394480000001E-2</v>
      </c>
      <c r="CA653" s="1">
        <v>7.5806768240000003E-2</v>
      </c>
      <c r="CQ653" s="1">
        <v>0.16288812431999999</v>
      </c>
      <c r="CZ653" s="1">
        <v>3.0708416879999999E-2</v>
      </c>
      <c r="DR653" s="1">
        <v>2.7296370560000002E-2</v>
      </c>
      <c r="EI653" s="1">
        <v>7.9218814560000003E-2</v>
      </c>
      <c r="EV653" s="1">
        <v>5.518614048E-2</v>
      </c>
      <c r="EZ653" s="1">
        <v>6.8389276240000005E-2</v>
      </c>
      <c r="FF653" s="1">
        <v>0.20353598047999999</v>
      </c>
      <c r="FN653" s="1">
        <v>0.21110182231999999</v>
      </c>
    </row>
    <row r="654" spans="1:170" x14ac:dyDescent="0.2">
      <c r="A654" s="1" t="s">
        <v>4289</v>
      </c>
      <c r="B654" s="1" t="s">
        <v>57</v>
      </c>
      <c r="C654" s="1" t="s">
        <v>4264</v>
      </c>
      <c r="D654" s="1" t="s">
        <v>2</v>
      </c>
      <c r="E654" s="1">
        <v>53</v>
      </c>
      <c r="F654" s="1" t="s">
        <v>3878</v>
      </c>
      <c r="H654" s="1" t="s">
        <v>4265</v>
      </c>
      <c r="I654" s="1" t="s">
        <v>7</v>
      </c>
      <c r="J654" s="1" t="s">
        <v>3880</v>
      </c>
      <c r="K654" s="1" t="s">
        <v>3881</v>
      </c>
      <c r="L654" s="1" t="s">
        <v>3880</v>
      </c>
      <c r="M654" s="1" t="s">
        <v>2889</v>
      </c>
      <c r="O654" s="1">
        <v>1</v>
      </c>
      <c r="P654" s="1" t="s">
        <v>4266</v>
      </c>
      <c r="Q654" s="1">
        <v>1999</v>
      </c>
      <c r="R654" s="1" t="s">
        <v>4267</v>
      </c>
      <c r="S654" s="1" t="s">
        <v>27</v>
      </c>
      <c r="T654" s="38">
        <v>1</v>
      </c>
      <c r="U654" s="1">
        <v>76.099999999999994</v>
      </c>
      <c r="V654" s="1">
        <v>2.0554000000000001</v>
      </c>
      <c r="AD654" s="1">
        <v>0.81198910187798001</v>
      </c>
      <c r="AW654" s="1">
        <v>7.5770892960000003E-2</v>
      </c>
      <c r="BA654" s="1">
        <v>0.26352916296000001</v>
      </c>
      <c r="BG654" s="1">
        <v>5.5910240399999998E-2</v>
      </c>
      <c r="CA654" s="1">
        <v>7.9275713999999997E-2</v>
      </c>
      <c r="CQ654" s="1">
        <v>0.19076240232</v>
      </c>
      <c r="CZ654" s="1">
        <v>3.7885446480000001E-2</v>
      </c>
      <c r="DR654" s="1">
        <v>2.970753072E-2</v>
      </c>
      <c r="EI654" s="1">
        <v>0.10364256504</v>
      </c>
      <c r="EV654" s="1">
        <v>6.9095043359999997E-2</v>
      </c>
      <c r="EZ654" s="1">
        <v>8.912259216E-2</v>
      </c>
      <c r="FF654" s="1">
        <v>0.23849472695999999</v>
      </c>
      <c r="FN654" s="1">
        <v>0.22931543375999999</v>
      </c>
    </row>
    <row r="655" spans="1:170" x14ac:dyDescent="0.2">
      <c r="A655" s="1" t="s">
        <v>4290</v>
      </c>
      <c r="B655" s="1" t="s">
        <v>57</v>
      </c>
      <c r="C655" s="1" t="s">
        <v>4291</v>
      </c>
      <c r="E655" s="1">
        <v>53</v>
      </c>
      <c r="F655" s="1" t="s">
        <v>3878</v>
      </c>
      <c r="H655" s="1" t="s">
        <v>4292</v>
      </c>
      <c r="I655" s="1" t="s">
        <v>7</v>
      </c>
      <c r="J655" s="1" t="s">
        <v>4293</v>
      </c>
      <c r="K655" s="1" t="s">
        <v>3881</v>
      </c>
      <c r="L655" s="1" t="s">
        <v>3880</v>
      </c>
      <c r="M655" s="1" t="s">
        <v>4294</v>
      </c>
      <c r="P655" s="1" t="s">
        <v>4295</v>
      </c>
      <c r="Q655" s="1">
        <v>1990</v>
      </c>
      <c r="R655" s="1" t="s">
        <v>4296</v>
      </c>
      <c r="S655" s="1" t="s">
        <v>27</v>
      </c>
      <c r="T655" s="38">
        <v>1</v>
      </c>
      <c r="U655" s="1">
        <v>87.1</v>
      </c>
      <c r="X655" s="1">
        <v>1.46</v>
      </c>
      <c r="AE655" s="1">
        <v>1.05996</v>
      </c>
    </row>
    <row r="656" spans="1:170" x14ac:dyDescent="0.2">
      <c r="A656" s="1" t="s">
        <v>4297</v>
      </c>
      <c r="B656" s="1" t="s">
        <v>57</v>
      </c>
      <c r="C656" s="1" t="s">
        <v>4291</v>
      </c>
      <c r="E656" s="1">
        <v>53</v>
      </c>
      <c r="F656" s="1" t="s">
        <v>3878</v>
      </c>
      <c r="H656" s="1" t="s">
        <v>4292</v>
      </c>
      <c r="I656" s="1" t="s">
        <v>7</v>
      </c>
      <c r="J656" s="1" t="s">
        <v>4293</v>
      </c>
      <c r="K656" s="1" t="s">
        <v>3881</v>
      </c>
      <c r="L656" s="1" t="s">
        <v>3880</v>
      </c>
      <c r="M656" s="1" t="s">
        <v>4298</v>
      </c>
      <c r="P656" s="1" t="s">
        <v>4295</v>
      </c>
      <c r="Q656" s="1">
        <v>1990</v>
      </c>
      <c r="R656" s="1" t="s">
        <v>4296</v>
      </c>
      <c r="S656" s="1" t="s">
        <v>27</v>
      </c>
      <c r="T656" s="38">
        <v>1</v>
      </c>
      <c r="U656" s="1">
        <v>84.7</v>
      </c>
      <c r="X656" s="1">
        <v>2.84</v>
      </c>
      <c r="AE656" s="1">
        <v>2.3912800000000001</v>
      </c>
    </row>
    <row r="657" spans="1:31" x14ac:dyDescent="0.2">
      <c r="A657" s="1" t="s">
        <v>4299</v>
      </c>
      <c r="B657" s="1" t="s">
        <v>57</v>
      </c>
      <c r="C657" s="1" t="s">
        <v>4291</v>
      </c>
      <c r="E657" s="1">
        <v>53</v>
      </c>
      <c r="F657" s="1" t="s">
        <v>3878</v>
      </c>
      <c r="H657" s="1" t="s">
        <v>4292</v>
      </c>
      <c r="I657" s="1" t="s">
        <v>7</v>
      </c>
      <c r="J657" s="1" t="s">
        <v>4293</v>
      </c>
      <c r="K657" s="1" t="s">
        <v>3881</v>
      </c>
      <c r="L657" s="1" t="s">
        <v>3880</v>
      </c>
      <c r="M657" s="1" t="s">
        <v>4300</v>
      </c>
      <c r="P657" s="1" t="s">
        <v>4295</v>
      </c>
      <c r="Q657" s="1">
        <v>1990</v>
      </c>
      <c r="R657" s="1" t="s">
        <v>4296</v>
      </c>
      <c r="S657" s="1" t="s">
        <v>27</v>
      </c>
      <c r="T657" s="38">
        <v>1</v>
      </c>
      <c r="U657" s="1">
        <v>84.2</v>
      </c>
      <c r="X657" s="1">
        <v>2.64</v>
      </c>
      <c r="AE657" s="1">
        <v>2.2888799999999998</v>
      </c>
    </row>
    <row r="658" spans="1:31" x14ac:dyDescent="0.2">
      <c r="A658" s="1" t="s">
        <v>4301</v>
      </c>
      <c r="B658" s="1" t="s">
        <v>57</v>
      </c>
      <c r="C658" s="1" t="s">
        <v>4302</v>
      </c>
      <c r="E658" s="1">
        <v>54</v>
      </c>
      <c r="F658" s="1" t="s">
        <v>1917</v>
      </c>
      <c r="H658" s="1" t="s">
        <v>4303</v>
      </c>
      <c r="I658" s="1" t="s">
        <v>11</v>
      </c>
      <c r="J658" s="1" t="s">
        <v>1919</v>
      </c>
      <c r="K658" s="1" t="s">
        <v>1920</v>
      </c>
      <c r="L658" s="1" t="s">
        <v>1919</v>
      </c>
      <c r="M658" s="1" t="s">
        <v>4294</v>
      </c>
      <c r="P658" s="1" t="s">
        <v>4295</v>
      </c>
      <c r="Q658" s="1">
        <v>1990</v>
      </c>
      <c r="R658" s="1" t="s">
        <v>4296</v>
      </c>
      <c r="S658" s="1" t="s">
        <v>27</v>
      </c>
      <c r="T658" s="38">
        <v>1</v>
      </c>
      <c r="U658" s="1">
        <v>74.5</v>
      </c>
      <c r="X658" s="1">
        <v>3.64</v>
      </c>
      <c r="AE658" s="1">
        <v>3.31968</v>
      </c>
    </row>
    <row r="659" spans="1:31" x14ac:dyDescent="0.2">
      <c r="A659" s="1" t="s">
        <v>4304</v>
      </c>
      <c r="B659" s="1" t="s">
        <v>57</v>
      </c>
      <c r="C659" s="1" t="s">
        <v>4302</v>
      </c>
      <c r="E659" s="1">
        <v>54</v>
      </c>
      <c r="F659" s="1" t="s">
        <v>1917</v>
      </c>
      <c r="H659" s="1" t="s">
        <v>4303</v>
      </c>
      <c r="I659" s="1" t="s">
        <v>11</v>
      </c>
      <c r="J659" s="1" t="s">
        <v>1919</v>
      </c>
      <c r="K659" s="1" t="s">
        <v>1920</v>
      </c>
      <c r="L659" s="1" t="s">
        <v>1919</v>
      </c>
      <c r="M659" s="1" t="s">
        <v>4298</v>
      </c>
      <c r="P659" s="1" t="s">
        <v>4295</v>
      </c>
      <c r="Q659" s="1">
        <v>1990</v>
      </c>
      <c r="R659" s="1" t="s">
        <v>4296</v>
      </c>
      <c r="S659" s="1" t="s">
        <v>27</v>
      </c>
      <c r="T659" s="38">
        <v>1</v>
      </c>
      <c r="U659" s="1">
        <v>74.2</v>
      </c>
      <c r="X659" s="1">
        <v>6.46</v>
      </c>
      <c r="AE659" s="1">
        <v>3.1209199999999999</v>
      </c>
    </row>
    <row r="660" spans="1:31" x14ac:dyDescent="0.2">
      <c r="A660" s="1" t="s">
        <v>4305</v>
      </c>
      <c r="B660" s="1" t="s">
        <v>57</v>
      </c>
      <c r="C660" s="1" t="s">
        <v>4302</v>
      </c>
      <c r="E660" s="1">
        <v>54</v>
      </c>
      <c r="F660" s="1" t="s">
        <v>1917</v>
      </c>
      <c r="H660" s="1" t="s">
        <v>4303</v>
      </c>
      <c r="I660" s="1" t="s">
        <v>11</v>
      </c>
      <c r="J660" s="1" t="s">
        <v>1919</v>
      </c>
      <c r="K660" s="1" t="s">
        <v>1920</v>
      </c>
      <c r="L660" s="1" t="s">
        <v>1919</v>
      </c>
      <c r="M660" s="1" t="s">
        <v>4306</v>
      </c>
      <c r="P660" s="1" t="s">
        <v>4295</v>
      </c>
      <c r="Q660" s="1">
        <v>1990</v>
      </c>
      <c r="R660" s="1" t="s">
        <v>4296</v>
      </c>
      <c r="S660" s="1" t="s">
        <v>27</v>
      </c>
      <c r="T660" s="38">
        <v>1</v>
      </c>
      <c r="U660" s="1">
        <v>75.599999999999994</v>
      </c>
      <c r="X660" s="1">
        <v>2.17</v>
      </c>
      <c r="AE660" s="1">
        <v>1.64052</v>
      </c>
    </row>
    <row r="661" spans="1:31" x14ac:dyDescent="0.2">
      <c r="A661" s="1" t="s">
        <v>4307</v>
      </c>
      <c r="B661" s="1" t="s">
        <v>57</v>
      </c>
      <c r="C661" s="1" t="s">
        <v>4308</v>
      </c>
      <c r="E661" s="1">
        <v>56</v>
      </c>
      <c r="F661" s="1" t="s">
        <v>4309</v>
      </c>
      <c r="H661" s="1" t="s">
        <v>4310</v>
      </c>
      <c r="I661" s="1" t="s">
        <v>11</v>
      </c>
      <c r="J661" s="1" t="s">
        <v>4311</v>
      </c>
      <c r="L661" s="1" t="s">
        <v>4312</v>
      </c>
      <c r="M661" s="1" t="s">
        <v>4298</v>
      </c>
      <c r="P661" s="1" t="s">
        <v>4295</v>
      </c>
      <c r="Q661" s="1">
        <v>1990</v>
      </c>
      <c r="R661" s="1" t="s">
        <v>4296</v>
      </c>
      <c r="S661" s="1" t="s">
        <v>27</v>
      </c>
      <c r="T661" s="38">
        <v>1</v>
      </c>
      <c r="U661" s="1">
        <v>75</v>
      </c>
      <c r="X661" s="1">
        <v>2.29</v>
      </c>
      <c r="AE661" s="1">
        <v>1.8205499999999999</v>
      </c>
    </row>
    <row r="662" spans="1:31" x14ac:dyDescent="0.2">
      <c r="A662" s="1" t="s">
        <v>4313</v>
      </c>
      <c r="B662" s="1" t="s">
        <v>57</v>
      </c>
      <c r="C662" s="1" t="s">
        <v>4308</v>
      </c>
      <c r="E662" s="1">
        <v>56</v>
      </c>
      <c r="F662" s="1" t="s">
        <v>4309</v>
      </c>
      <c r="H662" s="1" t="s">
        <v>4310</v>
      </c>
      <c r="I662" s="1" t="s">
        <v>11</v>
      </c>
      <c r="J662" s="1" t="s">
        <v>4311</v>
      </c>
      <c r="L662" s="1" t="s">
        <v>4312</v>
      </c>
      <c r="M662" s="1" t="s">
        <v>4300</v>
      </c>
      <c r="P662" s="1" t="s">
        <v>4295</v>
      </c>
      <c r="Q662" s="1">
        <v>1990</v>
      </c>
      <c r="R662" s="1" t="s">
        <v>4296</v>
      </c>
      <c r="S662" s="1" t="s">
        <v>27</v>
      </c>
      <c r="T662" s="38">
        <v>1</v>
      </c>
      <c r="U662" s="1">
        <v>72.599999999999994</v>
      </c>
      <c r="X662" s="1">
        <v>2.21</v>
      </c>
      <c r="AE662" s="1">
        <v>1.7193799999999999</v>
      </c>
    </row>
    <row r="663" spans="1:31" x14ac:dyDescent="0.2">
      <c r="A663" s="1" t="s">
        <v>4314</v>
      </c>
      <c r="B663" s="1" t="s">
        <v>57</v>
      </c>
      <c r="C663" s="1" t="s">
        <v>4308</v>
      </c>
      <c r="E663" s="1">
        <v>56</v>
      </c>
      <c r="F663" s="1" t="s">
        <v>4309</v>
      </c>
      <c r="H663" s="1" t="s">
        <v>4310</v>
      </c>
      <c r="I663" s="1" t="s">
        <v>11</v>
      </c>
      <c r="J663" s="1" t="s">
        <v>4311</v>
      </c>
      <c r="L663" s="1" t="s">
        <v>4312</v>
      </c>
      <c r="M663" s="1" t="s">
        <v>4306</v>
      </c>
      <c r="P663" s="1" t="s">
        <v>4295</v>
      </c>
      <c r="Q663" s="1">
        <v>1990</v>
      </c>
      <c r="R663" s="1" t="s">
        <v>4296</v>
      </c>
      <c r="S663" s="1" t="s">
        <v>27</v>
      </c>
      <c r="T663" s="38">
        <v>1</v>
      </c>
      <c r="U663" s="1">
        <v>76.900000000000006</v>
      </c>
      <c r="X663" s="1">
        <v>2.1800000000000002</v>
      </c>
      <c r="AE663" s="1">
        <v>1.7483599999999999</v>
      </c>
    </row>
    <row r="664" spans="1:31" x14ac:dyDescent="0.2">
      <c r="A664" s="1" t="s">
        <v>4315</v>
      </c>
      <c r="B664" s="1" t="s">
        <v>57</v>
      </c>
      <c r="C664" s="1" t="s">
        <v>4308</v>
      </c>
      <c r="E664" s="1">
        <v>56</v>
      </c>
      <c r="F664" s="1" t="s">
        <v>4309</v>
      </c>
      <c r="H664" s="1" t="s">
        <v>4316</v>
      </c>
      <c r="I664" s="1" t="s">
        <v>7</v>
      </c>
      <c r="J664" s="1" t="s">
        <v>4311</v>
      </c>
      <c r="L664" s="1" t="s">
        <v>4312</v>
      </c>
      <c r="M664" s="1" t="s">
        <v>4298</v>
      </c>
      <c r="P664" s="1" t="s">
        <v>4295</v>
      </c>
      <c r="Q664" s="1">
        <v>1990</v>
      </c>
      <c r="R664" s="1" t="s">
        <v>4296</v>
      </c>
      <c r="S664" s="1" t="s">
        <v>27</v>
      </c>
      <c r="T664" s="38">
        <v>1</v>
      </c>
      <c r="U664" s="1">
        <v>75.900000000000006</v>
      </c>
      <c r="X664" s="1">
        <v>1.92</v>
      </c>
      <c r="AE664" s="1">
        <v>1.55904</v>
      </c>
    </row>
    <row r="665" spans="1:31" x14ac:dyDescent="0.2">
      <c r="A665" s="1" t="s">
        <v>4317</v>
      </c>
      <c r="B665" s="1" t="s">
        <v>57</v>
      </c>
      <c r="C665" s="1" t="s">
        <v>4308</v>
      </c>
      <c r="E665" s="1">
        <v>56</v>
      </c>
      <c r="F665" s="1" t="s">
        <v>4309</v>
      </c>
      <c r="H665" s="1" t="s">
        <v>4316</v>
      </c>
      <c r="I665" s="1" t="s">
        <v>7</v>
      </c>
      <c r="J665" s="1" t="s">
        <v>4311</v>
      </c>
      <c r="L665" s="1" t="s">
        <v>4312</v>
      </c>
      <c r="M665" s="1" t="s">
        <v>4300</v>
      </c>
      <c r="P665" s="1" t="s">
        <v>4295</v>
      </c>
      <c r="Q665" s="1">
        <v>1990</v>
      </c>
      <c r="R665" s="1" t="s">
        <v>4296</v>
      </c>
      <c r="S665" s="1" t="s">
        <v>27</v>
      </c>
      <c r="T665" s="38">
        <v>1</v>
      </c>
      <c r="U665" s="1">
        <v>77.2</v>
      </c>
      <c r="X665" s="1">
        <v>1.43</v>
      </c>
      <c r="AE665" s="1">
        <v>1.1797500000000001</v>
      </c>
    </row>
    <row r="666" spans="1:31" x14ac:dyDescent="0.2">
      <c r="A666" s="1" t="s">
        <v>4318</v>
      </c>
      <c r="B666" s="1" t="s">
        <v>57</v>
      </c>
      <c r="C666" s="1" t="s">
        <v>4319</v>
      </c>
      <c r="E666" s="1">
        <v>57</v>
      </c>
      <c r="F666" s="1" t="s">
        <v>4320</v>
      </c>
      <c r="H666" s="1" t="s">
        <v>4321</v>
      </c>
      <c r="I666" s="1" t="s">
        <v>7</v>
      </c>
      <c r="J666" s="1" t="s">
        <v>4322</v>
      </c>
      <c r="K666" s="1" t="s">
        <v>4323</v>
      </c>
      <c r="L666" s="1" t="s">
        <v>4322</v>
      </c>
      <c r="M666" s="1" t="s">
        <v>4298</v>
      </c>
      <c r="P666" s="1" t="s">
        <v>4295</v>
      </c>
      <c r="Q666" s="1">
        <v>1990</v>
      </c>
      <c r="R666" s="1" t="s">
        <v>4296</v>
      </c>
      <c r="S666" s="1" t="s">
        <v>27</v>
      </c>
      <c r="T666" s="38">
        <v>1</v>
      </c>
      <c r="U666" s="1">
        <v>82.7</v>
      </c>
      <c r="X666" s="1">
        <v>1.76</v>
      </c>
      <c r="AE666" s="1">
        <v>1.1492800000000001</v>
      </c>
    </row>
    <row r="667" spans="1:31" x14ac:dyDescent="0.2">
      <c r="A667" s="1" t="s">
        <v>4324</v>
      </c>
      <c r="B667" s="1" t="s">
        <v>57</v>
      </c>
      <c r="C667" s="1" t="s">
        <v>4319</v>
      </c>
      <c r="E667" s="1">
        <v>57</v>
      </c>
      <c r="F667" s="1" t="s">
        <v>4320</v>
      </c>
      <c r="H667" s="1" t="s">
        <v>4321</v>
      </c>
      <c r="I667" s="1" t="s">
        <v>7</v>
      </c>
      <c r="J667" s="1" t="s">
        <v>4322</v>
      </c>
      <c r="K667" s="1" t="s">
        <v>4323</v>
      </c>
      <c r="L667" s="1" t="s">
        <v>4322</v>
      </c>
      <c r="M667" s="1" t="s">
        <v>4300</v>
      </c>
      <c r="P667" s="1" t="s">
        <v>4295</v>
      </c>
      <c r="Q667" s="1">
        <v>1990</v>
      </c>
      <c r="R667" s="1" t="s">
        <v>4296</v>
      </c>
      <c r="S667" s="1" t="s">
        <v>27</v>
      </c>
      <c r="T667" s="38">
        <v>1</v>
      </c>
      <c r="U667" s="1">
        <v>76.2</v>
      </c>
      <c r="X667" s="1">
        <v>1.24</v>
      </c>
      <c r="AE667" s="1">
        <v>0.94984000000000002</v>
      </c>
    </row>
    <row r="668" spans="1:31" x14ac:dyDescent="0.2">
      <c r="A668" s="1" t="s">
        <v>4325</v>
      </c>
      <c r="B668" s="1" t="s">
        <v>57</v>
      </c>
      <c r="C668" s="1" t="s">
        <v>4326</v>
      </c>
      <c r="E668" s="1">
        <v>55</v>
      </c>
      <c r="F668" s="1" t="s">
        <v>4327</v>
      </c>
      <c r="H668" s="1" t="s">
        <v>4328</v>
      </c>
      <c r="I668" s="1" t="s">
        <v>7</v>
      </c>
      <c r="J668" s="1" t="s">
        <v>4329</v>
      </c>
      <c r="K668" s="1" t="s">
        <v>4330</v>
      </c>
      <c r="L668" s="1" t="s">
        <v>4331</v>
      </c>
      <c r="M668" s="1" t="s">
        <v>4294</v>
      </c>
      <c r="P668" s="1" t="s">
        <v>4295</v>
      </c>
      <c r="Q668" s="1">
        <v>1990</v>
      </c>
      <c r="R668" s="1" t="s">
        <v>4296</v>
      </c>
      <c r="S668" s="1" t="s">
        <v>27</v>
      </c>
      <c r="T668" s="38">
        <v>1</v>
      </c>
      <c r="U668" s="1">
        <v>87.8</v>
      </c>
      <c r="X668" s="1">
        <v>0.66</v>
      </c>
      <c r="AE668" s="1">
        <v>0.43031999999999998</v>
      </c>
    </row>
    <row r="669" spans="1:31" x14ac:dyDescent="0.2">
      <c r="A669" s="1" t="s">
        <v>4332</v>
      </c>
      <c r="B669" s="1" t="s">
        <v>57</v>
      </c>
      <c r="C669" s="1" t="s">
        <v>4326</v>
      </c>
      <c r="E669" s="1">
        <v>55</v>
      </c>
      <c r="F669" s="1" t="s">
        <v>4327</v>
      </c>
      <c r="H669" s="1" t="s">
        <v>4328</v>
      </c>
      <c r="I669" s="1" t="s">
        <v>7</v>
      </c>
      <c r="J669" s="1" t="s">
        <v>4329</v>
      </c>
      <c r="K669" s="1" t="s">
        <v>4330</v>
      </c>
      <c r="L669" s="1" t="s">
        <v>4331</v>
      </c>
      <c r="M669" s="1" t="s">
        <v>4306</v>
      </c>
      <c r="P669" s="1" t="s">
        <v>4295</v>
      </c>
      <c r="Q669" s="1">
        <v>1990</v>
      </c>
      <c r="R669" s="1" t="s">
        <v>4296</v>
      </c>
      <c r="S669" s="1" t="s">
        <v>27</v>
      </c>
      <c r="T669" s="38">
        <v>1</v>
      </c>
      <c r="U669" s="1">
        <v>84.5</v>
      </c>
      <c r="X669" s="1">
        <v>0.68</v>
      </c>
      <c r="AE669" s="1">
        <v>0.48008000000000001</v>
      </c>
    </row>
    <row r="670" spans="1:31" x14ac:dyDescent="0.2">
      <c r="A670" s="1" t="s">
        <v>4333</v>
      </c>
      <c r="B670" s="1" t="s">
        <v>57</v>
      </c>
      <c r="C670" s="1" t="s">
        <v>4334</v>
      </c>
      <c r="E670" s="1">
        <v>55</v>
      </c>
      <c r="F670" s="1" t="s">
        <v>4335</v>
      </c>
      <c r="H670" s="1" t="s">
        <v>4336</v>
      </c>
      <c r="I670" s="1" t="s">
        <v>7</v>
      </c>
      <c r="J670" s="1" t="s">
        <v>4337</v>
      </c>
      <c r="K670" s="1" t="s">
        <v>4338</v>
      </c>
      <c r="L670" s="1" t="s">
        <v>4337</v>
      </c>
      <c r="M670" s="1" t="s">
        <v>4294</v>
      </c>
      <c r="P670" s="1" t="s">
        <v>4295</v>
      </c>
      <c r="Q670" s="1">
        <v>1990</v>
      </c>
      <c r="R670" s="1" t="s">
        <v>4296</v>
      </c>
      <c r="S670" s="1" t="s">
        <v>27</v>
      </c>
      <c r="T670" s="38">
        <v>1</v>
      </c>
      <c r="U670" s="1">
        <v>77.400000000000006</v>
      </c>
      <c r="X670" s="1">
        <v>1.1399999999999999</v>
      </c>
      <c r="AE670" s="1">
        <v>0.80825999999999998</v>
      </c>
    </row>
    <row r="671" spans="1:31" x14ac:dyDescent="0.2">
      <c r="A671" s="1" t="s">
        <v>4339</v>
      </c>
      <c r="B671" s="1" t="s">
        <v>57</v>
      </c>
      <c r="C671" s="1" t="s">
        <v>4334</v>
      </c>
      <c r="E671" s="1">
        <v>55</v>
      </c>
      <c r="F671" s="1" t="s">
        <v>4335</v>
      </c>
      <c r="H671" s="1" t="s">
        <v>4336</v>
      </c>
      <c r="I671" s="1" t="s">
        <v>7</v>
      </c>
      <c r="J671" s="1" t="s">
        <v>4337</v>
      </c>
      <c r="K671" s="1" t="s">
        <v>4338</v>
      </c>
      <c r="L671" s="1" t="s">
        <v>4337</v>
      </c>
      <c r="M671" s="1" t="s">
        <v>4306</v>
      </c>
      <c r="P671" s="1" t="s">
        <v>4295</v>
      </c>
      <c r="Q671" s="1">
        <v>1990</v>
      </c>
      <c r="R671" s="1" t="s">
        <v>4296</v>
      </c>
      <c r="S671" s="1" t="s">
        <v>27</v>
      </c>
      <c r="T671" s="38">
        <v>1</v>
      </c>
      <c r="U671" s="1">
        <v>80.099999999999994</v>
      </c>
      <c r="X671" s="1">
        <v>0.77</v>
      </c>
      <c r="AE671" s="1">
        <v>0.57981000000000005</v>
      </c>
    </row>
    <row r="672" spans="1:31" x14ac:dyDescent="0.2">
      <c r="A672" s="1" t="s">
        <v>4340</v>
      </c>
      <c r="B672" s="1" t="s">
        <v>1911</v>
      </c>
      <c r="C672" s="1" t="s">
        <v>4341</v>
      </c>
      <c r="E672" s="1">
        <v>42</v>
      </c>
      <c r="F672" s="1" t="s">
        <v>3797</v>
      </c>
      <c r="H672" s="1" t="s">
        <v>4342</v>
      </c>
      <c r="I672" s="1" t="s">
        <v>11</v>
      </c>
      <c r="J672" s="1" t="s">
        <v>3799</v>
      </c>
      <c r="K672" s="1" t="s">
        <v>3800</v>
      </c>
      <c r="L672" s="1" t="s">
        <v>3799</v>
      </c>
      <c r="M672" s="1" t="s">
        <v>4294</v>
      </c>
      <c r="P672" s="1" t="s">
        <v>4343</v>
      </c>
      <c r="Q672" s="1">
        <v>1990</v>
      </c>
      <c r="R672" s="1" t="s">
        <v>4296</v>
      </c>
      <c r="S672" s="1" t="s">
        <v>27</v>
      </c>
      <c r="T672" s="38">
        <v>1</v>
      </c>
      <c r="U672" s="1">
        <v>78.8</v>
      </c>
      <c r="X672" s="1">
        <v>1.32</v>
      </c>
      <c r="AE672" s="1">
        <v>0.85799999999999998</v>
      </c>
    </row>
    <row r="673" spans="1:169" x14ac:dyDescent="0.2">
      <c r="A673" s="1" t="s">
        <v>4344</v>
      </c>
      <c r="B673" s="1" t="s">
        <v>1911</v>
      </c>
      <c r="C673" s="1" t="s">
        <v>4341</v>
      </c>
      <c r="E673" s="1">
        <v>42</v>
      </c>
      <c r="F673" s="1" t="s">
        <v>3797</v>
      </c>
      <c r="H673" s="1" t="s">
        <v>4342</v>
      </c>
      <c r="I673" s="1" t="s">
        <v>11</v>
      </c>
      <c r="J673" s="1" t="s">
        <v>3799</v>
      </c>
      <c r="K673" s="1" t="s">
        <v>3800</v>
      </c>
      <c r="L673" s="1" t="s">
        <v>3799</v>
      </c>
      <c r="M673" s="1" t="s">
        <v>4294</v>
      </c>
      <c r="P673" s="1" t="s">
        <v>4343</v>
      </c>
      <c r="Q673" s="1">
        <v>1990</v>
      </c>
      <c r="R673" s="1" t="s">
        <v>4296</v>
      </c>
      <c r="S673" s="1" t="s">
        <v>27</v>
      </c>
      <c r="T673" s="38">
        <v>1</v>
      </c>
      <c r="U673" s="1">
        <v>78.2</v>
      </c>
      <c r="X673" s="1">
        <v>1.31</v>
      </c>
      <c r="AE673" s="1">
        <v>0.82923000000000002</v>
      </c>
    </row>
    <row r="674" spans="1:169" x14ac:dyDescent="0.2">
      <c r="A674" s="1" t="s">
        <v>4345</v>
      </c>
      <c r="B674" s="1" t="s">
        <v>1911</v>
      </c>
      <c r="C674" s="1" t="s">
        <v>4346</v>
      </c>
      <c r="E674" s="1">
        <v>42</v>
      </c>
      <c r="F674" s="1" t="s">
        <v>3797</v>
      </c>
      <c r="H674" s="1" t="s">
        <v>4342</v>
      </c>
      <c r="I674" s="1" t="s">
        <v>11</v>
      </c>
      <c r="J674" s="1" t="s">
        <v>3799</v>
      </c>
      <c r="K674" s="1" t="s">
        <v>3800</v>
      </c>
      <c r="L674" s="1" t="s">
        <v>3799</v>
      </c>
      <c r="M674" s="1" t="s">
        <v>4306</v>
      </c>
      <c r="P674" s="1" t="s">
        <v>4343</v>
      </c>
      <c r="Q674" s="1">
        <v>1990</v>
      </c>
      <c r="R674" s="1" t="s">
        <v>4296</v>
      </c>
      <c r="S674" s="1" t="s">
        <v>27</v>
      </c>
      <c r="T674" s="38">
        <v>1</v>
      </c>
      <c r="U674" s="1">
        <v>76</v>
      </c>
      <c r="X674" s="1">
        <v>1.04</v>
      </c>
      <c r="AE674" s="1">
        <v>0.71760000000000002</v>
      </c>
    </row>
    <row r="675" spans="1:169" x14ac:dyDescent="0.2">
      <c r="A675" s="1" t="s">
        <v>4347</v>
      </c>
      <c r="B675" s="1" t="s">
        <v>1911</v>
      </c>
      <c r="C675" s="1" t="s">
        <v>4341</v>
      </c>
      <c r="E675" s="1">
        <v>45</v>
      </c>
      <c r="F675" s="1" t="s">
        <v>4348</v>
      </c>
      <c r="H675" s="1" t="s">
        <v>4349</v>
      </c>
      <c r="I675" s="1" t="s">
        <v>11</v>
      </c>
      <c r="J675" s="1" t="s">
        <v>4350</v>
      </c>
      <c r="K675" s="1" t="s">
        <v>4351</v>
      </c>
      <c r="L675" s="1" t="s">
        <v>4350</v>
      </c>
      <c r="M675" s="1" t="s">
        <v>4298</v>
      </c>
      <c r="P675" s="1" t="s">
        <v>4343</v>
      </c>
      <c r="Q675" s="1">
        <v>1990</v>
      </c>
      <c r="R675" s="1" t="s">
        <v>4296</v>
      </c>
      <c r="S675" s="1" t="s">
        <v>27</v>
      </c>
      <c r="T675" s="38">
        <v>1</v>
      </c>
      <c r="U675" s="1">
        <v>79.099999999999994</v>
      </c>
      <c r="X675" s="1">
        <v>1.19</v>
      </c>
      <c r="AE675" s="1">
        <v>0.85680000000000001</v>
      </c>
    </row>
    <row r="676" spans="1:169" x14ac:dyDescent="0.2">
      <c r="A676" s="1" t="s">
        <v>4352</v>
      </c>
      <c r="B676" s="1" t="s">
        <v>1911</v>
      </c>
      <c r="C676" s="1" t="s">
        <v>4346</v>
      </c>
      <c r="E676" s="1">
        <v>45</v>
      </c>
      <c r="F676" s="1" t="s">
        <v>4348</v>
      </c>
      <c r="H676" s="1" t="s">
        <v>4349</v>
      </c>
      <c r="I676" s="1" t="s">
        <v>11</v>
      </c>
      <c r="J676" s="1" t="s">
        <v>4350</v>
      </c>
      <c r="K676" s="1" t="s">
        <v>4351</v>
      </c>
      <c r="L676" s="1" t="s">
        <v>4350</v>
      </c>
      <c r="M676" s="1" t="s">
        <v>4306</v>
      </c>
      <c r="P676" s="1" t="s">
        <v>4343</v>
      </c>
      <c r="Q676" s="1">
        <v>1990</v>
      </c>
      <c r="R676" s="1" t="s">
        <v>4296</v>
      </c>
      <c r="S676" s="1" t="s">
        <v>27</v>
      </c>
      <c r="T676" s="38">
        <v>1</v>
      </c>
      <c r="U676" s="1">
        <v>76.5</v>
      </c>
      <c r="X676" s="1">
        <v>1.34</v>
      </c>
      <c r="AE676" s="1">
        <v>0.88439999999999996</v>
      </c>
    </row>
    <row r="677" spans="1:169" x14ac:dyDescent="0.2">
      <c r="A677" s="1" t="s">
        <v>4353</v>
      </c>
      <c r="B677" s="1" t="s">
        <v>57</v>
      </c>
      <c r="C677" s="1" t="s">
        <v>4291</v>
      </c>
      <c r="E677" s="1">
        <v>53</v>
      </c>
      <c r="F677" s="1" t="s">
        <v>3878</v>
      </c>
      <c r="H677" s="1" t="s">
        <v>4292</v>
      </c>
      <c r="I677" s="1" t="s">
        <v>7</v>
      </c>
      <c r="J677" s="1" t="s">
        <v>4293</v>
      </c>
      <c r="K677" s="1" t="s">
        <v>3881</v>
      </c>
      <c r="L677" s="1" t="s">
        <v>3880</v>
      </c>
      <c r="M677" s="1" t="s">
        <v>4354</v>
      </c>
      <c r="P677" s="1" t="s">
        <v>4295</v>
      </c>
      <c r="Q677" s="1">
        <v>1990</v>
      </c>
      <c r="R677" s="1" t="s">
        <v>4296</v>
      </c>
      <c r="S677" s="1" t="s">
        <v>27</v>
      </c>
      <c r="T677" s="38">
        <v>1</v>
      </c>
      <c r="U677" s="1" t="s">
        <v>4355</v>
      </c>
      <c r="X677" s="1" t="s">
        <v>4357</v>
      </c>
      <c r="Y677" s="1">
        <v>0.504671804</v>
      </c>
      <c r="Z677" s="1">
        <v>0.39222503600000003</v>
      </c>
      <c r="AA677" s="1">
        <v>0.79898400800000002</v>
      </c>
      <c r="AB677" s="1">
        <v>0.21647915200000001</v>
      </c>
      <c r="AD677" s="1">
        <v>0.82786147186147196</v>
      </c>
      <c r="AE677" s="1">
        <v>1.91</v>
      </c>
      <c r="AF677" s="1">
        <v>0.71866488799999995</v>
      </c>
      <c r="AG677" s="1">
        <v>8.0319119999999994E-2</v>
      </c>
      <c r="AW677" s="1">
        <v>6.4829003999999996E-2</v>
      </c>
      <c r="AY677" s="1">
        <v>1.3195284E-2</v>
      </c>
      <c r="BA677" s="1">
        <v>0.339635136</v>
      </c>
      <c r="BD677" s="1">
        <v>2.7920456E-2</v>
      </c>
      <c r="BG677" s="1">
        <v>5.9091923999999997E-2</v>
      </c>
      <c r="BT677" s="1">
        <v>2.2948320000000001E-3</v>
      </c>
      <c r="BX677" s="1">
        <v>2.2948320000000001E-3</v>
      </c>
      <c r="BZ677" s="1">
        <v>6.4255296000000003E-2</v>
      </c>
      <c r="CB677" s="1">
        <v>5.6223384000000001E-2</v>
      </c>
      <c r="CK677" s="1">
        <v>6.4255296000000003E-2</v>
      </c>
      <c r="CM677" s="1">
        <v>9.4661819999999994E-2</v>
      </c>
      <c r="CU677" s="1">
        <v>2.6199331999999999E-2</v>
      </c>
      <c r="CV677" s="1">
        <v>8.4143840000000004E-3</v>
      </c>
      <c r="CX677" s="1">
        <v>7.3434624000000004E-2</v>
      </c>
      <c r="DN677" s="1">
        <v>2.86854E-2</v>
      </c>
      <c r="EH677" s="1">
        <v>2.5816860000000001E-2</v>
      </c>
      <c r="ET677" s="1">
        <v>4.3601807999999999E-2</v>
      </c>
      <c r="EX677" s="1">
        <v>2.9067872000000002E-2</v>
      </c>
      <c r="EY677" s="1">
        <v>1.0326744000000001E-2</v>
      </c>
      <c r="FA677" s="1">
        <v>2.2565847999999999E-2</v>
      </c>
      <c r="FB677" s="1">
        <v>6.6932600000000004E-3</v>
      </c>
      <c r="FE677" s="1">
        <v>0.35990615199999998</v>
      </c>
      <c r="FJ677" s="1">
        <v>2.2374611999999999E-2</v>
      </c>
      <c r="FM677" s="1">
        <v>0.24994545200000001</v>
      </c>
    </row>
    <row r="678" spans="1:169" x14ac:dyDescent="0.2">
      <c r="A678" s="1" t="s">
        <v>4359</v>
      </c>
      <c r="B678" s="1" t="s">
        <v>57</v>
      </c>
      <c r="C678" s="1" t="s">
        <v>4319</v>
      </c>
      <c r="E678" s="1">
        <v>57</v>
      </c>
      <c r="F678" s="1" t="s">
        <v>4320</v>
      </c>
      <c r="H678" s="1" t="s">
        <v>4321</v>
      </c>
      <c r="I678" s="1" t="s">
        <v>7</v>
      </c>
      <c r="J678" s="1" t="s">
        <v>4322</v>
      </c>
      <c r="K678" s="1" t="s">
        <v>4323</v>
      </c>
      <c r="L678" s="1" t="s">
        <v>4322</v>
      </c>
      <c r="M678" s="1" t="s">
        <v>4360</v>
      </c>
      <c r="P678" s="1" t="s">
        <v>4295</v>
      </c>
      <c r="Q678" s="1">
        <v>1990</v>
      </c>
      <c r="R678" s="1" t="s">
        <v>4296</v>
      </c>
      <c r="S678" s="1" t="s">
        <v>27</v>
      </c>
      <c r="T678" s="38">
        <v>1</v>
      </c>
      <c r="U678" s="1">
        <v>79.400000000000006</v>
      </c>
      <c r="X678" s="1">
        <v>1.5</v>
      </c>
      <c r="Y678" s="1">
        <v>0.45428960000000002</v>
      </c>
      <c r="Z678" s="1">
        <v>9.2519400000000002E-2</v>
      </c>
      <c r="AA678" s="1">
        <v>0.57412099999999999</v>
      </c>
      <c r="AB678" s="1">
        <v>1.7069999999999998E-2</v>
      </c>
      <c r="AD678" s="1">
        <v>0.75866666666666704</v>
      </c>
      <c r="AE678" s="1">
        <v>1.05</v>
      </c>
      <c r="AF678" s="1">
        <v>0.55750619999999995</v>
      </c>
      <c r="AG678" s="1">
        <v>1.6614799999999999E-2</v>
      </c>
      <c r="AW678" s="1">
        <v>2.9929399999999998E-2</v>
      </c>
      <c r="AY678" s="1">
        <v>4.6658000000000003E-3</v>
      </c>
      <c r="BA678" s="1">
        <v>0.35938039999999999</v>
      </c>
      <c r="BD678" s="1">
        <v>9.5592000000000003E-3</v>
      </c>
      <c r="BG678" s="1">
        <v>5.0754800000000003E-2</v>
      </c>
      <c r="BT678" s="1">
        <v>9.1039999999999992E-3</v>
      </c>
      <c r="CK678" s="1">
        <v>2.28738E-2</v>
      </c>
      <c r="CM678" s="1">
        <v>1.9687400000000001E-2</v>
      </c>
      <c r="CU678" s="1">
        <v>1.68424E-2</v>
      </c>
      <c r="CV678" s="1">
        <v>2.40118E-2</v>
      </c>
      <c r="EX678" s="1">
        <v>1.6614799999999999E-2</v>
      </c>
      <c r="FE678" s="1">
        <v>0.17092760000000001</v>
      </c>
      <c r="FM678" s="1">
        <v>0.38657859999999999</v>
      </c>
    </row>
    <row r="679" spans="1:169" x14ac:dyDescent="0.2">
      <c r="A679" s="1" t="s">
        <v>4361</v>
      </c>
      <c r="B679" s="1" t="s">
        <v>57</v>
      </c>
      <c r="C679" s="1" t="s">
        <v>4326</v>
      </c>
      <c r="E679" s="1">
        <v>55</v>
      </c>
      <c r="F679" s="1" t="s">
        <v>4327</v>
      </c>
      <c r="H679" s="1" t="s">
        <v>4328</v>
      </c>
      <c r="I679" s="1" t="s">
        <v>7</v>
      </c>
      <c r="J679" s="1" t="s">
        <v>4329</v>
      </c>
      <c r="K679" s="1" t="s">
        <v>4330</v>
      </c>
      <c r="L679" s="1" t="s">
        <v>4331</v>
      </c>
      <c r="M679" s="1" t="s">
        <v>4362</v>
      </c>
      <c r="P679" s="1" t="s">
        <v>4295</v>
      </c>
      <c r="Q679" s="1">
        <v>1990</v>
      </c>
      <c r="R679" s="1" t="s">
        <v>4296</v>
      </c>
      <c r="S679" s="1" t="s">
        <v>27</v>
      </c>
      <c r="T679" s="38">
        <v>1</v>
      </c>
      <c r="U679" s="1">
        <v>86.2</v>
      </c>
      <c r="X679" s="1">
        <v>0.67</v>
      </c>
      <c r="Y679" s="1">
        <v>9.9841895999999999E-2</v>
      </c>
      <c r="Z679" s="1">
        <v>3.2729399999999999E-2</v>
      </c>
      <c r="AA679" s="1">
        <v>0.20547172799999999</v>
      </c>
      <c r="AB679" s="1">
        <v>6.4769759999999997E-3</v>
      </c>
      <c r="AD679" s="1">
        <v>0.51420895522388099</v>
      </c>
      <c r="AE679" s="1">
        <v>0.46</v>
      </c>
      <c r="AF679" s="1">
        <v>0.18721216800000001</v>
      </c>
      <c r="AG679" s="1">
        <v>1.8259560000000001E-2</v>
      </c>
      <c r="AW679" s="1">
        <v>6.1324559999999997E-3</v>
      </c>
      <c r="AY679" s="1">
        <v>2.4116400000000001E-3</v>
      </c>
      <c r="BA679" s="1">
        <v>6.6561263999999995E-2</v>
      </c>
      <c r="BD679" s="1">
        <v>3.169584E-3</v>
      </c>
      <c r="BG679" s="1">
        <v>2.1566952E-2</v>
      </c>
      <c r="BT679" s="1">
        <v>1.3780800000000001E-4</v>
      </c>
      <c r="BZ679" s="1">
        <v>7.4416320000000001E-3</v>
      </c>
      <c r="CB679" s="1">
        <v>5.8223880000000004E-3</v>
      </c>
      <c r="CK679" s="1">
        <v>1.412532E-3</v>
      </c>
      <c r="CM679" s="1">
        <v>1.5641208E-2</v>
      </c>
      <c r="CV679" s="1">
        <v>1.515888E-3</v>
      </c>
      <c r="CX679" s="1">
        <v>7.5794399999999998E-4</v>
      </c>
      <c r="DN679" s="1">
        <v>4.8232800000000002E-4</v>
      </c>
      <c r="DT679" s="1">
        <v>5.5123200000000002E-4</v>
      </c>
      <c r="EH679" s="1">
        <v>4.2720479999999996E-3</v>
      </c>
      <c r="ET679" s="1">
        <v>7.5105359999999999E-3</v>
      </c>
      <c r="EX679" s="1">
        <v>1.1644776000000001E-2</v>
      </c>
      <c r="FA679" s="1">
        <v>5.5812240000000001E-3</v>
      </c>
      <c r="FB679" s="1">
        <v>6.2013599999999997E-4</v>
      </c>
      <c r="FE679" s="1">
        <v>8.9575199999999994E-2</v>
      </c>
      <c r="FJ679" s="1">
        <v>2.1360239999999998E-3</v>
      </c>
      <c r="FM679" s="1">
        <v>8.3098223999999998E-2</v>
      </c>
    </row>
    <row r="680" spans="1:169" x14ac:dyDescent="0.2">
      <c r="A680" s="1" t="s">
        <v>4363</v>
      </c>
      <c r="B680" s="1" t="s">
        <v>57</v>
      </c>
      <c r="C680" s="1" t="s">
        <v>4334</v>
      </c>
      <c r="E680" s="1">
        <v>55</v>
      </c>
      <c r="F680" s="1" t="s">
        <v>4335</v>
      </c>
      <c r="H680" s="1" t="s">
        <v>4336</v>
      </c>
      <c r="I680" s="1" t="s">
        <v>7</v>
      </c>
      <c r="J680" s="1" t="s">
        <v>4337</v>
      </c>
      <c r="K680" s="1" t="s">
        <v>4338</v>
      </c>
      <c r="L680" s="1" t="s">
        <v>4337</v>
      </c>
      <c r="M680" s="1" t="s">
        <v>4362</v>
      </c>
      <c r="P680" s="1" t="s">
        <v>4295</v>
      </c>
      <c r="Q680" s="1">
        <v>1990</v>
      </c>
      <c r="R680" s="1" t="s">
        <v>4296</v>
      </c>
      <c r="S680" s="1" t="s">
        <v>27</v>
      </c>
      <c r="T680" s="38">
        <v>1</v>
      </c>
      <c r="U680" s="1">
        <v>78.8</v>
      </c>
      <c r="X680" s="1">
        <v>0.96</v>
      </c>
      <c r="Y680" s="1">
        <v>0.19890102400000001</v>
      </c>
      <c r="Z680" s="1">
        <v>7.5668191999999995E-2</v>
      </c>
      <c r="AA680" s="1">
        <v>0.33400947199999997</v>
      </c>
      <c r="AB680" s="1">
        <v>1.3181312000000001E-2</v>
      </c>
      <c r="AD680" s="1">
        <v>0.64766666666666695</v>
      </c>
      <c r="AE680" s="1">
        <v>0.7</v>
      </c>
      <c r="AF680" s="1">
        <v>0.28936710399999999</v>
      </c>
      <c r="AG680" s="1">
        <v>4.4642368000000002E-2</v>
      </c>
      <c r="AW680" s="1">
        <v>2.0704607999999999E-2</v>
      </c>
      <c r="AY680" s="1">
        <v>5.9067199999999999E-3</v>
      </c>
      <c r="BA680" s="1">
        <v>0.112352032</v>
      </c>
      <c r="BD680" s="1">
        <v>1.0694271999999999E-2</v>
      </c>
      <c r="BG680" s="1">
        <v>4.9243391999999997E-2</v>
      </c>
      <c r="BT680" s="1">
        <v>1.430048E-3</v>
      </c>
      <c r="BZ680" s="1">
        <v>1.8093215999999999E-2</v>
      </c>
      <c r="CB680" s="1">
        <v>2.4497344000000001E-2</v>
      </c>
      <c r="CK680" s="1">
        <v>6.652832E-3</v>
      </c>
      <c r="CM680" s="1">
        <v>1.7471456E-2</v>
      </c>
      <c r="CV680" s="1">
        <v>6.2797759999999999E-3</v>
      </c>
      <c r="CX680" s="1">
        <v>1.2435199999999999E-3</v>
      </c>
      <c r="DN680" s="1">
        <v>1.86528E-3</v>
      </c>
      <c r="ET680" s="1">
        <v>8.0828800000000006E-3</v>
      </c>
      <c r="EX680" s="1">
        <v>3.5813376000000001E-2</v>
      </c>
      <c r="FA680" s="1">
        <v>6.9637120000000004E-3</v>
      </c>
      <c r="FB680" s="1">
        <v>1.8093215999999999E-2</v>
      </c>
      <c r="FE680" s="1">
        <v>0.100849472</v>
      </c>
      <c r="FJ680" s="1">
        <v>1.3803072E-2</v>
      </c>
      <c r="FM680" s="1">
        <v>0.14853846400000001</v>
      </c>
    </row>
    <row r="681" spans="1:169" x14ac:dyDescent="0.2">
      <c r="A681" s="1" t="s">
        <v>4364</v>
      </c>
      <c r="B681" s="1" t="s">
        <v>1911</v>
      </c>
      <c r="C681" s="1" t="s">
        <v>4346</v>
      </c>
      <c r="E681" s="1">
        <v>42</v>
      </c>
      <c r="F681" s="1" t="s">
        <v>3797</v>
      </c>
      <c r="H681" s="1" t="s">
        <v>4365</v>
      </c>
      <c r="I681" s="1" t="s">
        <v>11</v>
      </c>
      <c r="J681" s="1" t="s">
        <v>3799</v>
      </c>
      <c r="K681" s="1" t="s">
        <v>3800</v>
      </c>
      <c r="L681" s="1" t="s">
        <v>3799</v>
      </c>
      <c r="M681" s="1" t="s">
        <v>4362</v>
      </c>
      <c r="P681" s="1" t="s">
        <v>4343</v>
      </c>
      <c r="Q681" s="1">
        <v>1990</v>
      </c>
      <c r="R681" s="1" t="s">
        <v>4296</v>
      </c>
      <c r="S681" s="1" t="s">
        <v>27</v>
      </c>
      <c r="T681" s="38">
        <v>1</v>
      </c>
      <c r="U681" s="1">
        <v>77.599999999999994</v>
      </c>
      <c r="X681" s="1">
        <v>1.22</v>
      </c>
      <c r="Y681" s="1">
        <v>0.177234688</v>
      </c>
      <c r="Z681" s="1">
        <v>0.19599440800000001</v>
      </c>
      <c r="AA681" s="1">
        <v>0.49945521199999998</v>
      </c>
      <c r="AB681" s="1">
        <v>2.0635692000000001E-2</v>
      </c>
      <c r="AD681" s="1">
        <v>0.73222950819672095</v>
      </c>
      <c r="AE681" s="1">
        <v>0.8</v>
      </c>
      <c r="AF681" s="1">
        <v>0.44112141599999999</v>
      </c>
      <c r="AG681" s="1">
        <v>5.8333796E-2</v>
      </c>
      <c r="AW681" s="1">
        <v>2.5012960000000001E-3</v>
      </c>
      <c r="AY681" s="1">
        <v>5.8959119999999997E-3</v>
      </c>
      <c r="BA681" s="1">
        <v>0.119794212</v>
      </c>
      <c r="BD681" s="1">
        <v>9.201196E-3</v>
      </c>
      <c r="BG681" s="1">
        <v>3.9842071999999999E-2</v>
      </c>
      <c r="BT681" s="1">
        <v>4.4666000000000003E-3</v>
      </c>
      <c r="BZ681" s="1">
        <v>4.3058024E-2</v>
      </c>
      <c r="CB681" s="1">
        <v>1.3489131999999999E-2</v>
      </c>
      <c r="CD681" s="1">
        <v>6.2532400000000002E-3</v>
      </c>
      <c r="CK681" s="1">
        <v>7.3430904000000005E-2</v>
      </c>
      <c r="CM681" s="1">
        <v>4.3415351999999997E-2</v>
      </c>
      <c r="CU681" s="1">
        <v>2.4119639999999999E-3</v>
      </c>
      <c r="CV681" s="1">
        <v>3.1266200000000001E-3</v>
      </c>
      <c r="CX681" s="1">
        <v>6.3425720000000003E-3</v>
      </c>
      <c r="DN681" s="1">
        <v>6.9678960000000003E-3</v>
      </c>
      <c r="DT681" s="1">
        <v>5.7172480000000003E-3</v>
      </c>
      <c r="EH681" s="1">
        <v>1.1613159999999999E-3</v>
      </c>
      <c r="EX681" s="1">
        <v>4.0288732000000001E-2</v>
      </c>
      <c r="FA681" s="1">
        <v>5.2705879999999997E-3</v>
      </c>
      <c r="FB681" s="1">
        <v>1.697308E-3</v>
      </c>
      <c r="FE681" s="1">
        <v>0.29747556000000003</v>
      </c>
      <c r="FJ681" s="1">
        <v>1.384646E-2</v>
      </c>
      <c r="FM681" s="1">
        <v>0.12694077200000001</v>
      </c>
    </row>
    <row r="682" spans="1:169" x14ac:dyDescent="0.2">
      <c r="A682" s="1" t="s">
        <v>4366</v>
      </c>
      <c r="B682" s="1" t="s">
        <v>1911</v>
      </c>
      <c r="C682" s="1" t="s">
        <v>4341</v>
      </c>
      <c r="E682" s="1">
        <v>45</v>
      </c>
      <c r="F682" s="1" t="s">
        <v>4348</v>
      </c>
      <c r="H682" s="1" t="s">
        <v>4349</v>
      </c>
      <c r="I682" s="1" t="s">
        <v>11</v>
      </c>
      <c r="J682" s="1" t="s">
        <v>4350</v>
      </c>
      <c r="K682" s="1" t="s">
        <v>4351</v>
      </c>
      <c r="L682" s="1" t="s">
        <v>4350</v>
      </c>
      <c r="M682" s="1" t="s">
        <v>4362</v>
      </c>
      <c r="P682" s="1" t="s">
        <v>4343</v>
      </c>
      <c r="Q682" s="1">
        <v>1990</v>
      </c>
      <c r="R682" s="1" t="s">
        <v>4296</v>
      </c>
      <c r="S682" s="1" t="s">
        <v>27</v>
      </c>
      <c r="T682" s="38">
        <v>1</v>
      </c>
      <c r="U682" s="1">
        <v>77.8</v>
      </c>
      <c r="X682" s="1">
        <v>1.26</v>
      </c>
      <c r="Y682" s="1">
        <v>0.223015464</v>
      </c>
      <c r="Z682" s="1">
        <v>0.24649077599999999</v>
      </c>
      <c r="AA682" s="1">
        <v>6.1482960000000001E-3</v>
      </c>
      <c r="AB682" s="1">
        <v>3.0368856E-2</v>
      </c>
      <c r="AD682" s="1">
        <v>0.73933333333333295</v>
      </c>
      <c r="AE682" s="1">
        <v>0.87</v>
      </c>
      <c r="AF682" s="1">
        <v>0.39712402800000002</v>
      </c>
      <c r="AG682" s="1">
        <v>3.4560875999999997E-2</v>
      </c>
      <c r="AW682" s="1">
        <v>1.3787087999999999E-2</v>
      </c>
      <c r="AY682" s="1">
        <v>3.72624E-3</v>
      </c>
      <c r="BA682" s="1">
        <v>0.17476065599999999</v>
      </c>
      <c r="BD682" s="1">
        <v>5.4962040000000002E-3</v>
      </c>
      <c r="BG682" s="1">
        <v>2.3847936E-2</v>
      </c>
      <c r="BT682" s="1">
        <v>8.7566640000000008E-3</v>
      </c>
      <c r="BX682" s="1">
        <v>2.0494319999999999E-3</v>
      </c>
      <c r="BZ682" s="1">
        <v>3.9218676000000001E-2</v>
      </c>
      <c r="CB682" s="1">
        <v>7.2661679999999999E-3</v>
      </c>
      <c r="CK682" s="1">
        <v>0.122313828</v>
      </c>
      <c r="CM682" s="1">
        <v>5.1981048000000002E-2</v>
      </c>
      <c r="CU682" s="1">
        <v>9.5019119999999995E-3</v>
      </c>
      <c r="CV682" s="1">
        <v>3.1673040000000001E-3</v>
      </c>
      <c r="CX682" s="1">
        <v>0.43168490399999998</v>
      </c>
      <c r="DN682" s="1">
        <v>3.72624E-3</v>
      </c>
      <c r="EH682" s="1">
        <v>2.980992E-3</v>
      </c>
      <c r="EX682" s="1">
        <v>2.3847936E-2</v>
      </c>
      <c r="EY682" s="1">
        <v>1.39734E-3</v>
      </c>
      <c r="FA682" s="1">
        <v>4.5646439999999996E-3</v>
      </c>
      <c r="FB682" s="1">
        <v>4.5646439999999996E-3</v>
      </c>
      <c r="FE682" s="1">
        <v>0.20466373199999999</v>
      </c>
      <c r="FJ682" s="1">
        <v>8.0114160000000004E-3</v>
      </c>
      <c r="FM682" s="1">
        <v>0.171779664</v>
      </c>
    </row>
    <row r="683" spans="1:169" x14ac:dyDescent="0.2">
      <c r="A683" s="1" t="s">
        <v>4367</v>
      </c>
      <c r="B683" s="1" t="s">
        <v>57</v>
      </c>
      <c r="C683" s="1" t="s">
        <v>4368</v>
      </c>
      <c r="D683" s="1" t="s">
        <v>4</v>
      </c>
      <c r="E683" s="1">
        <v>57</v>
      </c>
      <c r="F683" s="1" t="s">
        <v>1922</v>
      </c>
      <c r="H683" s="1" t="s">
        <v>4369</v>
      </c>
      <c r="I683" s="1" t="s">
        <v>7</v>
      </c>
      <c r="J683" s="1" t="s">
        <v>1924</v>
      </c>
      <c r="K683" s="1" t="s">
        <v>1925</v>
      </c>
      <c r="L683" s="1" t="s">
        <v>1924</v>
      </c>
      <c r="P683" s="1" t="s">
        <v>4370</v>
      </c>
      <c r="Q683" s="1">
        <v>2010</v>
      </c>
      <c r="R683" s="1" t="s">
        <v>4371</v>
      </c>
      <c r="S683" s="1" t="s">
        <v>27</v>
      </c>
      <c r="T683" s="38">
        <v>1</v>
      </c>
      <c r="U683" s="1">
        <v>86.03</v>
      </c>
      <c r="V683" s="1">
        <v>0.65</v>
      </c>
      <c r="Y683" s="1">
        <v>0.18873200000000001</v>
      </c>
      <c r="Z683" s="1">
        <v>3.7095599999999999E-2</v>
      </c>
      <c r="AA683" s="1">
        <v>9.8596199999999995E-2</v>
      </c>
      <c r="AD683" s="1">
        <v>0.50061538461538502</v>
      </c>
      <c r="AF683" s="1">
        <v>5.6294200000000003E-2</v>
      </c>
      <c r="AG683" s="1">
        <v>3.4492399999999999E-2</v>
      </c>
      <c r="AU683" s="1">
        <v>6.5079999999999999E-4</v>
      </c>
      <c r="AW683" s="1">
        <v>7.4841999999999999E-3</v>
      </c>
      <c r="BA683" s="1">
        <v>0.11942179999999999</v>
      </c>
      <c r="BD683" s="1">
        <v>1.9524E-3</v>
      </c>
      <c r="BG683" s="1">
        <v>5.4341800000000003E-2</v>
      </c>
      <c r="BJ683" s="1">
        <v>5.8571999999999999E-3</v>
      </c>
      <c r="BS683" s="1">
        <v>5.8571999999999999E-3</v>
      </c>
      <c r="CA683" s="1">
        <v>1.75716E-2</v>
      </c>
      <c r="CF683" s="1">
        <v>3.2539999999999999E-4</v>
      </c>
      <c r="CI683" s="1">
        <v>5.5317999999999999E-3</v>
      </c>
      <c r="CJ683" s="1">
        <v>2.9286E-3</v>
      </c>
      <c r="CV683" s="1">
        <v>4.8809999999999999E-3</v>
      </c>
      <c r="DE683" s="1">
        <v>3.2539999999999999E-4</v>
      </c>
      <c r="DK683" s="1">
        <v>1.36668E-2</v>
      </c>
      <c r="DM683" s="1">
        <v>4.2301999999999999E-3</v>
      </c>
      <c r="DY683" s="1">
        <v>1.627E-3</v>
      </c>
      <c r="ED683" s="1">
        <v>1.04128E-2</v>
      </c>
      <c r="EH683" s="1">
        <v>5.2063999999999999E-3</v>
      </c>
      <c r="EX683" s="1">
        <v>6.1825999999999999E-3</v>
      </c>
      <c r="FE683" s="1">
        <v>1.91986E-2</v>
      </c>
      <c r="FM683" s="1">
        <v>3.1889199999999999E-2</v>
      </c>
    </row>
    <row r="684" spans="1:169" x14ac:dyDescent="0.2">
      <c r="A684" s="1" t="s">
        <v>4372</v>
      </c>
      <c r="B684" s="1" t="s">
        <v>55</v>
      </c>
      <c r="C684" s="1" t="s">
        <v>4373</v>
      </c>
      <c r="E684" s="1">
        <v>13</v>
      </c>
      <c r="F684" s="1" t="s">
        <v>4374</v>
      </c>
      <c r="G684" s="1" t="s">
        <v>4375</v>
      </c>
      <c r="H684" s="1" t="s">
        <v>4376</v>
      </c>
      <c r="I684" s="1" t="s">
        <v>7</v>
      </c>
      <c r="J684" s="1" t="s">
        <v>4377</v>
      </c>
      <c r="L684" s="1" t="s">
        <v>4377</v>
      </c>
      <c r="P684" s="1" t="s">
        <v>4378</v>
      </c>
      <c r="Q684" s="1">
        <v>2007</v>
      </c>
      <c r="R684" s="1" t="s">
        <v>4379</v>
      </c>
      <c r="S684" s="1" t="s">
        <v>27</v>
      </c>
      <c r="T684" s="38">
        <v>1</v>
      </c>
    </row>
    <row r="685" spans="1:169" x14ac:dyDescent="0.2">
      <c r="A685" s="1" t="s">
        <v>4380</v>
      </c>
      <c r="B685" s="1" t="s">
        <v>55</v>
      </c>
      <c r="C685" s="1" t="s">
        <v>4373</v>
      </c>
      <c r="E685" s="1">
        <v>33</v>
      </c>
      <c r="F685" s="1" t="s">
        <v>4381</v>
      </c>
      <c r="G685" s="1" t="s">
        <v>4382</v>
      </c>
      <c r="H685" s="1" t="s">
        <v>4376</v>
      </c>
      <c r="I685" s="1" t="s">
        <v>7</v>
      </c>
      <c r="J685" s="1" t="s">
        <v>4383</v>
      </c>
      <c r="K685" s="1" t="s">
        <v>4384</v>
      </c>
      <c r="L685" s="1" t="s">
        <v>4385</v>
      </c>
      <c r="P685" s="1" t="s">
        <v>4378</v>
      </c>
      <c r="Q685" s="1">
        <v>2007</v>
      </c>
      <c r="R685" s="1" t="s">
        <v>4379</v>
      </c>
      <c r="S685" s="1" t="s">
        <v>27</v>
      </c>
      <c r="T685" s="38">
        <v>1</v>
      </c>
    </row>
    <row r="686" spans="1:169" x14ac:dyDescent="0.2">
      <c r="A686" s="1" t="s">
        <v>4386</v>
      </c>
      <c r="B686" s="1" t="s">
        <v>55</v>
      </c>
      <c r="C686" s="1" t="s">
        <v>4373</v>
      </c>
      <c r="E686" s="1">
        <v>11</v>
      </c>
      <c r="F686" s="1" t="s">
        <v>4387</v>
      </c>
      <c r="G686" s="1" t="s">
        <v>4388</v>
      </c>
      <c r="H686" s="1" t="s">
        <v>4389</v>
      </c>
      <c r="I686" s="1" t="s">
        <v>7</v>
      </c>
      <c r="J686" s="1" t="s">
        <v>4390</v>
      </c>
      <c r="K686" s="1" t="s">
        <v>4391</v>
      </c>
      <c r="L686" s="1" t="s">
        <v>4390</v>
      </c>
      <c r="P686" s="1" t="s">
        <v>4378</v>
      </c>
      <c r="Q686" s="1">
        <v>2007</v>
      </c>
      <c r="R686" s="1" t="s">
        <v>4379</v>
      </c>
      <c r="S686" s="1" t="s">
        <v>27</v>
      </c>
      <c r="T686" s="38">
        <v>1</v>
      </c>
    </row>
    <row r="687" spans="1:169" x14ac:dyDescent="0.2">
      <c r="A687" s="1" t="s">
        <v>4392</v>
      </c>
      <c r="B687" s="1" t="s">
        <v>55</v>
      </c>
      <c r="C687" s="1" t="s">
        <v>4373</v>
      </c>
      <c r="E687" s="1">
        <v>13</v>
      </c>
      <c r="F687" s="1" t="s">
        <v>4393</v>
      </c>
      <c r="G687" s="1" t="s">
        <v>4394</v>
      </c>
      <c r="H687" s="1" t="s">
        <v>4395</v>
      </c>
      <c r="I687" s="1" t="s">
        <v>7</v>
      </c>
      <c r="J687" s="1" t="s">
        <v>4396</v>
      </c>
      <c r="K687" s="1" t="s">
        <v>4397</v>
      </c>
      <c r="L687" s="1" t="s">
        <v>4396</v>
      </c>
      <c r="P687" s="1" t="s">
        <v>4378</v>
      </c>
      <c r="Q687" s="1">
        <v>2007</v>
      </c>
      <c r="R687" s="1" t="s">
        <v>4379</v>
      </c>
      <c r="S687" s="1" t="s">
        <v>27</v>
      </c>
      <c r="T687" s="38">
        <v>1</v>
      </c>
    </row>
    <row r="688" spans="1:169" x14ac:dyDescent="0.2">
      <c r="A688" s="1" t="s">
        <v>4398</v>
      </c>
      <c r="B688" s="1" t="s">
        <v>55</v>
      </c>
      <c r="C688" s="1" t="s">
        <v>4373</v>
      </c>
      <c r="E688" s="1">
        <v>11</v>
      </c>
      <c r="F688" s="1" t="s">
        <v>4399</v>
      </c>
      <c r="G688" s="1" t="s">
        <v>4400</v>
      </c>
      <c r="H688" s="1" t="s">
        <v>4376</v>
      </c>
      <c r="I688" s="1" t="s">
        <v>7</v>
      </c>
      <c r="J688" s="1" t="s">
        <v>4401</v>
      </c>
      <c r="L688" s="1" t="s">
        <v>4401</v>
      </c>
      <c r="P688" s="1" t="s">
        <v>4378</v>
      </c>
      <c r="Q688" s="1">
        <v>2007</v>
      </c>
      <c r="R688" s="1" t="s">
        <v>4379</v>
      </c>
      <c r="S688" s="1" t="s">
        <v>27</v>
      </c>
      <c r="T688" s="38">
        <v>1</v>
      </c>
    </row>
    <row r="689" spans="1:170" x14ac:dyDescent="0.2">
      <c r="A689" s="1" t="s">
        <v>4402</v>
      </c>
      <c r="B689" s="1" t="s">
        <v>55</v>
      </c>
      <c r="C689" s="1" t="s">
        <v>4373</v>
      </c>
      <c r="E689" s="1">
        <v>11</v>
      </c>
      <c r="F689" s="1" t="s">
        <v>4403</v>
      </c>
      <c r="G689" s="1" t="s">
        <v>4404</v>
      </c>
      <c r="H689" s="1" t="s">
        <v>4405</v>
      </c>
      <c r="I689" s="1" t="s">
        <v>7</v>
      </c>
      <c r="J689" s="1" t="s">
        <v>4406</v>
      </c>
      <c r="K689" s="1" t="s">
        <v>4407</v>
      </c>
      <c r="L689" s="1" t="s">
        <v>4406</v>
      </c>
      <c r="P689" s="1" t="s">
        <v>4378</v>
      </c>
      <c r="Q689" s="1">
        <v>2007</v>
      </c>
      <c r="R689" s="1" t="s">
        <v>4379</v>
      </c>
      <c r="S689" s="1" t="s">
        <v>27</v>
      </c>
      <c r="T689" s="38">
        <v>1</v>
      </c>
    </row>
    <row r="690" spans="1:170" x14ac:dyDescent="0.2">
      <c r="A690" s="1" t="s">
        <v>4408</v>
      </c>
      <c r="B690" s="1" t="s">
        <v>55</v>
      </c>
      <c r="C690" s="1" t="s">
        <v>4373</v>
      </c>
      <c r="E690" s="1">
        <v>13</v>
      </c>
      <c r="F690" s="1" t="s">
        <v>4409</v>
      </c>
      <c r="G690" s="1" t="s">
        <v>4410</v>
      </c>
      <c r="H690" s="1" t="s">
        <v>4411</v>
      </c>
      <c r="I690" s="1" t="s">
        <v>7</v>
      </c>
      <c r="J690" s="1" t="s">
        <v>4412</v>
      </c>
      <c r="K690" s="1" t="s">
        <v>4413</v>
      </c>
      <c r="L690" s="1" t="s">
        <v>4414</v>
      </c>
      <c r="P690" s="1" t="s">
        <v>4378</v>
      </c>
      <c r="Q690" s="1">
        <v>2007</v>
      </c>
      <c r="R690" s="1" t="s">
        <v>4379</v>
      </c>
      <c r="S690" s="1" t="s">
        <v>27</v>
      </c>
      <c r="T690" s="38">
        <v>1</v>
      </c>
    </row>
    <row r="691" spans="1:170" x14ac:dyDescent="0.2">
      <c r="A691" s="1" t="s">
        <v>4415</v>
      </c>
      <c r="B691" s="1" t="s">
        <v>55</v>
      </c>
      <c r="C691" s="1" t="s">
        <v>4373</v>
      </c>
      <c r="E691" s="1">
        <v>11</v>
      </c>
      <c r="F691" s="1" t="s">
        <v>2131</v>
      </c>
      <c r="H691" s="1" t="s">
        <v>4416</v>
      </c>
      <c r="I691" s="1" t="s">
        <v>7</v>
      </c>
      <c r="J691" s="1" t="s">
        <v>4417</v>
      </c>
      <c r="L691" s="1" t="s">
        <v>4417</v>
      </c>
      <c r="P691" s="1" t="s">
        <v>4378</v>
      </c>
      <c r="Q691" s="1">
        <v>2007</v>
      </c>
      <c r="R691" s="1" t="s">
        <v>4379</v>
      </c>
      <c r="S691" s="1" t="s">
        <v>27</v>
      </c>
      <c r="T691" s="38">
        <v>1</v>
      </c>
    </row>
    <row r="692" spans="1:170" x14ac:dyDescent="0.2">
      <c r="A692" s="1" t="s">
        <v>4418</v>
      </c>
      <c r="B692" s="1" t="s">
        <v>55</v>
      </c>
      <c r="C692" s="1" t="s">
        <v>4373</v>
      </c>
      <c r="E692" s="1">
        <v>11</v>
      </c>
      <c r="F692" s="1" t="s">
        <v>1312</v>
      </c>
      <c r="H692" s="1" t="s">
        <v>4419</v>
      </c>
      <c r="I692" s="1" t="s">
        <v>7</v>
      </c>
      <c r="J692" s="1" t="s">
        <v>4420</v>
      </c>
      <c r="K692" s="1" t="s">
        <v>1315</v>
      </c>
      <c r="L692" s="1" t="s">
        <v>1314</v>
      </c>
      <c r="P692" s="1" t="s">
        <v>4378</v>
      </c>
      <c r="Q692" s="1">
        <v>2007</v>
      </c>
      <c r="R692" s="1" t="s">
        <v>4379</v>
      </c>
      <c r="S692" s="1" t="s">
        <v>27</v>
      </c>
      <c r="T692" s="38">
        <v>1</v>
      </c>
    </row>
    <row r="693" spans="1:170" x14ac:dyDescent="0.2">
      <c r="A693" s="1" t="s">
        <v>4421</v>
      </c>
      <c r="B693" s="1" t="s">
        <v>55</v>
      </c>
      <c r="C693" s="1" t="s">
        <v>4422</v>
      </c>
      <c r="E693" s="1">
        <v>11</v>
      </c>
      <c r="F693" s="1" t="s">
        <v>4423</v>
      </c>
      <c r="G693" s="1" t="s">
        <v>4424</v>
      </c>
      <c r="H693" s="1" t="s">
        <v>4376</v>
      </c>
      <c r="I693" s="1" t="s">
        <v>7</v>
      </c>
      <c r="J693" s="1" t="s">
        <v>4425</v>
      </c>
      <c r="L693" s="1" t="s">
        <v>4426</v>
      </c>
      <c r="P693" s="1" t="s">
        <v>4378</v>
      </c>
      <c r="Q693" s="1">
        <v>2007</v>
      </c>
      <c r="R693" s="1" t="s">
        <v>4379</v>
      </c>
      <c r="S693" s="1" t="s">
        <v>27</v>
      </c>
      <c r="T693" s="38">
        <v>1</v>
      </c>
    </row>
    <row r="694" spans="1:170" x14ac:dyDescent="0.2">
      <c r="A694" s="1" t="s">
        <v>4427</v>
      </c>
      <c r="B694" s="1" t="s">
        <v>55</v>
      </c>
      <c r="C694" s="1" t="s">
        <v>4422</v>
      </c>
      <c r="E694" s="1">
        <v>11</v>
      </c>
      <c r="G694" s="1" t="s">
        <v>4428</v>
      </c>
      <c r="H694" s="1" t="s">
        <v>4376</v>
      </c>
      <c r="I694" s="1" t="s">
        <v>7</v>
      </c>
      <c r="J694" s="1" t="s">
        <v>4429</v>
      </c>
      <c r="P694" s="1" t="s">
        <v>4378</v>
      </c>
      <c r="Q694" s="1">
        <v>2007</v>
      </c>
      <c r="R694" s="1" t="s">
        <v>4379</v>
      </c>
      <c r="S694" s="1" t="s">
        <v>27</v>
      </c>
      <c r="T694" s="38">
        <v>1</v>
      </c>
    </row>
    <row r="695" spans="1:170" x14ac:dyDescent="0.2">
      <c r="A695" s="1" t="s">
        <v>4430</v>
      </c>
      <c r="B695" s="1" t="s">
        <v>55</v>
      </c>
      <c r="C695" s="1" t="s">
        <v>4422</v>
      </c>
      <c r="E695" s="1">
        <v>33</v>
      </c>
      <c r="F695" s="1" t="s">
        <v>4381</v>
      </c>
      <c r="G695" s="1" t="s">
        <v>4431</v>
      </c>
      <c r="H695" s="1" t="s">
        <v>4376</v>
      </c>
      <c r="I695" s="1" t="s">
        <v>7</v>
      </c>
      <c r="J695" s="1" t="s">
        <v>4432</v>
      </c>
      <c r="K695" s="1" t="s">
        <v>4384</v>
      </c>
      <c r="L695" s="1" t="s">
        <v>4385</v>
      </c>
      <c r="P695" s="1" t="s">
        <v>4378</v>
      </c>
      <c r="Q695" s="1">
        <v>2007</v>
      </c>
      <c r="R695" s="1" t="s">
        <v>4379</v>
      </c>
      <c r="S695" s="1" t="s">
        <v>27</v>
      </c>
      <c r="T695" s="38">
        <v>1</v>
      </c>
    </row>
    <row r="696" spans="1:170" x14ac:dyDescent="0.2">
      <c r="A696" s="1" t="s">
        <v>4433</v>
      </c>
      <c r="B696" s="1" t="s">
        <v>55</v>
      </c>
      <c r="C696" s="1" t="s">
        <v>4422</v>
      </c>
      <c r="E696" s="1">
        <v>11</v>
      </c>
      <c r="F696" s="1" t="s">
        <v>1720</v>
      </c>
      <c r="G696" s="1" t="s">
        <v>4434</v>
      </c>
      <c r="H696" s="1" t="s">
        <v>4376</v>
      </c>
      <c r="I696" s="1" t="s">
        <v>7</v>
      </c>
      <c r="J696" s="1" t="s">
        <v>4435</v>
      </c>
      <c r="K696" s="1" t="s">
        <v>2787</v>
      </c>
      <c r="L696" s="1" t="s">
        <v>1724</v>
      </c>
      <c r="P696" s="1" t="s">
        <v>4378</v>
      </c>
      <c r="Q696" s="1">
        <v>2007</v>
      </c>
      <c r="R696" s="1" t="s">
        <v>4379</v>
      </c>
      <c r="S696" s="1" t="s">
        <v>27</v>
      </c>
      <c r="T696" s="38">
        <v>1</v>
      </c>
    </row>
    <row r="697" spans="1:170" x14ac:dyDescent="0.2">
      <c r="A697" s="1" t="s">
        <v>4436</v>
      </c>
      <c r="B697" s="1" t="s">
        <v>55</v>
      </c>
      <c r="C697" s="1" t="s">
        <v>4422</v>
      </c>
      <c r="E697" s="1">
        <v>13</v>
      </c>
      <c r="F697" s="1" t="s">
        <v>4437</v>
      </c>
      <c r="H697" s="1" t="s">
        <v>4438</v>
      </c>
      <c r="I697" s="1" t="s">
        <v>7</v>
      </c>
      <c r="J697" s="1" t="s">
        <v>4439</v>
      </c>
      <c r="K697" s="1" t="s">
        <v>4440</v>
      </c>
      <c r="L697" s="1" t="s">
        <v>4439</v>
      </c>
      <c r="P697" s="1" t="s">
        <v>4378</v>
      </c>
      <c r="Q697" s="1">
        <v>2007</v>
      </c>
      <c r="R697" s="1" t="s">
        <v>4379</v>
      </c>
      <c r="S697" s="1" t="s">
        <v>27</v>
      </c>
      <c r="T697" s="38">
        <v>1</v>
      </c>
    </row>
    <row r="698" spans="1:170" x14ac:dyDescent="0.2">
      <c r="A698" s="1" t="s">
        <v>4441</v>
      </c>
      <c r="B698" s="1" t="s">
        <v>55</v>
      </c>
      <c r="C698" s="1" t="s">
        <v>4422</v>
      </c>
      <c r="E698" s="1">
        <v>13</v>
      </c>
      <c r="F698" s="1" t="s">
        <v>2440</v>
      </c>
      <c r="H698" s="1" t="s">
        <v>4442</v>
      </c>
      <c r="I698" s="1" t="s">
        <v>7</v>
      </c>
      <c r="J698" s="1" t="s">
        <v>2444</v>
      </c>
      <c r="L698" s="1" t="s">
        <v>2444</v>
      </c>
      <c r="P698" s="1" t="s">
        <v>4378</v>
      </c>
      <c r="Q698" s="1">
        <v>2007</v>
      </c>
      <c r="R698" s="1" t="s">
        <v>4379</v>
      </c>
      <c r="S698" s="1" t="s">
        <v>27</v>
      </c>
      <c r="T698" s="38">
        <v>1</v>
      </c>
    </row>
    <row r="699" spans="1:170" x14ac:dyDescent="0.2">
      <c r="A699" s="1" t="s">
        <v>4443</v>
      </c>
      <c r="B699" s="1" t="s">
        <v>55</v>
      </c>
      <c r="C699" s="1" t="s">
        <v>4444</v>
      </c>
      <c r="D699" s="1" t="s">
        <v>2</v>
      </c>
      <c r="E699" s="1">
        <v>23</v>
      </c>
      <c r="F699" s="1" t="s">
        <v>1471</v>
      </c>
      <c r="H699" s="1" t="s">
        <v>4445</v>
      </c>
      <c r="I699" s="1" t="s">
        <v>7</v>
      </c>
      <c r="J699" s="1" t="s">
        <v>1473</v>
      </c>
      <c r="K699" s="1" t="s">
        <v>1474</v>
      </c>
      <c r="L699" s="1" t="s">
        <v>1473</v>
      </c>
      <c r="M699" s="1" t="s">
        <v>4446</v>
      </c>
      <c r="N699" s="1" t="s">
        <v>4447</v>
      </c>
      <c r="P699" s="1" t="s">
        <v>1269</v>
      </c>
      <c r="Q699" s="1">
        <v>2007</v>
      </c>
      <c r="R699" s="1" t="s">
        <v>4448</v>
      </c>
      <c r="S699" s="1" t="s">
        <v>23</v>
      </c>
      <c r="T699" s="38">
        <v>1</v>
      </c>
      <c r="U699" s="1" t="s">
        <v>4449</v>
      </c>
      <c r="W699" s="1" t="s">
        <v>4357</v>
      </c>
      <c r="Y699" s="1">
        <v>0.77973912499999998</v>
      </c>
      <c r="Z699" s="1">
        <v>0.70065848600000002</v>
      </c>
      <c r="AD699" s="1">
        <v>0.87109523809523803</v>
      </c>
      <c r="AF699" s="1">
        <v>0.35105364579999998</v>
      </c>
      <c r="AG699" s="1">
        <v>0.180698254</v>
      </c>
      <c r="AW699" s="1">
        <v>0.14206343799999999</v>
      </c>
      <c r="BA699" s="1">
        <v>0.50889296699999997</v>
      </c>
      <c r="BG699" s="1">
        <v>0.117715455</v>
      </c>
      <c r="BI699" s="1">
        <v>1.1067265E-2</v>
      </c>
      <c r="BS699" s="1">
        <v>1.4286833000000001E-2</v>
      </c>
      <c r="CA699" s="1">
        <v>0.17124077300000001</v>
      </c>
      <c r="CQ699" s="1">
        <v>0.49903303999999998</v>
      </c>
      <c r="CZ699" s="1">
        <v>1.7103955000000001E-2</v>
      </c>
      <c r="DR699" s="1">
        <v>0.16057595399999999</v>
      </c>
      <c r="EV699" s="1">
        <v>3.0585896000000001E-2</v>
      </c>
      <c r="EZ699" s="1">
        <v>1.9921076999999999E-2</v>
      </c>
      <c r="FF699" s="1">
        <v>8.8538120000000008E-3</v>
      </c>
      <c r="FK699" s="1">
        <v>9.3166249000000007E-2</v>
      </c>
      <c r="FN699" s="1">
        <v>0.21893062399999999</v>
      </c>
    </row>
    <row r="700" spans="1:170" x14ac:dyDescent="0.2">
      <c r="A700" s="1" t="s">
        <v>4452</v>
      </c>
      <c r="B700" s="1" t="s">
        <v>55</v>
      </c>
      <c r="C700" s="1" t="s">
        <v>4444</v>
      </c>
      <c r="D700" s="1" t="s">
        <v>2</v>
      </c>
      <c r="E700" s="1">
        <v>23</v>
      </c>
      <c r="F700" s="1" t="s">
        <v>1471</v>
      </c>
      <c r="H700" s="1" t="s">
        <v>4453</v>
      </c>
      <c r="I700" s="1" t="s">
        <v>11</v>
      </c>
      <c r="J700" s="1" t="s">
        <v>1473</v>
      </c>
      <c r="K700" s="1" t="s">
        <v>1474</v>
      </c>
      <c r="L700" s="1" t="s">
        <v>1473</v>
      </c>
      <c r="M700" s="1" t="s">
        <v>4446</v>
      </c>
      <c r="N700" s="1" t="s">
        <v>4454</v>
      </c>
      <c r="P700" s="1" t="s">
        <v>1269</v>
      </c>
      <c r="Q700" s="1">
        <v>2007</v>
      </c>
      <c r="R700" s="1" t="s">
        <v>4448</v>
      </c>
      <c r="S700" s="1" t="s">
        <v>23</v>
      </c>
      <c r="T700" s="38">
        <v>1</v>
      </c>
      <c r="U700" s="1" t="s">
        <v>4455</v>
      </c>
      <c r="W700" s="1" t="s">
        <v>4457</v>
      </c>
      <c r="Y700" s="1">
        <v>1.8335134399999999</v>
      </c>
      <c r="Z700" s="1">
        <v>1.9193958600000001</v>
      </c>
      <c r="AD700" s="1">
        <v>0.90746428571428595</v>
      </c>
      <c r="AF700" s="1">
        <v>0.84561151999999995</v>
      </c>
      <c r="AG700" s="1">
        <v>0.47870555999999997</v>
      </c>
      <c r="AU700" s="1">
        <v>1.168814E-2</v>
      </c>
      <c r="AW700" s="1">
        <v>0.35267692</v>
      </c>
      <c r="BA700" s="1">
        <v>1.1993047999999999</v>
      </c>
      <c r="BG700" s="1">
        <v>0.25917180000000001</v>
      </c>
      <c r="BI700" s="1">
        <v>2.9982620000000001E-2</v>
      </c>
      <c r="BS700" s="1">
        <v>3.7605319999999998E-2</v>
      </c>
      <c r="CA700" s="1">
        <v>0.45431292000000001</v>
      </c>
      <c r="CQ700" s="1">
        <v>1.36293876</v>
      </c>
      <c r="CZ700" s="1">
        <v>1.372086E-2</v>
      </c>
      <c r="DR700" s="1">
        <v>0.39841312000000001</v>
      </c>
      <c r="EV700" s="1">
        <v>5.2850719999999997E-2</v>
      </c>
      <c r="EZ700" s="1">
        <v>8.0292440000000007E-2</v>
      </c>
      <c r="FF700" s="1">
        <v>3.3539880000000001E-2</v>
      </c>
      <c r="FK700" s="1">
        <v>0.20733744000000001</v>
      </c>
      <c r="FN700" s="1">
        <v>0.55544073999999999</v>
      </c>
    </row>
    <row r="701" spans="1:170" x14ac:dyDescent="0.2">
      <c r="A701" s="1" t="s">
        <v>4459</v>
      </c>
      <c r="B701" s="1" t="s">
        <v>55</v>
      </c>
      <c r="C701" s="1" t="s">
        <v>4444</v>
      </c>
      <c r="D701" s="1" t="s">
        <v>2</v>
      </c>
      <c r="E701" s="1">
        <v>23</v>
      </c>
      <c r="F701" s="1" t="s">
        <v>1471</v>
      </c>
      <c r="H701" s="1" t="s">
        <v>4460</v>
      </c>
      <c r="I701" s="1" t="s">
        <v>11</v>
      </c>
      <c r="J701" s="1" t="s">
        <v>1473</v>
      </c>
      <c r="K701" s="1" t="s">
        <v>1474</v>
      </c>
      <c r="L701" s="1" t="s">
        <v>1473</v>
      </c>
      <c r="M701" s="1" t="s">
        <v>4446</v>
      </c>
      <c r="N701" s="1" t="s">
        <v>4447</v>
      </c>
      <c r="P701" s="1" t="s">
        <v>1269</v>
      </c>
      <c r="Q701" s="1">
        <v>2007</v>
      </c>
      <c r="R701" s="1" t="s">
        <v>4448</v>
      </c>
      <c r="S701" s="1" t="s">
        <v>23</v>
      </c>
      <c r="T701" s="38">
        <v>1</v>
      </c>
      <c r="U701" s="1">
        <v>58.92</v>
      </c>
      <c r="W701" s="1">
        <v>7.87</v>
      </c>
      <c r="Y701" s="1">
        <v>2.5796560930000001</v>
      </c>
      <c r="Z701" s="1">
        <v>2.6559730190000002</v>
      </c>
      <c r="AD701" s="1">
        <v>0.91482973316391403</v>
      </c>
      <c r="AF701" s="1">
        <v>1.27434867</v>
      </c>
      <c r="AG701" s="1">
        <v>0.68685233400000001</v>
      </c>
      <c r="AU701" s="1">
        <v>7.0557157999999995E-2</v>
      </c>
      <c r="AW701" s="1">
        <v>0.45646161400000002</v>
      </c>
      <c r="BA701" s="1">
        <v>1.6314542860000001</v>
      </c>
      <c r="BG701" s="1">
        <v>0.38230460100000002</v>
      </c>
      <c r="BI701" s="1">
        <v>7.0557157999999995E-2</v>
      </c>
      <c r="BS701" s="1">
        <v>4.8238057000000001E-2</v>
      </c>
      <c r="CA701" s="1">
        <v>0.59757592999999998</v>
      </c>
      <c r="CQ701" s="1">
        <v>1.901443411</v>
      </c>
      <c r="CZ701" s="1">
        <v>2.3039072000000001E-2</v>
      </c>
      <c r="DR701" s="1">
        <v>0.59037622000000001</v>
      </c>
      <c r="EV701" s="1">
        <v>9.0716346000000003E-2</v>
      </c>
      <c r="EZ701" s="1">
        <v>9.6476114000000002E-2</v>
      </c>
      <c r="FF701" s="1">
        <v>4.1758318000000003E-2</v>
      </c>
      <c r="FK701" s="1">
        <v>0.32686683399999999</v>
      </c>
      <c r="FN701" s="1">
        <v>0.81500717199999995</v>
      </c>
    </row>
    <row r="702" spans="1:170" x14ac:dyDescent="0.2">
      <c r="A702" s="1" t="s">
        <v>4461</v>
      </c>
      <c r="B702" s="1" t="s">
        <v>57</v>
      </c>
      <c r="C702" s="1" t="s">
        <v>4462</v>
      </c>
      <c r="D702" s="1" t="s">
        <v>2</v>
      </c>
      <c r="E702" s="1">
        <v>56</v>
      </c>
      <c r="F702" s="1" t="s">
        <v>4463</v>
      </c>
      <c r="H702" s="1" t="s">
        <v>4464</v>
      </c>
      <c r="I702" s="1" t="s">
        <v>7</v>
      </c>
      <c r="J702" s="1" t="s">
        <v>4465</v>
      </c>
      <c r="K702" s="1" t="s">
        <v>4466</v>
      </c>
      <c r="L702" s="1" t="s">
        <v>4465</v>
      </c>
      <c r="M702" s="1" t="s">
        <v>4467</v>
      </c>
      <c r="P702" s="1" t="s">
        <v>4468</v>
      </c>
      <c r="Q702" s="1">
        <v>2011</v>
      </c>
      <c r="R702" s="1" t="s">
        <v>4469</v>
      </c>
      <c r="S702" s="1" t="s">
        <v>23</v>
      </c>
      <c r="T702" s="38">
        <v>1</v>
      </c>
      <c r="U702" s="1">
        <v>85.96</v>
      </c>
      <c r="V702" s="1">
        <v>2.25</v>
      </c>
    </row>
    <row r="703" spans="1:170" x14ac:dyDescent="0.2">
      <c r="A703" s="1" t="s">
        <v>4470</v>
      </c>
      <c r="B703" s="1" t="s">
        <v>57</v>
      </c>
      <c r="C703" s="1" t="s">
        <v>4462</v>
      </c>
      <c r="D703" s="1" t="s">
        <v>2</v>
      </c>
      <c r="E703" s="1">
        <v>56</v>
      </c>
      <c r="F703" s="1" t="s">
        <v>4463</v>
      </c>
      <c r="H703" s="1" t="s">
        <v>4464</v>
      </c>
      <c r="I703" s="1" t="s">
        <v>7</v>
      </c>
      <c r="J703" s="1" t="s">
        <v>4465</v>
      </c>
      <c r="K703" s="1" t="s">
        <v>4466</v>
      </c>
      <c r="L703" s="1" t="s">
        <v>4465</v>
      </c>
      <c r="M703" s="1" t="s">
        <v>4471</v>
      </c>
      <c r="P703" s="1" t="s">
        <v>4468</v>
      </c>
      <c r="Q703" s="1">
        <v>2011</v>
      </c>
      <c r="R703" s="1" t="s">
        <v>4469</v>
      </c>
      <c r="S703" s="1" t="s">
        <v>23</v>
      </c>
      <c r="T703" s="38">
        <v>1</v>
      </c>
      <c r="U703" s="1">
        <v>83.84</v>
      </c>
      <c r="V703" s="1">
        <v>1.71</v>
      </c>
    </row>
    <row r="704" spans="1:170" x14ac:dyDescent="0.2">
      <c r="A704" s="1" t="s">
        <v>4472</v>
      </c>
      <c r="B704" s="1" t="s">
        <v>57</v>
      </c>
      <c r="C704" s="1" t="s">
        <v>4462</v>
      </c>
      <c r="D704" s="1" t="s">
        <v>2</v>
      </c>
      <c r="E704" s="1">
        <v>56</v>
      </c>
      <c r="F704" s="1" t="s">
        <v>4463</v>
      </c>
      <c r="H704" s="1" t="s">
        <v>4464</v>
      </c>
      <c r="I704" s="1" t="s">
        <v>7</v>
      </c>
      <c r="J704" s="1" t="s">
        <v>4465</v>
      </c>
      <c r="K704" s="1" t="s">
        <v>4466</v>
      </c>
      <c r="L704" s="1" t="s">
        <v>4465</v>
      </c>
      <c r="M704" s="1" t="s">
        <v>4473</v>
      </c>
      <c r="P704" s="1" t="s">
        <v>4468</v>
      </c>
      <c r="Q704" s="1">
        <v>2011</v>
      </c>
      <c r="R704" s="1" t="s">
        <v>4469</v>
      </c>
      <c r="S704" s="1" t="s">
        <v>23</v>
      </c>
      <c r="T704" s="38">
        <v>1</v>
      </c>
      <c r="U704" s="1">
        <v>85.87</v>
      </c>
      <c r="V704" s="1">
        <v>0.2</v>
      </c>
    </row>
    <row r="705" spans="1:170" x14ac:dyDescent="0.2">
      <c r="A705" s="1" t="s">
        <v>4474</v>
      </c>
      <c r="B705" s="1" t="s">
        <v>57</v>
      </c>
      <c r="C705" s="1" t="s">
        <v>4462</v>
      </c>
      <c r="D705" s="1" t="s">
        <v>2</v>
      </c>
      <c r="E705" s="1">
        <v>56</v>
      </c>
      <c r="F705" s="1" t="s">
        <v>4463</v>
      </c>
      <c r="H705" s="1" t="s">
        <v>4464</v>
      </c>
      <c r="I705" s="1" t="s">
        <v>7</v>
      </c>
      <c r="J705" s="1" t="s">
        <v>4465</v>
      </c>
      <c r="K705" s="1" t="s">
        <v>4466</v>
      </c>
      <c r="L705" s="1" t="s">
        <v>4465</v>
      </c>
      <c r="M705" s="1" t="s">
        <v>2070</v>
      </c>
      <c r="P705" s="1" t="s">
        <v>4468</v>
      </c>
      <c r="Q705" s="1">
        <v>2011</v>
      </c>
      <c r="R705" s="1" t="s">
        <v>4469</v>
      </c>
      <c r="S705" s="1" t="s">
        <v>23</v>
      </c>
      <c r="T705" s="38">
        <v>1</v>
      </c>
      <c r="U705" s="1" t="s">
        <v>4475</v>
      </c>
      <c r="V705" s="1" t="s">
        <v>4477</v>
      </c>
    </row>
    <row r="706" spans="1:170" x14ac:dyDescent="0.2">
      <c r="A706" s="1" t="s">
        <v>4480</v>
      </c>
      <c r="B706" s="1" t="s">
        <v>57</v>
      </c>
      <c r="C706" s="1" t="s">
        <v>4462</v>
      </c>
      <c r="D706" s="1" t="s">
        <v>2</v>
      </c>
      <c r="E706" s="1">
        <v>56</v>
      </c>
      <c r="F706" s="1" t="s">
        <v>4463</v>
      </c>
      <c r="H706" s="1" t="s">
        <v>4464</v>
      </c>
      <c r="I706" s="1" t="s">
        <v>7</v>
      </c>
      <c r="J706" s="1" t="s">
        <v>4465</v>
      </c>
      <c r="K706" s="1" t="s">
        <v>4466</v>
      </c>
      <c r="L706" s="1" t="s">
        <v>4465</v>
      </c>
      <c r="M706" s="1" t="s">
        <v>4481</v>
      </c>
      <c r="P706" s="1" t="s">
        <v>4468</v>
      </c>
      <c r="Q706" s="1">
        <v>2011</v>
      </c>
      <c r="R706" s="1" t="s">
        <v>4469</v>
      </c>
      <c r="S706" s="1" t="s">
        <v>23</v>
      </c>
      <c r="T706" s="38">
        <v>1</v>
      </c>
      <c r="U706" s="1">
        <v>83.59</v>
      </c>
      <c r="V706" s="1">
        <v>1.22</v>
      </c>
    </row>
    <row r="707" spans="1:170" x14ac:dyDescent="0.2">
      <c r="A707" s="1" t="s">
        <v>4482</v>
      </c>
      <c r="B707" s="1" t="s">
        <v>57</v>
      </c>
      <c r="C707" s="1" t="s">
        <v>4462</v>
      </c>
      <c r="D707" s="1" t="s">
        <v>2</v>
      </c>
      <c r="E707" s="1">
        <v>56</v>
      </c>
      <c r="F707" s="1" t="s">
        <v>4463</v>
      </c>
      <c r="H707" s="1" t="s">
        <v>4464</v>
      </c>
      <c r="I707" s="1" t="s">
        <v>7</v>
      </c>
      <c r="J707" s="1" t="s">
        <v>4465</v>
      </c>
      <c r="K707" s="1" t="s">
        <v>4466</v>
      </c>
      <c r="L707" s="1" t="s">
        <v>4465</v>
      </c>
      <c r="M707" s="1" t="s">
        <v>4483</v>
      </c>
      <c r="P707" s="1" t="s">
        <v>4468</v>
      </c>
      <c r="Q707" s="1">
        <v>2011</v>
      </c>
      <c r="R707" s="1" t="s">
        <v>4469</v>
      </c>
      <c r="S707" s="1" t="s">
        <v>23</v>
      </c>
      <c r="T707" s="38">
        <v>1</v>
      </c>
      <c r="U707" s="1">
        <v>82.55</v>
      </c>
      <c r="V707" s="1">
        <v>0.53</v>
      </c>
    </row>
    <row r="708" spans="1:170" x14ac:dyDescent="0.2">
      <c r="A708" s="1" t="s">
        <v>4484</v>
      </c>
      <c r="B708" s="1" t="s">
        <v>57</v>
      </c>
      <c r="C708" s="1" t="s">
        <v>4462</v>
      </c>
      <c r="D708" s="1" t="s">
        <v>2</v>
      </c>
      <c r="E708" s="1">
        <v>56</v>
      </c>
      <c r="F708" s="1" t="s">
        <v>4463</v>
      </c>
      <c r="H708" s="1" t="s">
        <v>4464</v>
      </c>
      <c r="I708" s="1" t="s">
        <v>7</v>
      </c>
      <c r="J708" s="1" t="s">
        <v>4465</v>
      </c>
      <c r="K708" s="1" t="s">
        <v>4466</v>
      </c>
      <c r="L708" s="1" t="s">
        <v>4465</v>
      </c>
      <c r="M708" s="1" t="s">
        <v>4485</v>
      </c>
      <c r="P708" s="1" t="s">
        <v>4468</v>
      </c>
      <c r="Q708" s="1">
        <v>2011</v>
      </c>
      <c r="R708" s="1" t="s">
        <v>4469</v>
      </c>
      <c r="S708" s="1" t="s">
        <v>23</v>
      </c>
      <c r="T708" s="38">
        <v>1</v>
      </c>
      <c r="U708" s="1">
        <v>84.51</v>
      </c>
      <c r="V708" s="1">
        <v>0.87</v>
      </c>
    </row>
    <row r="709" spans="1:170" x14ac:dyDescent="0.2">
      <c r="A709" s="1" t="s">
        <v>4486</v>
      </c>
      <c r="B709" s="1" t="s">
        <v>57</v>
      </c>
      <c r="C709" s="1" t="s">
        <v>4462</v>
      </c>
      <c r="D709" s="1" t="s">
        <v>2</v>
      </c>
      <c r="E709" s="1">
        <v>56</v>
      </c>
      <c r="F709" s="1" t="s">
        <v>4463</v>
      </c>
      <c r="H709" s="1" t="s">
        <v>4464</v>
      </c>
      <c r="I709" s="1" t="s">
        <v>7</v>
      </c>
      <c r="J709" s="1" t="s">
        <v>4465</v>
      </c>
      <c r="K709" s="1" t="s">
        <v>4466</v>
      </c>
      <c r="L709" s="1" t="s">
        <v>4465</v>
      </c>
      <c r="M709" s="1" t="s">
        <v>4487</v>
      </c>
      <c r="P709" s="1" t="s">
        <v>4468</v>
      </c>
      <c r="Q709" s="1">
        <v>2011</v>
      </c>
      <c r="R709" s="1" t="s">
        <v>4469</v>
      </c>
      <c r="S709" s="1" t="s">
        <v>23</v>
      </c>
      <c r="T709" s="38">
        <v>1</v>
      </c>
      <c r="U709" s="1">
        <v>84.61</v>
      </c>
      <c r="V709" s="1">
        <v>0.72</v>
      </c>
    </row>
    <row r="710" spans="1:170" x14ac:dyDescent="0.2">
      <c r="A710" s="1" t="s">
        <v>4488</v>
      </c>
      <c r="B710" s="1" t="s">
        <v>57</v>
      </c>
      <c r="C710" s="1" t="s">
        <v>4462</v>
      </c>
      <c r="D710" s="1" t="s">
        <v>2</v>
      </c>
      <c r="E710" s="1">
        <v>56</v>
      </c>
      <c r="F710" s="1" t="s">
        <v>4463</v>
      </c>
      <c r="H710" s="1" t="s">
        <v>4464</v>
      </c>
      <c r="I710" s="1" t="s">
        <v>7</v>
      </c>
      <c r="J710" s="1" t="s">
        <v>4465</v>
      </c>
      <c r="K710" s="1" t="s">
        <v>4466</v>
      </c>
      <c r="L710" s="1" t="s">
        <v>4465</v>
      </c>
      <c r="M710" s="1" t="s">
        <v>4489</v>
      </c>
      <c r="P710" s="1" t="s">
        <v>4468</v>
      </c>
      <c r="Q710" s="1">
        <v>2011</v>
      </c>
      <c r="R710" s="1" t="s">
        <v>4469</v>
      </c>
      <c r="S710" s="1" t="s">
        <v>23</v>
      </c>
      <c r="T710" s="38">
        <v>1</v>
      </c>
      <c r="U710" s="1">
        <v>84.43</v>
      </c>
      <c r="V710" s="1">
        <v>1.23</v>
      </c>
    </row>
    <row r="711" spans="1:170" x14ac:dyDescent="0.2">
      <c r="A711" s="1" t="s">
        <v>4490</v>
      </c>
      <c r="B711" s="1" t="s">
        <v>57</v>
      </c>
      <c r="C711" s="1" t="s">
        <v>4462</v>
      </c>
      <c r="D711" s="1" t="s">
        <v>2</v>
      </c>
      <c r="E711" s="1">
        <v>56</v>
      </c>
      <c r="F711" s="1" t="s">
        <v>4463</v>
      </c>
      <c r="H711" s="1" t="s">
        <v>4464</v>
      </c>
      <c r="I711" s="1" t="s">
        <v>7</v>
      </c>
      <c r="J711" s="1" t="s">
        <v>4465</v>
      </c>
      <c r="K711" s="1" t="s">
        <v>4466</v>
      </c>
      <c r="L711" s="1" t="s">
        <v>4465</v>
      </c>
      <c r="M711" s="1" t="s">
        <v>4491</v>
      </c>
      <c r="P711" s="1" t="s">
        <v>4468</v>
      </c>
      <c r="Q711" s="1">
        <v>2011</v>
      </c>
      <c r="R711" s="1" t="s">
        <v>4469</v>
      </c>
      <c r="S711" s="1" t="s">
        <v>23</v>
      </c>
      <c r="T711" s="38">
        <v>1</v>
      </c>
      <c r="U711" s="1">
        <v>86.37</v>
      </c>
      <c r="V711" s="1">
        <v>0.26</v>
      </c>
    </row>
    <row r="712" spans="1:170" x14ac:dyDescent="0.2">
      <c r="A712" s="1" t="s">
        <v>4492</v>
      </c>
      <c r="B712" s="1" t="s">
        <v>57</v>
      </c>
      <c r="C712" s="1" t="s">
        <v>4462</v>
      </c>
      <c r="D712" s="1" t="s">
        <v>2</v>
      </c>
      <c r="E712" s="1">
        <v>56</v>
      </c>
      <c r="F712" s="1" t="s">
        <v>4463</v>
      </c>
      <c r="H712" s="1" t="s">
        <v>4464</v>
      </c>
      <c r="I712" s="1" t="s">
        <v>7</v>
      </c>
      <c r="J712" s="1" t="s">
        <v>4465</v>
      </c>
      <c r="K712" s="1" t="s">
        <v>4466</v>
      </c>
      <c r="L712" s="1" t="s">
        <v>4465</v>
      </c>
      <c r="M712" s="1" t="s">
        <v>4493</v>
      </c>
      <c r="P712" s="1" t="s">
        <v>4468</v>
      </c>
      <c r="Q712" s="1">
        <v>2011</v>
      </c>
      <c r="R712" s="1" t="s">
        <v>4469</v>
      </c>
      <c r="S712" s="1" t="s">
        <v>23</v>
      </c>
      <c r="T712" s="38">
        <v>1</v>
      </c>
      <c r="U712" s="1">
        <v>86.85</v>
      </c>
      <c r="V712" s="1">
        <v>0.48</v>
      </c>
    </row>
    <row r="713" spans="1:170" x14ac:dyDescent="0.2">
      <c r="A713" s="1" t="s">
        <v>4494</v>
      </c>
      <c r="B713" s="1" t="s">
        <v>57</v>
      </c>
      <c r="C713" s="1" t="s">
        <v>4462</v>
      </c>
      <c r="D713" s="1" t="s">
        <v>2</v>
      </c>
      <c r="E713" s="1">
        <v>56</v>
      </c>
      <c r="F713" s="1" t="s">
        <v>4463</v>
      </c>
      <c r="H713" s="1" t="s">
        <v>4464</v>
      </c>
      <c r="I713" s="1" t="s">
        <v>7</v>
      </c>
      <c r="J713" s="1" t="s">
        <v>4465</v>
      </c>
      <c r="K713" s="1" t="s">
        <v>4466</v>
      </c>
      <c r="L713" s="1" t="s">
        <v>4465</v>
      </c>
      <c r="M713" s="1" t="s">
        <v>4495</v>
      </c>
      <c r="P713" s="1" t="s">
        <v>4468</v>
      </c>
      <c r="Q713" s="1">
        <v>2011</v>
      </c>
      <c r="R713" s="1" t="s">
        <v>4469</v>
      </c>
      <c r="S713" s="1" t="s">
        <v>23</v>
      </c>
      <c r="T713" s="38">
        <v>1</v>
      </c>
      <c r="U713" s="1">
        <v>86.33</v>
      </c>
      <c r="V713" s="1">
        <v>0.36</v>
      </c>
    </row>
    <row r="714" spans="1:170" x14ac:dyDescent="0.2">
      <c r="A714" s="1" t="s">
        <v>4496</v>
      </c>
      <c r="B714" s="1" t="s">
        <v>55</v>
      </c>
      <c r="C714" s="1" t="s">
        <v>4497</v>
      </c>
      <c r="D714" s="1" t="s">
        <v>2</v>
      </c>
      <c r="E714" s="1">
        <v>13</v>
      </c>
      <c r="F714" s="1" t="s">
        <v>4498</v>
      </c>
      <c r="H714" s="1" t="s">
        <v>4499</v>
      </c>
      <c r="I714" s="1" t="s">
        <v>7</v>
      </c>
      <c r="J714" s="1" t="s">
        <v>4500</v>
      </c>
      <c r="K714" s="1" t="s">
        <v>4501</v>
      </c>
      <c r="L714" s="1" t="s">
        <v>4502</v>
      </c>
      <c r="M714" s="1" t="s">
        <v>4503</v>
      </c>
      <c r="N714" s="1" t="s">
        <v>4504</v>
      </c>
      <c r="P714" s="1" t="s">
        <v>1269</v>
      </c>
      <c r="Q714" s="1">
        <v>2006</v>
      </c>
      <c r="R714" s="1" t="s">
        <v>4505</v>
      </c>
      <c r="S714" s="1" t="s">
        <v>23</v>
      </c>
      <c r="T714" s="38">
        <v>1</v>
      </c>
      <c r="V714" s="1">
        <v>1.1599999999999999</v>
      </c>
      <c r="Y714" s="1">
        <v>0.26111983999999999</v>
      </c>
      <c r="Z714" s="1">
        <v>0.15498120000000001</v>
      </c>
      <c r="AD714" s="1">
        <v>0.80972413793103404</v>
      </c>
      <c r="AF714" s="1">
        <v>0.34377648</v>
      </c>
      <c r="AG714" s="1">
        <v>0.16531328000000001</v>
      </c>
      <c r="AW714" s="1">
        <v>1.502848E-2</v>
      </c>
      <c r="BA714" s="1">
        <v>0.18691672000000001</v>
      </c>
      <c r="BG714" s="1">
        <v>4.6024719999999998E-2</v>
      </c>
      <c r="CA714" s="1">
        <v>5.6356799999999999E-2</v>
      </c>
      <c r="CQ714" s="1">
        <v>9.3927999999999998E-2</v>
      </c>
      <c r="CZ714" s="1">
        <v>3.7571200000000001E-3</v>
      </c>
      <c r="DD714" s="1">
        <v>0</v>
      </c>
      <c r="DN714" s="1">
        <v>5.6356799999999999E-2</v>
      </c>
      <c r="EH714" s="1">
        <v>3.2874800000000003E-2</v>
      </c>
      <c r="ET714" s="1">
        <v>2.8178399999999998E-3</v>
      </c>
      <c r="EX714" s="1">
        <v>0.10050296</v>
      </c>
      <c r="FE714" s="1">
        <v>9.674584E-2</v>
      </c>
      <c r="FM714" s="1">
        <v>0.20006663999999999</v>
      </c>
    </row>
    <row r="715" spans="1:170" x14ac:dyDescent="0.2">
      <c r="A715" s="1" t="s">
        <v>4506</v>
      </c>
      <c r="B715" s="1" t="s">
        <v>55</v>
      </c>
      <c r="C715" s="1" t="s">
        <v>4507</v>
      </c>
      <c r="D715" s="1" t="s">
        <v>2</v>
      </c>
      <c r="E715" s="1">
        <v>13</v>
      </c>
      <c r="F715" s="1" t="s">
        <v>4498</v>
      </c>
      <c r="H715" s="1" t="s">
        <v>4508</v>
      </c>
      <c r="I715" s="1" t="s">
        <v>7</v>
      </c>
      <c r="J715" s="1" t="s">
        <v>4500</v>
      </c>
      <c r="K715" s="1" t="s">
        <v>4501</v>
      </c>
      <c r="L715" s="1" t="s">
        <v>4502</v>
      </c>
      <c r="M715" s="1" t="s">
        <v>4503</v>
      </c>
      <c r="N715" s="1" t="s">
        <v>4509</v>
      </c>
      <c r="P715" s="1" t="s">
        <v>1269</v>
      </c>
      <c r="Q715" s="1">
        <v>2006</v>
      </c>
      <c r="R715" s="1" t="s">
        <v>4505</v>
      </c>
      <c r="S715" s="1" t="s">
        <v>23</v>
      </c>
      <c r="T715" s="38">
        <v>1</v>
      </c>
      <c r="V715" s="1">
        <v>1.26</v>
      </c>
      <c r="Y715" s="1">
        <v>0.27569885999999999</v>
      </c>
      <c r="Z715" s="1">
        <v>0.17966892000000001</v>
      </c>
      <c r="AD715" s="1">
        <v>0.81950793650793696</v>
      </c>
      <c r="AF715" s="1">
        <v>0.50389903999999996</v>
      </c>
      <c r="AG715" s="1">
        <v>7.22806E-2</v>
      </c>
      <c r="AW715" s="1">
        <v>2.1684180000000001E-2</v>
      </c>
      <c r="BA715" s="1">
        <v>0.20858115999999999</v>
      </c>
      <c r="BG715" s="1">
        <v>3.7172879999999998E-2</v>
      </c>
      <c r="CA715" s="1">
        <v>5.266158E-2</v>
      </c>
      <c r="CQ715" s="1">
        <v>0.10738832</v>
      </c>
      <c r="CZ715" s="1">
        <v>1.8586439999999999E-2</v>
      </c>
      <c r="DD715" s="1">
        <v>7.2280599999999997E-3</v>
      </c>
      <c r="DN715" s="1">
        <v>4.7498680000000001E-2</v>
      </c>
      <c r="EH715" s="1">
        <v>1.6521279999999999E-2</v>
      </c>
      <c r="ET715" s="1">
        <v>4.1303199999999998E-3</v>
      </c>
      <c r="EX715" s="1">
        <v>1.9619020000000001E-2</v>
      </c>
      <c r="FE715" s="1">
        <v>9.4997360000000003E-2</v>
      </c>
      <c r="FM715" s="1">
        <v>0.38102202000000002</v>
      </c>
    </row>
    <row r="716" spans="1:170" x14ac:dyDescent="0.2">
      <c r="A716" s="1" t="s">
        <v>4510</v>
      </c>
      <c r="B716" s="1" t="s">
        <v>55</v>
      </c>
      <c r="C716" s="1" t="s">
        <v>4511</v>
      </c>
      <c r="D716" s="1" t="s">
        <v>2</v>
      </c>
      <c r="E716" s="1">
        <v>13</v>
      </c>
      <c r="F716" s="1" t="s">
        <v>4498</v>
      </c>
      <c r="H716" s="1" t="s">
        <v>4512</v>
      </c>
      <c r="I716" s="1" t="s">
        <v>7</v>
      </c>
      <c r="J716" s="1" t="s">
        <v>4500</v>
      </c>
      <c r="K716" s="1" t="s">
        <v>4501</v>
      </c>
      <c r="L716" s="1" t="s">
        <v>4502</v>
      </c>
      <c r="M716" s="1" t="s">
        <v>4503</v>
      </c>
      <c r="N716" s="1" t="s">
        <v>4513</v>
      </c>
      <c r="P716" s="1" t="s">
        <v>1269</v>
      </c>
      <c r="Q716" s="1">
        <v>2006</v>
      </c>
      <c r="R716" s="1" t="s">
        <v>4505</v>
      </c>
      <c r="S716" s="1" t="s">
        <v>23</v>
      </c>
      <c r="T716" s="38">
        <v>1</v>
      </c>
      <c r="V716" s="1">
        <v>1.48</v>
      </c>
      <c r="Y716" s="1">
        <v>0.31069784</v>
      </c>
      <c r="Z716" s="1">
        <v>0.2351896</v>
      </c>
      <c r="AD716" s="1">
        <v>0.83637837837837803</v>
      </c>
      <c r="AF716" s="1">
        <v>0.58426047999999997</v>
      </c>
      <c r="AG716" s="1">
        <v>0.1052164</v>
      </c>
      <c r="AW716" s="1">
        <v>2.9708160000000001E-2</v>
      </c>
      <c r="BA716" s="1">
        <v>0.21909767999999999</v>
      </c>
      <c r="BG716" s="1">
        <v>5.0751440000000002E-2</v>
      </c>
      <c r="CA716" s="1">
        <v>5.9416320000000002E-2</v>
      </c>
      <c r="CQ716" s="1">
        <v>0.14235159999999999</v>
      </c>
      <c r="CZ716" s="1">
        <v>2.9708160000000001E-2</v>
      </c>
      <c r="DD716" s="1">
        <v>1.732976E-2</v>
      </c>
      <c r="DN716" s="1">
        <v>7.3032559999999996E-2</v>
      </c>
      <c r="EH716" s="1">
        <v>1.732976E-2</v>
      </c>
      <c r="ET716" s="1">
        <v>1.2378399999999999E-2</v>
      </c>
      <c r="EX716" s="1">
        <v>2.3518959999999998E-2</v>
      </c>
      <c r="FE716" s="1">
        <v>0.13492456</v>
      </c>
      <c r="FM716" s="1">
        <v>0.40848719999999999</v>
      </c>
    </row>
    <row r="717" spans="1:170" x14ac:dyDescent="0.2">
      <c r="A717" s="1" t="s">
        <v>4514</v>
      </c>
      <c r="B717" s="1" t="s">
        <v>55</v>
      </c>
      <c r="C717" s="1" t="s">
        <v>4515</v>
      </c>
      <c r="E717" s="1">
        <v>35</v>
      </c>
      <c r="F717" s="1" t="s">
        <v>4516</v>
      </c>
      <c r="G717" s="1" t="s">
        <v>4517</v>
      </c>
      <c r="H717" s="1" t="s">
        <v>4518</v>
      </c>
      <c r="I717" s="1" t="s">
        <v>7</v>
      </c>
      <c r="J717" s="1" t="s">
        <v>4519</v>
      </c>
      <c r="K717" s="1" t="s">
        <v>4520</v>
      </c>
      <c r="L717" s="1" t="s">
        <v>4519</v>
      </c>
      <c r="M717" s="1" t="s">
        <v>4521</v>
      </c>
      <c r="N717" s="1" t="s">
        <v>4522</v>
      </c>
      <c r="O717" s="1" t="s">
        <v>4517</v>
      </c>
      <c r="P717" s="1" t="s">
        <v>1269</v>
      </c>
      <c r="Q717" s="1">
        <v>2003</v>
      </c>
      <c r="R717" s="1" t="s">
        <v>4523</v>
      </c>
      <c r="S717" s="1" t="s">
        <v>23</v>
      </c>
      <c r="T717" s="38">
        <v>1</v>
      </c>
      <c r="V717" s="1">
        <v>4</v>
      </c>
      <c r="AD717" s="1">
        <v>0.89724999999999999</v>
      </c>
      <c r="AF717" s="1">
        <v>0.48092600000000002</v>
      </c>
      <c r="AG717" s="1">
        <v>9.2955099999999999E-2</v>
      </c>
      <c r="AW717" s="1">
        <v>0.1643762</v>
      </c>
      <c r="AY717" s="1">
        <v>3.9478999999999998E-3</v>
      </c>
      <c r="BA717" s="1">
        <v>1.6796519999999999</v>
      </c>
      <c r="BD717" s="1">
        <v>5.4193900000000003E-2</v>
      </c>
      <c r="BG717" s="1">
        <v>0.31654979999999999</v>
      </c>
      <c r="CA717" s="1">
        <v>0.12848619999999999</v>
      </c>
      <c r="CF717" s="1">
        <v>7.2497800000000001E-2</v>
      </c>
      <c r="CJ717" s="1">
        <v>5.2758300000000001E-2</v>
      </c>
      <c r="CQ717" s="1">
        <v>0.52040500000000001</v>
      </c>
      <c r="DL717" s="1">
        <v>8.2547000000000002E-3</v>
      </c>
      <c r="DR717" s="1">
        <v>8.9724999999999996E-3</v>
      </c>
      <c r="DV717" s="1">
        <v>5.7423999999999999E-3</v>
      </c>
      <c r="DY717" s="1">
        <v>6.9985500000000006E-2</v>
      </c>
      <c r="EL717" s="1">
        <v>1.0767000000000001E-2</v>
      </c>
      <c r="FF717" s="1">
        <v>0.10838780000000001</v>
      </c>
      <c r="FN717" s="1">
        <v>0.36248900000000001</v>
      </c>
    </row>
    <row r="718" spans="1:170" x14ac:dyDescent="0.2">
      <c r="A718" s="1" t="s">
        <v>4524</v>
      </c>
      <c r="B718" s="1" t="s">
        <v>55</v>
      </c>
      <c r="C718" s="1" t="s">
        <v>4515</v>
      </c>
      <c r="E718" s="1">
        <v>33</v>
      </c>
      <c r="F718" s="1" t="s">
        <v>4525</v>
      </c>
      <c r="G718" s="1" t="s">
        <v>4517</v>
      </c>
      <c r="H718" s="1" t="s">
        <v>4526</v>
      </c>
      <c r="I718" s="1" t="s">
        <v>7</v>
      </c>
      <c r="J718" s="1" t="s">
        <v>4527</v>
      </c>
      <c r="K718" s="1" t="s">
        <v>4528</v>
      </c>
      <c r="L718" s="1" t="s">
        <v>4527</v>
      </c>
      <c r="M718" s="1" t="s">
        <v>4521</v>
      </c>
      <c r="N718" s="1" t="s">
        <v>4529</v>
      </c>
      <c r="O718" s="1" t="s">
        <v>4517</v>
      </c>
      <c r="P718" s="1" t="s">
        <v>1269</v>
      </c>
      <c r="Q718" s="1">
        <v>2003</v>
      </c>
      <c r="R718" s="1" t="s">
        <v>4523</v>
      </c>
      <c r="S718" s="1" t="s">
        <v>23</v>
      </c>
      <c r="T718" s="38">
        <v>1</v>
      </c>
      <c r="V718" s="1">
        <v>0.6</v>
      </c>
      <c r="AD718" s="1">
        <v>0.69466666666666699</v>
      </c>
      <c r="AF718" s="1">
        <v>5.2516800000000002E-2</v>
      </c>
      <c r="AG718" s="1">
        <v>3.5511359999999999E-2</v>
      </c>
      <c r="AW718" s="1">
        <v>1.83392E-3</v>
      </c>
      <c r="BA718" s="1">
        <v>0.16088479999999999</v>
      </c>
      <c r="BD718" s="1">
        <v>1.75056E-3</v>
      </c>
      <c r="BG718" s="1">
        <v>6.9605600000000004E-2</v>
      </c>
      <c r="BL718" s="1">
        <v>3.3344E-3</v>
      </c>
      <c r="CA718" s="1">
        <v>1.358768E-2</v>
      </c>
      <c r="CJ718" s="1">
        <v>3.7512000000000001E-3</v>
      </c>
      <c r="CQ718" s="1">
        <v>7.3773599999999995E-2</v>
      </c>
      <c r="DY718" s="1">
        <v>2.2632240000000001E-2</v>
      </c>
      <c r="EZ718" s="1">
        <v>1.2879120000000001E-2</v>
      </c>
      <c r="FF718" s="1">
        <v>2.809232E-2</v>
      </c>
      <c r="FN718" s="1">
        <v>2.4591200000000001E-2</v>
      </c>
    </row>
    <row r="719" spans="1:170" x14ac:dyDescent="0.2">
      <c r="A719" s="1" t="s">
        <v>4530</v>
      </c>
      <c r="B719" s="1" t="s">
        <v>55</v>
      </c>
      <c r="C719" s="1" t="s">
        <v>4515</v>
      </c>
      <c r="E719" s="1">
        <v>12</v>
      </c>
      <c r="F719" s="1" t="s">
        <v>2515</v>
      </c>
      <c r="G719" s="1" t="s">
        <v>4517</v>
      </c>
      <c r="H719" s="1" t="s">
        <v>4531</v>
      </c>
      <c r="I719" s="1" t="s">
        <v>7</v>
      </c>
      <c r="J719" s="1" t="s">
        <v>4532</v>
      </c>
      <c r="K719" s="1" t="s">
        <v>2519</v>
      </c>
      <c r="L719" s="1" t="s">
        <v>2520</v>
      </c>
      <c r="M719" s="1" t="s">
        <v>4521</v>
      </c>
      <c r="N719" s="1" t="s">
        <v>4533</v>
      </c>
      <c r="O719" s="1" t="s">
        <v>4517</v>
      </c>
      <c r="P719" s="1" t="s">
        <v>1269</v>
      </c>
      <c r="Q719" s="1">
        <v>2003</v>
      </c>
      <c r="R719" s="1" t="s">
        <v>4523</v>
      </c>
      <c r="S719" s="1" t="s">
        <v>23</v>
      </c>
      <c r="T719" s="38">
        <v>1</v>
      </c>
      <c r="V719" s="1">
        <v>1.92</v>
      </c>
      <c r="AD719" s="1">
        <v>0.85852083333333296</v>
      </c>
      <c r="AF719" s="1">
        <v>0.12296765599999999</v>
      </c>
      <c r="AG719" s="1">
        <v>0.15593485600000001</v>
      </c>
      <c r="AW719" s="1">
        <v>1.153852E-2</v>
      </c>
      <c r="BA719" s="1">
        <v>0.58516780000000002</v>
      </c>
      <c r="BG719" s="1">
        <v>0.23241876</v>
      </c>
      <c r="BL719" s="1">
        <v>1.2692372E-2</v>
      </c>
      <c r="CA719" s="1">
        <v>1.8791304000000002E-2</v>
      </c>
      <c r="CJ719" s="1">
        <v>0.2802212</v>
      </c>
      <c r="CQ719" s="1">
        <v>0.18956139999999999</v>
      </c>
      <c r="DL719" s="1">
        <v>0.14752821999999999</v>
      </c>
      <c r="EK719" s="1">
        <v>8.4066360000000003E-3</v>
      </c>
      <c r="FF719" s="1">
        <v>0.12296765599999999</v>
      </c>
    </row>
    <row r="720" spans="1:170" x14ac:dyDescent="0.2">
      <c r="A720" s="1" t="s">
        <v>4534</v>
      </c>
      <c r="B720" s="1" t="s">
        <v>55</v>
      </c>
      <c r="C720" s="1" t="s">
        <v>4515</v>
      </c>
      <c r="D720" s="1" t="s">
        <v>4517</v>
      </c>
      <c r="E720" s="1">
        <v>13</v>
      </c>
      <c r="F720" s="1" t="s">
        <v>4103</v>
      </c>
      <c r="H720" s="1" t="s">
        <v>4535</v>
      </c>
      <c r="I720" s="1" t="s">
        <v>7</v>
      </c>
      <c r="J720" s="1" t="s">
        <v>4108</v>
      </c>
      <c r="K720" s="1" t="s">
        <v>4107</v>
      </c>
      <c r="L720" s="1" t="s">
        <v>4108</v>
      </c>
      <c r="M720" s="1" t="s">
        <v>4521</v>
      </c>
      <c r="N720" s="1" t="s">
        <v>4536</v>
      </c>
      <c r="O720" s="1" t="s">
        <v>4517</v>
      </c>
      <c r="P720" s="1" t="s">
        <v>1269</v>
      </c>
      <c r="Q720" s="1">
        <v>2003</v>
      </c>
      <c r="R720" s="1" t="s">
        <v>4523</v>
      </c>
      <c r="S720" s="1" t="s">
        <v>23</v>
      </c>
      <c r="T720" s="38">
        <v>1</v>
      </c>
      <c r="V720" s="1">
        <v>9.6999999999999993</v>
      </c>
      <c r="AD720" s="1">
        <v>0.91825773195876303</v>
      </c>
      <c r="AF720" s="1">
        <v>1.2024585000000001</v>
      </c>
      <c r="AG720" s="1">
        <v>0.93524549999999995</v>
      </c>
      <c r="AW720" s="1">
        <v>0.28413649000000002</v>
      </c>
      <c r="BA720" s="1">
        <v>2.47973664</v>
      </c>
      <c r="BD720" s="1">
        <v>2.3158459999999999E-2</v>
      </c>
      <c r="BG720" s="1">
        <v>0.37320748999999998</v>
      </c>
      <c r="BI720" s="1">
        <v>0.59321285999999995</v>
      </c>
      <c r="BL720" s="1">
        <v>3.9191240000000002E-2</v>
      </c>
      <c r="CA720" s="1">
        <v>1.1222946</v>
      </c>
      <c r="CF720" s="1">
        <v>0.14696714999999999</v>
      </c>
      <c r="CJ720" s="1">
        <v>0.18793981000000001</v>
      </c>
      <c r="CQ720" s="1">
        <v>1.4874856999999999</v>
      </c>
      <c r="DD720" s="1">
        <v>0.1068852</v>
      </c>
      <c r="DL720" s="1">
        <v>0.22534963</v>
      </c>
      <c r="DY720" s="1">
        <v>0.66803250000000003</v>
      </c>
      <c r="EI720" s="1">
        <v>0.13627863000000001</v>
      </c>
      <c r="EK720" s="1">
        <v>1.7814199999999999E-2</v>
      </c>
      <c r="EZ720" s="1">
        <v>2.0486330000000001E-2</v>
      </c>
      <c r="FF720" s="1">
        <v>0.66536037000000003</v>
      </c>
      <c r="FN720" s="1">
        <v>0.53531671000000003</v>
      </c>
    </row>
    <row r="721" spans="1:170" x14ac:dyDescent="0.2">
      <c r="A721" s="1" t="s">
        <v>4537</v>
      </c>
      <c r="B721" s="1" t="s">
        <v>1911</v>
      </c>
      <c r="C721" s="1" t="s">
        <v>4515</v>
      </c>
      <c r="D721" s="1" t="s">
        <v>4517</v>
      </c>
      <c r="E721" s="1">
        <v>45</v>
      </c>
      <c r="F721" s="1" t="s">
        <v>4538</v>
      </c>
      <c r="G721" s="1" t="s">
        <v>4517</v>
      </c>
      <c r="H721" s="1" t="s">
        <v>4539</v>
      </c>
      <c r="I721" s="1" t="s">
        <v>7</v>
      </c>
      <c r="J721" s="1" t="s">
        <v>4540</v>
      </c>
      <c r="K721" s="1" t="s">
        <v>4541</v>
      </c>
      <c r="L721" s="1" t="s">
        <v>4540</v>
      </c>
      <c r="M721" s="1" t="s">
        <v>4521</v>
      </c>
      <c r="N721" s="1" t="s">
        <v>4542</v>
      </c>
      <c r="O721" s="1" t="s">
        <v>4517</v>
      </c>
      <c r="P721" s="1" t="s">
        <v>1269</v>
      </c>
      <c r="Q721" s="1">
        <v>2003</v>
      </c>
      <c r="R721" s="1" t="s">
        <v>4523</v>
      </c>
      <c r="S721" s="1" t="s">
        <v>23</v>
      </c>
      <c r="T721" s="38">
        <v>1</v>
      </c>
      <c r="V721" s="1">
        <v>0.94</v>
      </c>
      <c r="AD721" s="1">
        <v>0.66557446808510601</v>
      </c>
      <c r="AF721" s="1">
        <v>7.8204999999999997E-2</v>
      </c>
      <c r="AG721" s="1">
        <v>1.470254E-2</v>
      </c>
      <c r="BA721" s="1">
        <v>0.22397912</v>
      </c>
      <c r="BD721" s="1">
        <v>1.438972E-2</v>
      </c>
      <c r="BG721" s="1">
        <v>0.10135368</v>
      </c>
      <c r="BL721" s="1">
        <v>5.0051200000000001E-3</v>
      </c>
      <c r="CA721" s="1">
        <v>2.9655336000000001E-2</v>
      </c>
      <c r="CJ721" s="1">
        <v>1.063588E-2</v>
      </c>
      <c r="CQ721" s="1">
        <v>0.12199980000000001</v>
      </c>
      <c r="DY721" s="1">
        <v>1.470254E-2</v>
      </c>
      <c r="FF721" s="1">
        <v>2.6652263999999998E-2</v>
      </c>
      <c r="FN721" s="1">
        <v>5.1490172000000001E-2</v>
      </c>
    </row>
    <row r="722" spans="1:170" x14ac:dyDescent="0.2">
      <c r="A722" s="1" t="s">
        <v>4543</v>
      </c>
      <c r="B722" s="1" t="s">
        <v>55</v>
      </c>
      <c r="C722" s="1" t="s">
        <v>4515</v>
      </c>
      <c r="D722" s="1" t="s">
        <v>4517</v>
      </c>
      <c r="E722" s="1">
        <v>35</v>
      </c>
      <c r="F722" s="1" t="s">
        <v>4516</v>
      </c>
      <c r="G722" s="1" t="s">
        <v>4517</v>
      </c>
      <c r="H722" s="1" t="s">
        <v>4518</v>
      </c>
      <c r="I722" s="1" t="s">
        <v>7</v>
      </c>
      <c r="J722" s="1" t="s">
        <v>4519</v>
      </c>
      <c r="K722" s="1" t="s">
        <v>4520</v>
      </c>
      <c r="L722" s="1" t="s">
        <v>4519</v>
      </c>
      <c r="M722" s="1" t="s">
        <v>4544</v>
      </c>
      <c r="N722" s="1" t="s">
        <v>4545</v>
      </c>
      <c r="O722" s="1" t="s">
        <v>4517</v>
      </c>
      <c r="P722" s="1" t="s">
        <v>1269</v>
      </c>
      <c r="Q722" s="1">
        <v>2003</v>
      </c>
      <c r="R722" s="1" t="s">
        <v>4523</v>
      </c>
      <c r="S722" s="1" t="s">
        <v>23</v>
      </c>
      <c r="T722" s="38">
        <v>1</v>
      </c>
      <c r="V722" s="1">
        <v>10.62</v>
      </c>
      <c r="AD722" s="1">
        <v>0.91953483992467</v>
      </c>
      <c r="AF722" s="1">
        <v>1.30857164</v>
      </c>
      <c r="AG722" s="1">
        <v>0.14159917</v>
      </c>
      <c r="AW722" s="1">
        <v>0.29101070800000001</v>
      </c>
      <c r="BA722" s="1">
        <v>4.6971862599999996</v>
      </c>
      <c r="BD722" s="1">
        <v>4.6874208000000001E-2</v>
      </c>
      <c r="BG722" s="1">
        <v>0.77440097799999996</v>
      </c>
      <c r="BL722" s="1">
        <v>0.406243136</v>
      </c>
      <c r="CA722" s="1">
        <v>0.192379562</v>
      </c>
      <c r="CF722" s="1">
        <v>0.15527081400000001</v>
      </c>
      <c r="CJ722" s="1">
        <v>0.120115158</v>
      </c>
      <c r="CQ722" s="1">
        <v>1.63083182</v>
      </c>
      <c r="DR722" s="1">
        <v>4.1991477999999999E-2</v>
      </c>
      <c r="DV722" s="1">
        <v>9.8631146000000003E-2</v>
      </c>
      <c r="EL722" s="1">
        <v>1.7577828E-2</v>
      </c>
      <c r="FF722" s="1">
        <v>0.182614102</v>
      </c>
      <c r="FN722" s="1">
        <v>1.1034969800000001</v>
      </c>
    </row>
    <row r="723" spans="1:170" x14ac:dyDescent="0.2">
      <c r="A723" s="1" t="s">
        <v>4546</v>
      </c>
      <c r="B723" s="1" t="s">
        <v>55</v>
      </c>
      <c r="C723" s="1" t="s">
        <v>4515</v>
      </c>
      <c r="D723" s="1" t="s">
        <v>4517</v>
      </c>
      <c r="E723" s="1">
        <v>33</v>
      </c>
      <c r="F723" s="1" t="s">
        <v>4525</v>
      </c>
      <c r="G723" s="1" t="s">
        <v>4517</v>
      </c>
      <c r="H723" s="1" t="s">
        <v>4526</v>
      </c>
      <c r="I723" s="1" t="s">
        <v>7</v>
      </c>
      <c r="J723" s="1" t="s">
        <v>4527</v>
      </c>
      <c r="K723" s="1" t="s">
        <v>4528</v>
      </c>
      <c r="L723" s="1" t="s">
        <v>4527</v>
      </c>
      <c r="M723" s="1" t="s">
        <v>4544</v>
      </c>
      <c r="N723" s="1" t="s">
        <v>4547</v>
      </c>
      <c r="O723" s="1" t="s">
        <v>4517</v>
      </c>
      <c r="P723" s="1" t="s">
        <v>1269</v>
      </c>
      <c r="Q723" s="1">
        <v>2003</v>
      </c>
      <c r="R723" s="1" t="s">
        <v>4523</v>
      </c>
      <c r="S723" s="1" t="s">
        <v>23</v>
      </c>
      <c r="T723" s="38">
        <v>1</v>
      </c>
      <c r="V723" s="1">
        <v>3.29</v>
      </c>
      <c r="AD723" s="1">
        <v>0.88953495440729502</v>
      </c>
      <c r="AF723" s="1">
        <v>0.36582124999999999</v>
      </c>
      <c r="AG723" s="1">
        <v>0.29851013999999998</v>
      </c>
      <c r="AW723" s="1">
        <v>3.9508695000000003E-2</v>
      </c>
      <c r="BA723" s="1">
        <v>1.11794974</v>
      </c>
      <c r="BD723" s="1">
        <v>6.7311109999999997E-3</v>
      </c>
      <c r="BG723" s="1">
        <v>0.40971980000000002</v>
      </c>
      <c r="BL723" s="1">
        <v>2.7217101E-2</v>
      </c>
      <c r="CA723" s="1">
        <v>0.115014201</v>
      </c>
      <c r="CJ723" s="1">
        <v>3.0143671E-2</v>
      </c>
      <c r="CQ723" s="1">
        <v>0.51507632000000003</v>
      </c>
      <c r="DY723" s="1">
        <v>0.29851013999999998</v>
      </c>
      <c r="FF723" s="1">
        <v>0.20983506900000001</v>
      </c>
      <c r="FN723" s="1">
        <v>0.156571495</v>
      </c>
    </row>
    <row r="724" spans="1:170" x14ac:dyDescent="0.2">
      <c r="A724" s="1" t="s">
        <v>4548</v>
      </c>
      <c r="B724" s="1" t="s">
        <v>55</v>
      </c>
      <c r="C724" s="1" t="s">
        <v>4515</v>
      </c>
      <c r="D724" s="1" t="s">
        <v>4517</v>
      </c>
      <c r="E724" s="1">
        <v>12</v>
      </c>
      <c r="F724" s="1" t="s">
        <v>2515</v>
      </c>
      <c r="G724" s="1" t="s">
        <v>4517</v>
      </c>
      <c r="H724" s="1" t="s">
        <v>4531</v>
      </c>
      <c r="I724" s="1" t="s">
        <v>7</v>
      </c>
      <c r="J724" s="1" t="s">
        <v>4532</v>
      </c>
      <c r="K724" s="1" t="s">
        <v>2519</v>
      </c>
      <c r="L724" s="1" t="s">
        <v>2520</v>
      </c>
      <c r="M724" s="1" t="s">
        <v>4544</v>
      </c>
      <c r="N724" s="1" t="s">
        <v>4549</v>
      </c>
      <c r="O724" s="1" t="s">
        <v>4517</v>
      </c>
      <c r="P724" s="1" t="s">
        <v>1269</v>
      </c>
      <c r="Q724" s="1">
        <v>2003</v>
      </c>
      <c r="R724" s="1" t="s">
        <v>4523</v>
      </c>
      <c r="S724" s="1" t="s">
        <v>23</v>
      </c>
      <c r="T724" s="38">
        <v>1</v>
      </c>
      <c r="V724" s="1">
        <v>1.33</v>
      </c>
      <c r="AD724" s="1">
        <v>0.82548120300751904</v>
      </c>
      <c r="AF724" s="1">
        <v>0.13723625</v>
      </c>
      <c r="AG724" s="1">
        <v>5.2479141999999999E-2</v>
      </c>
      <c r="AW724" s="1">
        <v>1.4821515E-2</v>
      </c>
      <c r="BA724" s="1">
        <v>0.39963196000000001</v>
      </c>
      <c r="BD724" s="1">
        <v>4.9405050000000004E-3</v>
      </c>
      <c r="BG724" s="1">
        <v>0.14382359</v>
      </c>
      <c r="BI724" s="1">
        <v>7.3887996999999997E-2</v>
      </c>
      <c r="BL724" s="1">
        <v>1.8444551999999999E-2</v>
      </c>
      <c r="CA724" s="1">
        <v>5.5992390000000003E-2</v>
      </c>
      <c r="CJ724" s="1">
        <v>2.1518644E-2</v>
      </c>
      <c r="CQ724" s="1">
        <v>0.17456451000000001</v>
      </c>
      <c r="DL724" s="1">
        <v>4.5013490000000003E-2</v>
      </c>
      <c r="DY724" s="1">
        <v>7.4656519999999997E-3</v>
      </c>
      <c r="FF724" s="1">
        <v>0.10407997200000001</v>
      </c>
      <c r="FN724" s="1">
        <v>3.2826911E-2</v>
      </c>
    </row>
    <row r="725" spans="1:170" x14ac:dyDescent="0.2">
      <c r="A725" s="1" t="s">
        <v>4550</v>
      </c>
      <c r="B725" s="1" t="s">
        <v>55</v>
      </c>
      <c r="C725" s="1" t="s">
        <v>4515</v>
      </c>
      <c r="D725" s="1" t="s">
        <v>4517</v>
      </c>
      <c r="E725" s="1">
        <v>13</v>
      </c>
      <c r="F725" s="1" t="s">
        <v>4103</v>
      </c>
      <c r="H725" s="1" t="s">
        <v>4535</v>
      </c>
      <c r="I725" s="1" t="s">
        <v>7</v>
      </c>
      <c r="J725" s="1" t="s">
        <v>4108</v>
      </c>
      <c r="K725" s="1" t="s">
        <v>4107</v>
      </c>
      <c r="L725" s="1" t="s">
        <v>4108</v>
      </c>
      <c r="M725" s="1" t="s">
        <v>4544</v>
      </c>
      <c r="N725" s="1" t="s">
        <v>4551</v>
      </c>
      <c r="O725" s="1" t="s">
        <v>4517</v>
      </c>
      <c r="P725" s="1" t="s">
        <v>1269</v>
      </c>
      <c r="Q725" s="1">
        <v>2003</v>
      </c>
      <c r="R725" s="1" t="s">
        <v>4523</v>
      </c>
      <c r="S725" s="1" t="s">
        <v>23</v>
      </c>
      <c r="T725" s="38">
        <v>1</v>
      </c>
      <c r="V725" s="1">
        <v>6.67</v>
      </c>
      <c r="AD725" s="1">
        <v>0.91156071964018004</v>
      </c>
      <c r="AF725" s="1">
        <v>0.70529275999999996</v>
      </c>
      <c r="AG725" s="1">
        <v>0.72353308999999999</v>
      </c>
      <c r="AW725" s="1">
        <v>0.15808285999999999</v>
      </c>
      <c r="AY725" s="1">
        <v>1.3984253E-2</v>
      </c>
      <c r="BA725" s="1">
        <v>1.824033</v>
      </c>
      <c r="BD725" s="1">
        <v>2.7968506000000001E-2</v>
      </c>
      <c r="BG725" s="1">
        <v>0.44384803</v>
      </c>
      <c r="BI725" s="1">
        <v>0.438375931</v>
      </c>
      <c r="BL725" s="1">
        <v>0.141666563</v>
      </c>
      <c r="CA725" s="1">
        <v>0.72353308999999999</v>
      </c>
      <c r="CF725" s="1">
        <v>7.0529276000000002E-2</v>
      </c>
      <c r="CJ725" s="1">
        <v>0.108833969</v>
      </c>
      <c r="CQ725" s="1">
        <v>0.56241017500000001</v>
      </c>
      <c r="DD725" s="1">
        <v>8.3297507000000007E-2</v>
      </c>
      <c r="DL725" s="1">
        <v>0.157474849</v>
      </c>
      <c r="DY725" s="1">
        <v>0.52957758099999996</v>
      </c>
      <c r="EI725" s="1">
        <v>5.3504968E-2</v>
      </c>
      <c r="EK725" s="1">
        <v>1.6416297E-2</v>
      </c>
      <c r="EZ725" s="1">
        <v>2.1280384999999999E-2</v>
      </c>
      <c r="FF725" s="1">
        <v>0.49735299799999999</v>
      </c>
      <c r="FN725" s="1">
        <v>0.207939762</v>
      </c>
    </row>
    <row r="726" spans="1:170" x14ac:dyDescent="0.2">
      <c r="A726" s="1" t="s">
        <v>4552</v>
      </c>
      <c r="B726" s="1" t="s">
        <v>1911</v>
      </c>
      <c r="C726" s="1" t="s">
        <v>4515</v>
      </c>
      <c r="D726" s="1" t="s">
        <v>4517</v>
      </c>
      <c r="E726" s="1">
        <v>45</v>
      </c>
      <c r="F726" s="1" t="s">
        <v>4538</v>
      </c>
      <c r="G726" s="1" t="s">
        <v>4517</v>
      </c>
      <c r="H726" s="1" t="s">
        <v>4539</v>
      </c>
      <c r="I726" s="1" t="s">
        <v>7</v>
      </c>
      <c r="J726" s="1" t="s">
        <v>4540</v>
      </c>
      <c r="K726" s="1" t="s">
        <v>4541</v>
      </c>
      <c r="L726" s="1" t="s">
        <v>4540</v>
      </c>
      <c r="M726" s="1" t="s">
        <v>4544</v>
      </c>
      <c r="N726" s="1" t="s">
        <v>4553</v>
      </c>
      <c r="O726" s="1" t="s">
        <v>4517</v>
      </c>
      <c r="P726" s="1" t="s">
        <v>1269</v>
      </c>
      <c r="Q726" s="1">
        <v>2003</v>
      </c>
      <c r="R726" s="1" t="s">
        <v>4523</v>
      </c>
      <c r="S726" s="1" t="s">
        <v>23</v>
      </c>
      <c r="T726" s="38">
        <v>1</v>
      </c>
      <c r="V726" s="1">
        <v>1.1599999999999999</v>
      </c>
      <c r="AD726" s="1">
        <v>0.72065517241379295</v>
      </c>
      <c r="AF726" s="1">
        <v>0.11201864</v>
      </c>
      <c r="AG726" s="1">
        <v>2.7085103999999999E-2</v>
      </c>
      <c r="BA726" s="1">
        <v>0.28589831999999998</v>
      </c>
      <c r="BD726" s="1">
        <v>1.7471563999999998E-2</v>
      </c>
      <c r="BG726" s="1">
        <v>0.12288612</v>
      </c>
      <c r="BL726" s="1">
        <v>7.5236399999999998E-3</v>
      </c>
      <c r="CA726" s="1">
        <v>3.8036180000000003E-2</v>
      </c>
      <c r="CJ726" s="1">
        <v>2.0146635999999999E-2</v>
      </c>
      <c r="CQ726" s="1">
        <v>0.2048102</v>
      </c>
      <c r="DY726" s="1">
        <v>2.7085103999999999E-2</v>
      </c>
      <c r="FF726" s="1">
        <v>4.0376868000000003E-2</v>
      </c>
      <c r="FN726" s="1">
        <v>7.1474579999999996E-2</v>
      </c>
    </row>
    <row r="727" spans="1:170" x14ac:dyDescent="0.2">
      <c r="A727" s="1" t="s">
        <v>4554</v>
      </c>
      <c r="B727" s="1" t="s">
        <v>1911</v>
      </c>
      <c r="C727" s="1" t="s">
        <v>4555</v>
      </c>
      <c r="E727" s="1">
        <v>42</v>
      </c>
      <c r="F727" s="1" t="s">
        <v>4556</v>
      </c>
      <c r="H727" s="1" t="s">
        <v>4557</v>
      </c>
      <c r="I727" s="1" t="s">
        <v>7</v>
      </c>
      <c r="J727" s="1" t="s">
        <v>4558</v>
      </c>
      <c r="K727" s="1" t="s">
        <v>4559</v>
      </c>
      <c r="L727" s="1" t="s">
        <v>4560</v>
      </c>
      <c r="P727" s="1" t="s">
        <v>1269</v>
      </c>
      <c r="Q727" s="1">
        <v>2010</v>
      </c>
      <c r="R727" s="1" t="s">
        <v>4561</v>
      </c>
      <c r="S727" s="1" t="s">
        <v>23</v>
      </c>
      <c r="T727" s="38">
        <v>1</v>
      </c>
      <c r="U727" s="1">
        <v>79.2</v>
      </c>
      <c r="W727" s="1">
        <v>0.32</v>
      </c>
      <c r="Y727" s="1">
        <v>3.0534140160000001E-2</v>
      </c>
      <c r="Z727" s="1">
        <v>3.3328690559999999E-2</v>
      </c>
      <c r="AA727" s="1">
        <v>7.6747178880000003E-2</v>
      </c>
      <c r="AD727" s="1">
        <v>0.45962999999999998</v>
      </c>
      <c r="AF727" s="1">
        <v>6.1833104639999997E-2</v>
      </c>
      <c r="AG727" s="1">
        <v>1.1928317759999999E-2</v>
      </c>
      <c r="AW727" s="1">
        <v>1.3090262399999999E-3</v>
      </c>
      <c r="AY727" s="1">
        <v>8.0894880000000004E-4</v>
      </c>
      <c r="BA727" s="1">
        <v>1.19136096E-2</v>
      </c>
      <c r="BD727" s="1">
        <v>1.1472364800000001E-3</v>
      </c>
      <c r="BG727" s="1">
        <v>1.2913764479999999E-2</v>
      </c>
      <c r="BZ727" s="1">
        <v>8.7807715199999994E-3</v>
      </c>
      <c r="CH727" s="1">
        <v>3.67704E-4</v>
      </c>
      <c r="CK727" s="1">
        <v>1.6576096320000001E-2</v>
      </c>
      <c r="CM727" s="1">
        <v>4.7654438400000004E-3</v>
      </c>
      <c r="CU727" s="1">
        <v>3.2357951999999998E-4</v>
      </c>
      <c r="CV727" s="1">
        <v>6.4715903999999996E-4</v>
      </c>
      <c r="CX727" s="1">
        <v>2.9416320000000002E-4</v>
      </c>
      <c r="DN727" s="1">
        <v>1.51494048E-3</v>
      </c>
      <c r="DS727" s="1" t="s">
        <v>15</v>
      </c>
      <c r="DZ727" s="1">
        <v>2.1326831999999999E-3</v>
      </c>
      <c r="EQ727" s="1">
        <v>6.9716678400000001E-3</v>
      </c>
      <c r="EX727" s="1">
        <v>8.2954022399999994E-3</v>
      </c>
      <c r="FE727" s="1">
        <v>3.2505033599999997E-2</v>
      </c>
      <c r="FJ727" s="1">
        <v>1.1325283200000001E-3</v>
      </c>
    </row>
    <row r="728" spans="1:170" x14ac:dyDescent="0.2">
      <c r="A728" s="1" t="s">
        <v>4562</v>
      </c>
      <c r="B728" s="1" t="s">
        <v>1911</v>
      </c>
      <c r="C728" s="1" t="s">
        <v>4555</v>
      </c>
      <c r="E728" s="1">
        <v>42</v>
      </c>
      <c r="F728" s="1" t="s">
        <v>4556</v>
      </c>
      <c r="H728" s="1" t="s">
        <v>4563</v>
      </c>
      <c r="I728" s="1" t="s">
        <v>7</v>
      </c>
      <c r="J728" s="1" t="s">
        <v>4558</v>
      </c>
      <c r="K728" s="1" t="s">
        <v>4559</v>
      </c>
      <c r="L728" s="1" t="s">
        <v>4560</v>
      </c>
      <c r="P728" s="1" t="s">
        <v>1269</v>
      </c>
      <c r="Q728" s="1">
        <v>2010</v>
      </c>
      <c r="R728" s="1" t="s">
        <v>4561</v>
      </c>
      <c r="S728" s="1" t="s">
        <v>23</v>
      </c>
      <c r="T728" s="38">
        <v>1</v>
      </c>
      <c r="U728" s="1" t="s">
        <v>4564</v>
      </c>
      <c r="W728" s="1" t="s">
        <v>4566</v>
      </c>
      <c r="Y728" s="1">
        <v>0.23655494799999999</v>
      </c>
      <c r="Z728" s="1">
        <v>0.288015664</v>
      </c>
      <c r="AA728" s="1">
        <v>0.44106250400000002</v>
      </c>
      <c r="AD728" s="1">
        <v>0.75526470588235295</v>
      </c>
      <c r="AF728" s="1">
        <v>0.34430403199999998</v>
      </c>
      <c r="AG728" s="1">
        <v>6.9538732000000006E-2</v>
      </c>
      <c r="AW728" s="1">
        <v>1.8488879999999999E-2</v>
      </c>
      <c r="AY728" s="1">
        <v>7.4982679999999998E-3</v>
      </c>
      <c r="BA728" s="1">
        <v>0.12993573999999999</v>
      </c>
      <c r="BD728" s="1">
        <v>7.1901200000000004E-3</v>
      </c>
      <c r="BG728" s="1">
        <v>5.7418244E-2</v>
      </c>
      <c r="BZ728" s="1">
        <v>7.3441939999999997E-2</v>
      </c>
      <c r="CH728" s="1">
        <v>6.779256E-3</v>
      </c>
      <c r="CK728" s="1">
        <v>0.102818716</v>
      </c>
      <c r="CM728" s="1">
        <v>5.1666148000000002E-2</v>
      </c>
      <c r="CU728" s="1">
        <v>1.4380240000000001E-2</v>
      </c>
      <c r="CV728" s="1">
        <v>1.2531352000000001E-2</v>
      </c>
      <c r="CX728" s="1">
        <v>1.1401476000000001E-2</v>
      </c>
      <c r="DN728" s="1">
        <v>7.2928359999999996E-3</v>
      </c>
      <c r="DS728" s="1">
        <v>6.4711079999999997E-3</v>
      </c>
      <c r="DZ728" s="1">
        <v>1.0066168E-2</v>
      </c>
      <c r="EQ728" s="1">
        <v>2.5473567999999999E-2</v>
      </c>
      <c r="EX728" s="1">
        <v>3.9853807999999998E-2</v>
      </c>
      <c r="FE728" s="1">
        <v>0.15458758</v>
      </c>
      <c r="FJ728" s="1">
        <v>1.6023696E-2</v>
      </c>
    </row>
    <row r="729" spans="1:170" x14ac:dyDescent="0.2">
      <c r="A729" s="1" t="s">
        <v>4568</v>
      </c>
      <c r="B729" s="1" t="s">
        <v>1911</v>
      </c>
      <c r="C729" s="1" t="s">
        <v>4555</v>
      </c>
      <c r="E729" s="1">
        <v>42</v>
      </c>
      <c r="F729" s="1" t="s">
        <v>4556</v>
      </c>
      <c r="H729" s="1" t="s">
        <v>4569</v>
      </c>
      <c r="I729" s="1" t="s">
        <v>7</v>
      </c>
      <c r="J729" s="1" t="s">
        <v>4558</v>
      </c>
      <c r="K729" s="1" t="s">
        <v>4559</v>
      </c>
      <c r="L729" s="1" t="s">
        <v>4560</v>
      </c>
      <c r="Q729" s="1">
        <v>2010</v>
      </c>
      <c r="R729" s="1" t="s">
        <v>4561</v>
      </c>
      <c r="S729" s="1" t="s">
        <v>23</v>
      </c>
      <c r="T729" s="38">
        <v>1</v>
      </c>
    </row>
    <row r="730" spans="1:170" x14ac:dyDescent="0.2">
      <c r="A730" s="1" t="s">
        <v>4570</v>
      </c>
      <c r="B730" s="1" t="s">
        <v>1911</v>
      </c>
      <c r="C730" s="1" t="s">
        <v>2594</v>
      </c>
      <c r="E730" s="1">
        <v>43</v>
      </c>
      <c r="F730" s="1" t="s">
        <v>1912</v>
      </c>
      <c r="H730" s="1" t="s">
        <v>4571</v>
      </c>
      <c r="I730" s="1" t="s">
        <v>7</v>
      </c>
      <c r="J730" s="1" t="s">
        <v>1914</v>
      </c>
      <c r="K730" s="1" t="s">
        <v>4572</v>
      </c>
      <c r="L730" s="1" t="s">
        <v>1914</v>
      </c>
      <c r="M730" s="1" t="s">
        <v>4573</v>
      </c>
      <c r="N730" s="1" t="s">
        <v>4574</v>
      </c>
      <c r="P730" s="1" t="s">
        <v>1269</v>
      </c>
      <c r="Q730" s="1">
        <v>2009</v>
      </c>
      <c r="R730" s="1" t="s">
        <v>4575</v>
      </c>
      <c r="S730" s="1" t="s">
        <v>23</v>
      </c>
      <c r="T730" s="38">
        <v>1</v>
      </c>
      <c r="U730" s="1">
        <v>78.099999999999994</v>
      </c>
      <c r="W730" s="1">
        <v>0.3</v>
      </c>
      <c r="Y730" s="1">
        <v>3.1300803000000002E-2</v>
      </c>
      <c r="Z730" s="1">
        <v>3.9712032000000001E-2</v>
      </c>
      <c r="AA730" s="1">
        <v>6.0119604E-2</v>
      </c>
      <c r="AD730" s="1">
        <v>0.45962999999999998</v>
      </c>
      <c r="AF730" s="1">
        <v>4.7295927000000001E-2</v>
      </c>
      <c r="AG730" s="1">
        <v>1.1306897999999999E-2</v>
      </c>
    </row>
    <row r="731" spans="1:170" x14ac:dyDescent="0.2">
      <c r="A731" s="1" t="s">
        <v>4576</v>
      </c>
      <c r="B731" s="1" t="s">
        <v>1911</v>
      </c>
      <c r="C731" s="1" t="s">
        <v>2594</v>
      </c>
      <c r="E731" s="1">
        <v>43</v>
      </c>
      <c r="F731" s="1" t="s">
        <v>1912</v>
      </c>
      <c r="H731" s="1" t="s">
        <v>4577</v>
      </c>
      <c r="I731" s="1" t="s">
        <v>7</v>
      </c>
      <c r="J731" s="1" t="s">
        <v>1914</v>
      </c>
      <c r="K731" s="1" t="s">
        <v>4572</v>
      </c>
      <c r="L731" s="1" t="s">
        <v>1914</v>
      </c>
      <c r="M731" s="1" t="s">
        <v>4573</v>
      </c>
      <c r="N731" s="1" t="s">
        <v>4578</v>
      </c>
      <c r="P731" s="1" t="s">
        <v>1269</v>
      </c>
      <c r="Q731" s="1">
        <v>2009</v>
      </c>
      <c r="R731" s="1" t="s">
        <v>4575</v>
      </c>
      <c r="S731" s="1" t="s">
        <v>23</v>
      </c>
      <c r="T731" s="38">
        <v>1</v>
      </c>
      <c r="U731" s="1">
        <v>79.2</v>
      </c>
      <c r="W731" s="1">
        <v>0.5</v>
      </c>
      <c r="Y731" s="1">
        <v>5.1938190000000002E-2</v>
      </c>
      <c r="Z731" s="1">
        <v>6.5267459999999999E-2</v>
      </c>
      <c r="AA731" s="1">
        <v>0.10295712</v>
      </c>
      <c r="AD731" s="1">
        <v>0.45962999999999998</v>
      </c>
      <c r="AF731" s="1">
        <v>8.043525E-2</v>
      </c>
      <c r="AG731" s="1">
        <v>1.9764090000000002E-2</v>
      </c>
    </row>
    <row r="732" spans="1:170" x14ac:dyDescent="0.2">
      <c r="A732" s="1" t="s">
        <v>4579</v>
      </c>
      <c r="B732" s="1" t="s">
        <v>1911</v>
      </c>
      <c r="C732" s="1" t="s">
        <v>4115</v>
      </c>
      <c r="E732" s="1">
        <v>43</v>
      </c>
      <c r="F732" s="1" t="s">
        <v>4116</v>
      </c>
      <c r="H732" s="1" t="s">
        <v>4580</v>
      </c>
      <c r="I732" s="1" t="s">
        <v>7</v>
      </c>
      <c r="J732" s="1" t="s">
        <v>4118</v>
      </c>
      <c r="K732" s="1" t="s">
        <v>4581</v>
      </c>
      <c r="L732" s="1" t="s">
        <v>4118</v>
      </c>
      <c r="M732" s="1" t="s">
        <v>4573</v>
      </c>
      <c r="N732" s="1" t="s">
        <v>4582</v>
      </c>
      <c r="P732" s="1" t="s">
        <v>1269</v>
      </c>
      <c r="Q732" s="1">
        <v>2009</v>
      </c>
      <c r="R732" s="1" t="s">
        <v>4575</v>
      </c>
      <c r="S732" s="1" t="s">
        <v>23</v>
      </c>
      <c r="T732" s="38">
        <v>1</v>
      </c>
      <c r="U732" s="1">
        <v>79.2</v>
      </c>
      <c r="W732" s="1">
        <v>0.7</v>
      </c>
      <c r="Y732" s="1">
        <v>8.5579199999999994E-2</v>
      </c>
      <c r="Z732" s="1">
        <v>0.124803</v>
      </c>
      <c r="AA732" s="1">
        <v>0.166404</v>
      </c>
      <c r="AD732" s="1">
        <v>0.56599999999999995</v>
      </c>
      <c r="AF732" s="1">
        <v>0.140651</v>
      </c>
      <c r="AG732" s="1">
        <v>2.2979599999999999E-2</v>
      </c>
    </row>
    <row r="733" spans="1:170" x14ac:dyDescent="0.2">
      <c r="A733" s="1" t="s">
        <v>4583</v>
      </c>
      <c r="B733" s="1" t="s">
        <v>1911</v>
      </c>
      <c r="C733" s="1" t="s">
        <v>4115</v>
      </c>
      <c r="E733" s="1">
        <v>43</v>
      </c>
      <c r="F733" s="1" t="s">
        <v>4116</v>
      </c>
      <c r="H733" s="1" t="s">
        <v>4584</v>
      </c>
      <c r="I733" s="1" t="s">
        <v>7</v>
      </c>
      <c r="J733" s="1" t="s">
        <v>4118</v>
      </c>
      <c r="K733" s="1" t="s">
        <v>4581</v>
      </c>
      <c r="L733" s="1" t="s">
        <v>4118</v>
      </c>
      <c r="M733" s="1" t="s">
        <v>4573</v>
      </c>
      <c r="N733" s="1" t="s">
        <v>4585</v>
      </c>
      <c r="P733" s="1" t="s">
        <v>1269</v>
      </c>
      <c r="Q733" s="1">
        <v>2009</v>
      </c>
      <c r="R733" s="1" t="s">
        <v>4575</v>
      </c>
      <c r="S733" s="1" t="s">
        <v>23</v>
      </c>
      <c r="T733" s="38">
        <v>1</v>
      </c>
      <c r="U733" s="1">
        <v>80.5</v>
      </c>
      <c r="W733" s="1">
        <v>0.6</v>
      </c>
      <c r="Y733" s="1">
        <v>6.1322399999999999E-2</v>
      </c>
      <c r="Z733" s="1">
        <v>9.0179999999999996E-2</v>
      </c>
      <c r="AA733" s="1">
        <v>0.13406760000000001</v>
      </c>
      <c r="AD733" s="1">
        <v>0.501</v>
      </c>
      <c r="AF733" s="1">
        <v>0.111222</v>
      </c>
      <c r="AG733" s="1">
        <v>1.9539000000000001E-2</v>
      </c>
    </row>
    <row r="734" spans="1:170" x14ac:dyDescent="0.2">
      <c r="A734" s="1" t="s">
        <v>4586</v>
      </c>
      <c r="B734" s="1" t="s">
        <v>1911</v>
      </c>
      <c r="C734" s="1" t="s">
        <v>2594</v>
      </c>
      <c r="E734" s="1">
        <v>43</v>
      </c>
      <c r="F734" s="1" t="s">
        <v>1912</v>
      </c>
      <c r="H734" s="1" t="s">
        <v>4587</v>
      </c>
      <c r="I734" s="1" t="s">
        <v>7</v>
      </c>
      <c r="J734" s="1" t="s">
        <v>1914</v>
      </c>
      <c r="K734" s="1" t="s">
        <v>4572</v>
      </c>
      <c r="L734" s="1" t="s">
        <v>1914</v>
      </c>
      <c r="M734" s="1" t="s">
        <v>4573</v>
      </c>
      <c r="N734" s="1" t="s">
        <v>4588</v>
      </c>
      <c r="P734" s="1" t="s">
        <v>1269</v>
      </c>
      <c r="Q734" s="1">
        <v>2009</v>
      </c>
      <c r="R734" s="1" t="s">
        <v>4575</v>
      </c>
      <c r="S734" s="1" t="s">
        <v>23</v>
      </c>
      <c r="T734" s="38">
        <v>1</v>
      </c>
      <c r="U734" s="1">
        <v>67.400000000000006</v>
      </c>
      <c r="W734" s="1">
        <v>16.600000000000001</v>
      </c>
      <c r="Y734" s="1">
        <v>4.1486955999999999</v>
      </c>
      <c r="Z734" s="1">
        <v>7.3615952</v>
      </c>
      <c r="AA734" s="1">
        <v>3.1349165999999999</v>
      </c>
      <c r="AD734" s="1">
        <v>0.93955421686746998</v>
      </c>
      <c r="AF734" s="1">
        <v>2.2147171999999999</v>
      </c>
      <c r="AG734" s="1">
        <v>0.74863679999999999</v>
      </c>
    </row>
    <row r="735" spans="1:170" x14ac:dyDescent="0.2">
      <c r="A735" s="1" t="s">
        <v>4589</v>
      </c>
      <c r="B735" s="1" t="s">
        <v>1911</v>
      </c>
      <c r="C735" s="1" t="s">
        <v>2594</v>
      </c>
      <c r="E735" s="1">
        <v>43</v>
      </c>
      <c r="F735" s="1" t="s">
        <v>1912</v>
      </c>
      <c r="H735" s="1" t="s">
        <v>4590</v>
      </c>
      <c r="I735" s="1" t="s">
        <v>7</v>
      </c>
      <c r="J735" s="1" t="s">
        <v>1914</v>
      </c>
      <c r="K735" s="1" t="s">
        <v>4572</v>
      </c>
      <c r="L735" s="1" t="s">
        <v>1914</v>
      </c>
      <c r="M735" s="1" t="s">
        <v>4573</v>
      </c>
      <c r="N735" s="1" t="s">
        <v>4578</v>
      </c>
      <c r="P735" s="1" t="s">
        <v>1269</v>
      </c>
      <c r="Q735" s="1">
        <v>2009</v>
      </c>
      <c r="R735" s="1" t="s">
        <v>4575</v>
      </c>
      <c r="S735" s="1" t="s">
        <v>23</v>
      </c>
      <c r="T735" s="38">
        <v>1</v>
      </c>
      <c r="U735" s="1">
        <v>70.7</v>
      </c>
      <c r="W735" s="1">
        <v>11.8</v>
      </c>
      <c r="Y735" s="1">
        <v>3.5335038000000001</v>
      </c>
      <c r="Z735" s="1">
        <v>6.0652977999999997</v>
      </c>
      <c r="AA735" s="1">
        <v>0.77054599999999995</v>
      </c>
      <c r="AD735" s="1">
        <v>0.93286440677966098</v>
      </c>
      <c r="AF735" s="1">
        <v>0.42930420000000002</v>
      </c>
      <c r="AG735" s="1">
        <v>0.2311638</v>
      </c>
    </row>
    <row r="736" spans="1:170" x14ac:dyDescent="0.2">
      <c r="A736" s="1" t="s">
        <v>4591</v>
      </c>
      <c r="B736" s="1" t="s">
        <v>1911</v>
      </c>
      <c r="C736" s="1" t="s">
        <v>4115</v>
      </c>
      <c r="E736" s="1">
        <v>43</v>
      </c>
      <c r="F736" s="1" t="s">
        <v>4116</v>
      </c>
      <c r="H736" s="1" t="s">
        <v>4592</v>
      </c>
      <c r="I736" s="1" t="s">
        <v>7</v>
      </c>
      <c r="J736" s="1" t="s">
        <v>4118</v>
      </c>
      <c r="K736" s="1" t="s">
        <v>4581</v>
      </c>
      <c r="L736" s="1" t="s">
        <v>4118</v>
      </c>
      <c r="M736" s="1" t="s">
        <v>4573</v>
      </c>
      <c r="N736" s="1" t="s">
        <v>4582</v>
      </c>
      <c r="P736" s="1" t="s">
        <v>1269</v>
      </c>
      <c r="Q736" s="1">
        <v>2009</v>
      </c>
      <c r="R736" s="1" t="s">
        <v>4575</v>
      </c>
      <c r="S736" s="1" t="s">
        <v>23</v>
      </c>
      <c r="T736" s="38">
        <v>1</v>
      </c>
      <c r="U736" s="1">
        <v>58.8</v>
      </c>
      <c r="W736" s="1">
        <v>25.5</v>
      </c>
      <c r="Y736" s="1">
        <v>5.8816199999999998</v>
      </c>
      <c r="Z736" s="1">
        <v>14.197844999999999</v>
      </c>
      <c r="AA736" s="1">
        <v>2.6997599999999999</v>
      </c>
      <c r="AD736" s="1">
        <v>0.94529411764705895</v>
      </c>
      <c r="AF736" s="1">
        <v>1.856085</v>
      </c>
      <c r="AG736" s="1">
        <v>0.60262499999999997</v>
      </c>
    </row>
    <row r="737" spans="1:33" x14ac:dyDescent="0.2">
      <c r="A737" s="1" t="s">
        <v>4593</v>
      </c>
      <c r="B737" s="1" t="s">
        <v>1911</v>
      </c>
      <c r="C737" s="1" t="s">
        <v>4115</v>
      </c>
      <c r="E737" s="1">
        <v>43</v>
      </c>
      <c r="F737" s="1" t="s">
        <v>4116</v>
      </c>
      <c r="H737" s="1" t="s">
        <v>4594</v>
      </c>
      <c r="I737" s="1" t="s">
        <v>7</v>
      </c>
      <c r="J737" s="1" t="s">
        <v>4118</v>
      </c>
      <c r="K737" s="1" t="s">
        <v>4581</v>
      </c>
      <c r="L737" s="1" t="s">
        <v>4118</v>
      </c>
      <c r="M737" s="1" t="s">
        <v>4573</v>
      </c>
      <c r="N737" s="1" t="s">
        <v>4585</v>
      </c>
      <c r="P737" s="1" t="s">
        <v>1269</v>
      </c>
      <c r="Q737" s="1">
        <v>2009</v>
      </c>
      <c r="R737" s="1" t="s">
        <v>4575</v>
      </c>
      <c r="S737" s="1" t="s">
        <v>23</v>
      </c>
      <c r="T737" s="38">
        <v>1</v>
      </c>
      <c r="U737" s="1">
        <v>68.900000000000006</v>
      </c>
      <c r="W737" s="1">
        <v>14.9</v>
      </c>
      <c r="Y737" s="1">
        <v>3.7862494</v>
      </c>
      <c r="Z737" s="1">
        <v>8.6063823999999993</v>
      </c>
      <c r="AA737" s="1">
        <v>0.81034119999999998</v>
      </c>
      <c r="AD737" s="1">
        <v>0.93767785234899304</v>
      </c>
      <c r="AF737" s="1">
        <v>0.47502759999999999</v>
      </c>
      <c r="AG737" s="1">
        <v>0.2235424</v>
      </c>
    </row>
    <row r="738" spans="1:33" x14ac:dyDescent="0.2">
      <c r="A738" s="1" t="s">
        <v>4595</v>
      </c>
      <c r="B738" s="1" t="s">
        <v>1911</v>
      </c>
      <c r="C738" s="1" t="s">
        <v>4115</v>
      </c>
      <c r="E738" s="1">
        <v>43</v>
      </c>
      <c r="F738" s="1" t="s">
        <v>4116</v>
      </c>
      <c r="H738" s="1" t="s">
        <v>4596</v>
      </c>
      <c r="I738" s="1" t="s">
        <v>7</v>
      </c>
      <c r="J738" s="1" t="s">
        <v>4118</v>
      </c>
      <c r="K738" s="1" t="s">
        <v>4581</v>
      </c>
      <c r="L738" s="1" t="s">
        <v>4118</v>
      </c>
      <c r="M738" s="1" t="s">
        <v>4573</v>
      </c>
      <c r="N738" s="1" t="s">
        <v>4582</v>
      </c>
      <c r="P738" s="1" t="s">
        <v>1269</v>
      </c>
      <c r="Q738" s="1">
        <v>2009</v>
      </c>
      <c r="R738" s="1" t="s">
        <v>4575</v>
      </c>
      <c r="S738" s="1" t="s">
        <v>23</v>
      </c>
      <c r="T738" s="38">
        <v>1</v>
      </c>
      <c r="U738" s="1" t="s">
        <v>4597</v>
      </c>
      <c r="W738" s="1" t="s">
        <v>4599</v>
      </c>
      <c r="Y738" s="1">
        <v>0.66081120000000004</v>
      </c>
      <c r="Z738" s="1">
        <v>1.4160239999999999</v>
      </c>
      <c r="AA738" s="1">
        <v>1.6126940000000001</v>
      </c>
      <c r="AD738" s="1">
        <v>0.893954545454545</v>
      </c>
      <c r="AF738" s="1">
        <v>1.4002904</v>
      </c>
      <c r="AG738" s="1">
        <v>0.2124036</v>
      </c>
    </row>
    <row r="739" spans="1:33" x14ac:dyDescent="0.2">
      <c r="A739" s="1" t="s">
        <v>4601</v>
      </c>
      <c r="B739" s="1" t="s">
        <v>1911</v>
      </c>
      <c r="C739" s="1" t="s">
        <v>4602</v>
      </c>
      <c r="D739" s="1" t="s">
        <v>2</v>
      </c>
      <c r="E739" s="1">
        <v>43</v>
      </c>
      <c r="F739" s="1" t="s">
        <v>1912</v>
      </c>
      <c r="H739" s="1" t="s">
        <v>4603</v>
      </c>
      <c r="I739" s="1" t="s">
        <v>11</v>
      </c>
      <c r="J739" s="1" t="s">
        <v>1914</v>
      </c>
      <c r="K739" s="1" t="s">
        <v>4572</v>
      </c>
      <c r="L739" s="1" t="s">
        <v>1914</v>
      </c>
      <c r="M739" s="1" t="s">
        <v>4604</v>
      </c>
      <c r="P739" s="1" t="s">
        <v>4605</v>
      </c>
      <c r="Q739" s="1">
        <v>1982</v>
      </c>
      <c r="R739" s="1" t="s">
        <v>4606</v>
      </c>
      <c r="S739" s="1" t="s">
        <v>23</v>
      </c>
      <c r="T739" s="38">
        <v>1</v>
      </c>
      <c r="U739" s="1">
        <v>75.84</v>
      </c>
      <c r="V739" s="1">
        <v>1.1599999999999999</v>
      </c>
    </row>
    <row r="740" spans="1:33" x14ac:dyDescent="0.2">
      <c r="A740" s="1" t="s">
        <v>4607</v>
      </c>
      <c r="B740" s="1" t="s">
        <v>1911</v>
      </c>
      <c r="C740" s="1" t="s">
        <v>4602</v>
      </c>
      <c r="D740" s="1" t="s">
        <v>2</v>
      </c>
      <c r="E740" s="1">
        <v>43</v>
      </c>
      <c r="F740" s="1" t="s">
        <v>1912</v>
      </c>
      <c r="H740" s="1" t="s">
        <v>4608</v>
      </c>
      <c r="I740" s="1" t="s">
        <v>11</v>
      </c>
      <c r="J740" s="1" t="s">
        <v>1914</v>
      </c>
      <c r="K740" s="1" t="s">
        <v>4572</v>
      </c>
      <c r="L740" s="1" t="s">
        <v>1914</v>
      </c>
      <c r="M740" s="1" t="s">
        <v>4609</v>
      </c>
      <c r="P740" s="1" t="s">
        <v>4605</v>
      </c>
      <c r="Q740" s="1">
        <v>1982</v>
      </c>
      <c r="R740" s="1" t="s">
        <v>4606</v>
      </c>
      <c r="S740" s="1" t="s">
        <v>23</v>
      </c>
      <c r="T740" s="38">
        <v>1</v>
      </c>
      <c r="U740" s="1">
        <v>74.72</v>
      </c>
      <c r="V740" s="1">
        <v>1.28</v>
      </c>
    </row>
    <row r="741" spans="1:33" x14ac:dyDescent="0.2">
      <c r="A741" s="1" t="s">
        <v>4610</v>
      </c>
      <c r="B741" s="1" t="s">
        <v>1911</v>
      </c>
      <c r="C741" s="1" t="s">
        <v>4602</v>
      </c>
      <c r="D741" s="1" t="s">
        <v>2</v>
      </c>
      <c r="E741" s="1">
        <v>43</v>
      </c>
      <c r="F741" s="1" t="s">
        <v>1912</v>
      </c>
      <c r="H741" s="1" t="s">
        <v>4611</v>
      </c>
      <c r="I741" s="1" t="s">
        <v>11</v>
      </c>
      <c r="J741" s="1" t="s">
        <v>1914</v>
      </c>
      <c r="K741" s="1" t="s">
        <v>4572</v>
      </c>
      <c r="L741" s="1" t="s">
        <v>1914</v>
      </c>
      <c r="M741" s="1" t="s">
        <v>4612</v>
      </c>
      <c r="P741" s="1" t="s">
        <v>4605</v>
      </c>
      <c r="Q741" s="1">
        <v>1982</v>
      </c>
      <c r="R741" s="1" t="s">
        <v>4606</v>
      </c>
      <c r="S741" s="1" t="s">
        <v>23</v>
      </c>
      <c r="T741" s="38">
        <v>1</v>
      </c>
      <c r="U741" s="1">
        <v>67.48</v>
      </c>
    </row>
    <row r="742" spans="1:33" x14ac:dyDescent="0.2">
      <c r="A742" s="1" t="s">
        <v>4613</v>
      </c>
      <c r="B742" s="1" t="s">
        <v>57</v>
      </c>
      <c r="C742" s="1" t="s">
        <v>4614</v>
      </c>
      <c r="E742" s="1">
        <v>56</v>
      </c>
      <c r="F742" s="1" t="s">
        <v>4615</v>
      </c>
      <c r="H742" s="1" t="s">
        <v>4616</v>
      </c>
      <c r="I742" s="1" t="s">
        <v>7</v>
      </c>
      <c r="J742" s="1" t="s">
        <v>4617</v>
      </c>
      <c r="K742" s="1" t="s">
        <v>4618</v>
      </c>
      <c r="L742" s="1" t="s">
        <v>4617</v>
      </c>
      <c r="M742" s="1" t="s">
        <v>4619</v>
      </c>
      <c r="P742" s="1" t="s">
        <v>4620</v>
      </c>
      <c r="Q742" s="1">
        <v>2009</v>
      </c>
      <c r="R742" s="1" t="s">
        <v>4621</v>
      </c>
      <c r="S742" s="1" t="s">
        <v>23</v>
      </c>
      <c r="T742" s="38">
        <v>1</v>
      </c>
      <c r="U742" s="1">
        <v>85.35</v>
      </c>
      <c r="V742" s="1">
        <v>0.57999999999999996</v>
      </c>
    </row>
    <row r="743" spans="1:33" x14ac:dyDescent="0.2">
      <c r="A743" s="1" t="s">
        <v>4622</v>
      </c>
      <c r="B743" s="1" t="s">
        <v>57</v>
      </c>
      <c r="C743" s="1" t="s">
        <v>4614</v>
      </c>
      <c r="E743" s="1">
        <v>56</v>
      </c>
      <c r="F743" s="1" t="s">
        <v>4615</v>
      </c>
      <c r="H743" s="1" t="s">
        <v>4616</v>
      </c>
      <c r="I743" s="1" t="s">
        <v>7</v>
      </c>
      <c r="J743" s="1" t="s">
        <v>4617</v>
      </c>
      <c r="K743" s="1" t="s">
        <v>4618</v>
      </c>
      <c r="L743" s="1" t="s">
        <v>4617</v>
      </c>
      <c r="M743" s="1" t="s">
        <v>4623</v>
      </c>
      <c r="P743" s="1" t="s">
        <v>4620</v>
      </c>
      <c r="Q743" s="1">
        <v>2009</v>
      </c>
      <c r="R743" s="1" t="s">
        <v>4621</v>
      </c>
      <c r="S743" s="1" t="s">
        <v>23</v>
      </c>
      <c r="T743" s="38">
        <v>1</v>
      </c>
      <c r="U743" s="1">
        <v>82.7</v>
      </c>
      <c r="V743" s="1">
        <v>1.2</v>
      </c>
    </row>
    <row r="744" spans="1:33" x14ac:dyDescent="0.2">
      <c r="A744" s="1" t="s">
        <v>4624</v>
      </c>
      <c r="B744" s="1" t="s">
        <v>57</v>
      </c>
      <c r="C744" s="1" t="s">
        <v>4614</v>
      </c>
      <c r="E744" s="1">
        <v>56</v>
      </c>
      <c r="F744" s="1" t="s">
        <v>4615</v>
      </c>
      <c r="H744" s="1" t="s">
        <v>4616</v>
      </c>
      <c r="I744" s="1" t="s">
        <v>7</v>
      </c>
      <c r="J744" s="1" t="s">
        <v>4617</v>
      </c>
      <c r="K744" s="1" t="s">
        <v>4618</v>
      </c>
      <c r="L744" s="1" t="s">
        <v>4617</v>
      </c>
      <c r="M744" s="1" t="s">
        <v>4625</v>
      </c>
      <c r="P744" s="1" t="s">
        <v>4620</v>
      </c>
      <c r="Q744" s="1">
        <v>2009</v>
      </c>
      <c r="R744" s="1" t="s">
        <v>4621</v>
      </c>
      <c r="S744" s="1" t="s">
        <v>23</v>
      </c>
      <c r="T744" s="38">
        <v>1</v>
      </c>
      <c r="U744" s="1">
        <v>84.87</v>
      </c>
      <c r="V744" s="1">
        <v>0.74</v>
      </c>
    </row>
    <row r="745" spans="1:33" x14ac:dyDescent="0.2">
      <c r="A745" s="1" t="s">
        <v>4626</v>
      </c>
      <c r="B745" s="1" t="s">
        <v>57</v>
      </c>
      <c r="C745" s="1" t="s">
        <v>4614</v>
      </c>
      <c r="E745" s="1">
        <v>56</v>
      </c>
      <c r="F745" s="1" t="s">
        <v>4615</v>
      </c>
      <c r="H745" s="1" t="s">
        <v>4616</v>
      </c>
      <c r="I745" s="1" t="s">
        <v>7</v>
      </c>
      <c r="J745" s="1" t="s">
        <v>4617</v>
      </c>
      <c r="K745" s="1" t="s">
        <v>4618</v>
      </c>
      <c r="L745" s="1" t="s">
        <v>4617</v>
      </c>
      <c r="M745" s="1" t="s">
        <v>4627</v>
      </c>
      <c r="P745" s="1" t="s">
        <v>4620</v>
      </c>
      <c r="Q745" s="1">
        <v>2009</v>
      </c>
      <c r="R745" s="1" t="s">
        <v>4621</v>
      </c>
      <c r="S745" s="1" t="s">
        <v>23</v>
      </c>
      <c r="T745" s="38">
        <v>1</v>
      </c>
      <c r="U745" s="1">
        <v>86.57</v>
      </c>
      <c r="V745" s="1">
        <v>0.92</v>
      </c>
    </row>
    <row r="746" spans="1:33" x14ac:dyDescent="0.2">
      <c r="A746" s="1" t="s">
        <v>4628</v>
      </c>
      <c r="B746" s="1" t="s">
        <v>57</v>
      </c>
      <c r="C746" s="1" t="s">
        <v>4614</v>
      </c>
      <c r="E746" s="1">
        <v>56</v>
      </c>
      <c r="F746" s="1" t="s">
        <v>4629</v>
      </c>
      <c r="H746" s="1" t="s">
        <v>4630</v>
      </c>
      <c r="I746" s="1" t="s">
        <v>7</v>
      </c>
      <c r="J746" s="1" t="s">
        <v>4631</v>
      </c>
      <c r="K746" s="1" t="s">
        <v>4632</v>
      </c>
      <c r="L746" s="1" t="s">
        <v>4631</v>
      </c>
      <c r="M746" s="1" t="s">
        <v>4619</v>
      </c>
      <c r="P746" s="1" t="s">
        <v>4620</v>
      </c>
      <c r="Q746" s="1">
        <v>2009</v>
      </c>
      <c r="R746" s="1" t="s">
        <v>4621</v>
      </c>
      <c r="S746" s="1" t="s">
        <v>23</v>
      </c>
      <c r="T746" s="38">
        <v>1</v>
      </c>
      <c r="U746" s="1">
        <v>83.34</v>
      </c>
      <c r="V746" s="1">
        <v>0.69</v>
      </c>
    </row>
    <row r="747" spans="1:33" x14ac:dyDescent="0.2">
      <c r="A747" s="1" t="s">
        <v>4633</v>
      </c>
      <c r="B747" s="1" t="s">
        <v>57</v>
      </c>
      <c r="C747" s="1" t="s">
        <v>4614</v>
      </c>
      <c r="E747" s="1">
        <v>56</v>
      </c>
      <c r="F747" s="1" t="s">
        <v>4629</v>
      </c>
      <c r="H747" s="1" t="s">
        <v>4630</v>
      </c>
      <c r="I747" s="1" t="s">
        <v>7</v>
      </c>
      <c r="J747" s="1" t="s">
        <v>4631</v>
      </c>
      <c r="K747" s="1" t="s">
        <v>4632</v>
      </c>
      <c r="L747" s="1" t="s">
        <v>4631</v>
      </c>
      <c r="M747" s="1" t="s">
        <v>4623</v>
      </c>
      <c r="P747" s="1" t="s">
        <v>4620</v>
      </c>
      <c r="Q747" s="1">
        <v>2009</v>
      </c>
      <c r="R747" s="1" t="s">
        <v>4621</v>
      </c>
      <c r="S747" s="1" t="s">
        <v>23</v>
      </c>
      <c r="T747" s="38">
        <v>1</v>
      </c>
      <c r="U747" s="1">
        <v>81.09</v>
      </c>
      <c r="V747" s="1">
        <v>1.33</v>
      </c>
    </row>
    <row r="748" spans="1:33" x14ac:dyDescent="0.2">
      <c r="A748" s="1" t="s">
        <v>4634</v>
      </c>
      <c r="B748" s="1" t="s">
        <v>57</v>
      </c>
      <c r="C748" s="1" t="s">
        <v>4614</v>
      </c>
      <c r="E748" s="1">
        <v>56</v>
      </c>
      <c r="F748" s="1" t="s">
        <v>4629</v>
      </c>
      <c r="H748" s="1" t="s">
        <v>4630</v>
      </c>
      <c r="I748" s="1" t="s">
        <v>7</v>
      </c>
      <c r="J748" s="1" t="s">
        <v>4631</v>
      </c>
      <c r="K748" s="1" t="s">
        <v>4632</v>
      </c>
      <c r="L748" s="1" t="s">
        <v>4631</v>
      </c>
      <c r="M748" s="1" t="s">
        <v>4625</v>
      </c>
      <c r="P748" s="1" t="s">
        <v>4620</v>
      </c>
      <c r="Q748" s="1">
        <v>2009</v>
      </c>
      <c r="R748" s="1" t="s">
        <v>4621</v>
      </c>
      <c r="S748" s="1" t="s">
        <v>23</v>
      </c>
      <c r="T748" s="38">
        <v>1</v>
      </c>
      <c r="U748" s="1">
        <v>84.67</v>
      </c>
      <c r="V748" s="1">
        <v>0.7</v>
      </c>
    </row>
    <row r="749" spans="1:33" x14ac:dyDescent="0.2">
      <c r="A749" s="1" t="s">
        <v>4635</v>
      </c>
      <c r="B749" s="1" t="s">
        <v>57</v>
      </c>
      <c r="C749" s="1" t="s">
        <v>4614</v>
      </c>
      <c r="E749" s="1">
        <v>56</v>
      </c>
      <c r="F749" s="1" t="s">
        <v>4629</v>
      </c>
      <c r="H749" s="1" t="s">
        <v>4630</v>
      </c>
      <c r="I749" s="1" t="s">
        <v>7</v>
      </c>
      <c r="J749" s="1" t="s">
        <v>4631</v>
      </c>
      <c r="K749" s="1" t="s">
        <v>4632</v>
      </c>
      <c r="L749" s="1" t="s">
        <v>4631</v>
      </c>
      <c r="M749" s="1" t="s">
        <v>4627</v>
      </c>
      <c r="P749" s="1" t="s">
        <v>4620</v>
      </c>
      <c r="Q749" s="1">
        <v>2009</v>
      </c>
      <c r="R749" s="1" t="s">
        <v>4621</v>
      </c>
      <c r="S749" s="1" t="s">
        <v>23</v>
      </c>
      <c r="T749" s="38">
        <v>1</v>
      </c>
      <c r="U749" s="1">
        <v>85.55</v>
      </c>
      <c r="V749" s="1">
        <v>0.87</v>
      </c>
    </row>
    <row r="750" spans="1:33" x14ac:dyDescent="0.2">
      <c r="A750" s="1" t="s">
        <v>4636</v>
      </c>
      <c r="B750" s="1" t="s">
        <v>57</v>
      </c>
      <c r="C750" s="1" t="s">
        <v>236</v>
      </c>
      <c r="E750" s="1">
        <v>57</v>
      </c>
      <c r="F750" s="1" t="s">
        <v>4637</v>
      </c>
      <c r="H750" s="1" t="s">
        <v>4638</v>
      </c>
      <c r="I750" s="1" t="s">
        <v>7</v>
      </c>
      <c r="J750" s="1" t="s">
        <v>4639</v>
      </c>
      <c r="K750" s="1" t="s">
        <v>4640</v>
      </c>
      <c r="L750" s="1" t="s">
        <v>4639</v>
      </c>
      <c r="N750" s="1" t="s">
        <v>4641</v>
      </c>
      <c r="P750" s="1" t="s">
        <v>4642</v>
      </c>
      <c r="Q750" s="1">
        <v>2007</v>
      </c>
      <c r="R750" s="1" t="s">
        <v>4643</v>
      </c>
      <c r="S750" s="1" t="s">
        <v>23</v>
      </c>
      <c r="T750" s="38">
        <v>1</v>
      </c>
      <c r="U750" s="1">
        <v>75.599999999999994</v>
      </c>
      <c r="W750" s="1">
        <v>0.56120000000000003</v>
      </c>
    </row>
    <row r="751" spans="1:33" x14ac:dyDescent="0.2">
      <c r="A751" s="1" t="s">
        <v>4644</v>
      </c>
      <c r="B751" s="1" t="s">
        <v>57</v>
      </c>
      <c r="C751" s="1" t="s">
        <v>236</v>
      </c>
      <c r="E751" s="1">
        <v>57</v>
      </c>
      <c r="F751" s="1" t="s">
        <v>4637</v>
      </c>
      <c r="H751" s="1" t="s">
        <v>4645</v>
      </c>
      <c r="I751" s="1" t="s">
        <v>11</v>
      </c>
      <c r="J751" s="1" t="s">
        <v>4639</v>
      </c>
      <c r="K751" s="1" t="s">
        <v>4640</v>
      </c>
      <c r="L751" s="1" t="s">
        <v>4639</v>
      </c>
      <c r="N751" s="1" t="s">
        <v>4646</v>
      </c>
      <c r="P751" s="1" t="s">
        <v>4642</v>
      </c>
      <c r="Q751" s="1">
        <v>2007</v>
      </c>
      <c r="R751" s="1" t="s">
        <v>4643</v>
      </c>
      <c r="S751" s="1" t="s">
        <v>23</v>
      </c>
      <c r="T751" s="38">
        <v>1</v>
      </c>
      <c r="U751" s="1">
        <v>73.2</v>
      </c>
      <c r="W751" s="1">
        <v>0.85760000000000003</v>
      </c>
    </row>
    <row r="752" spans="1:33" x14ac:dyDescent="0.2">
      <c r="A752" s="1" t="s">
        <v>4647</v>
      </c>
      <c r="B752" s="1" t="s">
        <v>57</v>
      </c>
      <c r="C752" s="1" t="s">
        <v>236</v>
      </c>
      <c r="E752" s="1">
        <v>57</v>
      </c>
      <c r="F752" s="1" t="s">
        <v>4648</v>
      </c>
      <c r="H752" s="1" t="s">
        <v>4649</v>
      </c>
      <c r="I752" s="1" t="s">
        <v>7</v>
      </c>
      <c r="J752" s="1" t="s">
        <v>4650</v>
      </c>
      <c r="K752" s="1" t="s">
        <v>4651</v>
      </c>
      <c r="L752" s="1" t="s">
        <v>4650</v>
      </c>
      <c r="P752" s="1" t="s">
        <v>4642</v>
      </c>
      <c r="Q752" s="1">
        <v>2007</v>
      </c>
      <c r="R752" s="1" t="s">
        <v>4643</v>
      </c>
      <c r="S752" s="1" t="s">
        <v>23</v>
      </c>
      <c r="T752" s="38">
        <v>1</v>
      </c>
      <c r="U752" s="1">
        <v>86</v>
      </c>
      <c r="W752" s="1">
        <v>0.33600000000000002</v>
      </c>
    </row>
    <row r="753" spans="1:169" x14ac:dyDescent="0.2">
      <c r="A753" s="1" t="s">
        <v>4652</v>
      </c>
      <c r="B753" s="1" t="s">
        <v>57</v>
      </c>
      <c r="C753" s="1" t="s">
        <v>236</v>
      </c>
      <c r="E753" s="1">
        <v>57</v>
      </c>
      <c r="F753" s="1" t="s">
        <v>4648</v>
      </c>
      <c r="H753" s="1" t="s">
        <v>4653</v>
      </c>
      <c r="I753" s="1" t="s">
        <v>11</v>
      </c>
      <c r="J753" s="1" t="s">
        <v>4650</v>
      </c>
      <c r="K753" s="1" t="s">
        <v>4651</v>
      </c>
      <c r="L753" s="1" t="s">
        <v>4650</v>
      </c>
      <c r="N753" s="1" t="s">
        <v>4646</v>
      </c>
      <c r="P753" s="1" t="s">
        <v>4642</v>
      </c>
      <c r="Q753" s="1">
        <v>2007</v>
      </c>
      <c r="R753" s="1" t="s">
        <v>4643</v>
      </c>
      <c r="S753" s="1" t="s">
        <v>23</v>
      </c>
      <c r="T753" s="38">
        <v>1</v>
      </c>
      <c r="U753" s="1">
        <v>76.7</v>
      </c>
      <c r="W753" s="1">
        <v>0.51259999999999994</v>
      </c>
    </row>
    <row r="754" spans="1:169" x14ac:dyDescent="0.2">
      <c r="A754" s="1" t="s">
        <v>4654</v>
      </c>
      <c r="B754" s="1" t="s">
        <v>57</v>
      </c>
      <c r="C754" s="1" t="s">
        <v>4655</v>
      </c>
      <c r="D754" s="1" t="s">
        <v>2</v>
      </c>
      <c r="E754" s="1">
        <v>54</v>
      </c>
      <c r="F754" s="1" t="s">
        <v>4152</v>
      </c>
      <c r="G754" s="1" t="s">
        <v>4517</v>
      </c>
      <c r="H754" s="1" t="s">
        <v>4656</v>
      </c>
      <c r="I754" s="1" t="s">
        <v>11</v>
      </c>
      <c r="J754" s="1" t="s">
        <v>4657</v>
      </c>
      <c r="K754" s="1" t="s">
        <v>4155</v>
      </c>
      <c r="L754" s="1" t="s">
        <v>4154</v>
      </c>
      <c r="M754" s="1" t="s">
        <v>4658</v>
      </c>
      <c r="O754" s="1" t="s">
        <v>4517</v>
      </c>
      <c r="P754" s="1" t="s">
        <v>4659</v>
      </c>
      <c r="Q754" s="1">
        <v>2008</v>
      </c>
      <c r="R754" s="1" t="s">
        <v>4660</v>
      </c>
      <c r="S754" s="1" t="s">
        <v>25</v>
      </c>
      <c r="T754" s="38">
        <v>1</v>
      </c>
      <c r="U754" s="1" t="s">
        <v>4661</v>
      </c>
      <c r="V754" s="1" t="s">
        <v>4663</v>
      </c>
    </row>
    <row r="755" spans="1:169" x14ac:dyDescent="0.2">
      <c r="A755" s="1" t="s">
        <v>4665</v>
      </c>
      <c r="B755" s="1" t="s">
        <v>57</v>
      </c>
      <c r="C755" s="1" t="s">
        <v>4655</v>
      </c>
      <c r="D755" s="1" t="s">
        <v>2</v>
      </c>
      <c r="E755" s="1">
        <v>54</v>
      </c>
      <c r="F755" s="1" t="s">
        <v>4152</v>
      </c>
      <c r="G755" s="1" t="s">
        <v>4517</v>
      </c>
      <c r="H755" s="1" t="s">
        <v>4666</v>
      </c>
      <c r="I755" s="1" t="s">
        <v>11</v>
      </c>
      <c r="J755" s="1" t="s">
        <v>4657</v>
      </c>
      <c r="K755" s="1" t="s">
        <v>4155</v>
      </c>
      <c r="L755" s="1" t="s">
        <v>4154</v>
      </c>
      <c r="M755" s="1" t="s">
        <v>4658</v>
      </c>
      <c r="O755" s="1" t="s">
        <v>4517</v>
      </c>
      <c r="P755" s="1" t="s">
        <v>4659</v>
      </c>
      <c r="Q755" s="1">
        <v>2008</v>
      </c>
      <c r="R755" s="1" t="s">
        <v>4660</v>
      </c>
      <c r="S755" s="1" t="s">
        <v>25</v>
      </c>
      <c r="T755" s="38">
        <v>1</v>
      </c>
      <c r="U755" s="1">
        <v>69.400000000000006</v>
      </c>
      <c r="V755" s="1">
        <v>4.9000000000000004</v>
      </c>
    </row>
    <row r="756" spans="1:169" x14ac:dyDescent="0.2">
      <c r="A756" s="1" t="s">
        <v>4667</v>
      </c>
      <c r="B756" s="1" t="s">
        <v>57</v>
      </c>
      <c r="C756" s="1" t="s">
        <v>4655</v>
      </c>
      <c r="D756" s="1" t="s">
        <v>2</v>
      </c>
      <c r="E756" s="1">
        <v>54</v>
      </c>
      <c r="F756" s="1" t="s">
        <v>4152</v>
      </c>
      <c r="G756" s="1" t="s">
        <v>4517</v>
      </c>
      <c r="H756" s="1" t="s">
        <v>4668</v>
      </c>
      <c r="I756" s="1" t="s">
        <v>11</v>
      </c>
      <c r="J756" s="1" t="s">
        <v>4657</v>
      </c>
      <c r="K756" s="1" t="s">
        <v>4155</v>
      </c>
      <c r="L756" s="1" t="s">
        <v>4154</v>
      </c>
      <c r="M756" s="1" t="s">
        <v>4658</v>
      </c>
      <c r="O756" s="1" t="s">
        <v>4517</v>
      </c>
      <c r="P756" s="1" t="s">
        <v>4659</v>
      </c>
      <c r="Q756" s="1">
        <v>2008</v>
      </c>
      <c r="R756" s="1" t="s">
        <v>4660</v>
      </c>
      <c r="S756" s="1" t="s">
        <v>25</v>
      </c>
      <c r="T756" s="38">
        <v>1</v>
      </c>
      <c r="U756" s="1" t="s">
        <v>4669</v>
      </c>
      <c r="V756" s="1" t="s">
        <v>4671</v>
      </c>
    </row>
    <row r="757" spans="1:169" x14ac:dyDescent="0.2">
      <c r="A757" s="1" t="s">
        <v>4690</v>
      </c>
      <c r="B757" s="1" t="s">
        <v>57</v>
      </c>
      <c r="C757" s="1" t="s">
        <v>4655</v>
      </c>
      <c r="D757" s="1" t="s">
        <v>2</v>
      </c>
      <c r="E757" s="1">
        <v>54</v>
      </c>
      <c r="F757" s="1" t="s">
        <v>4152</v>
      </c>
      <c r="G757" s="1" t="s">
        <v>4517</v>
      </c>
      <c r="H757" s="1" t="s">
        <v>4691</v>
      </c>
      <c r="I757" s="1" t="s">
        <v>11</v>
      </c>
      <c r="J757" s="1" t="s">
        <v>4657</v>
      </c>
      <c r="K757" s="1" t="s">
        <v>4155</v>
      </c>
      <c r="L757" s="1" t="s">
        <v>4154</v>
      </c>
      <c r="M757" s="1" t="s">
        <v>4658</v>
      </c>
      <c r="O757" s="1" t="s">
        <v>4517</v>
      </c>
      <c r="P757" s="1" t="s">
        <v>4659</v>
      </c>
      <c r="Q757" s="1">
        <v>2008</v>
      </c>
      <c r="R757" s="1" t="s">
        <v>4660</v>
      </c>
      <c r="S757" s="1" t="s">
        <v>25</v>
      </c>
      <c r="T757" s="38">
        <v>1</v>
      </c>
      <c r="U757" s="1" t="s">
        <v>4692</v>
      </c>
      <c r="V757" s="1" t="s">
        <v>4694</v>
      </c>
    </row>
    <row r="758" spans="1:169" x14ac:dyDescent="0.2">
      <c r="A758" s="1" t="s">
        <v>4695</v>
      </c>
      <c r="B758" s="1" t="s">
        <v>57</v>
      </c>
      <c r="C758" s="1" t="s">
        <v>4655</v>
      </c>
      <c r="D758" s="1" t="s">
        <v>2</v>
      </c>
      <c r="E758" s="1">
        <v>54</v>
      </c>
      <c r="F758" s="1" t="s">
        <v>4152</v>
      </c>
      <c r="G758" s="1" t="s">
        <v>4517</v>
      </c>
      <c r="H758" s="1" t="s">
        <v>4696</v>
      </c>
      <c r="I758" s="1" t="s">
        <v>11</v>
      </c>
      <c r="J758" s="1" t="s">
        <v>4657</v>
      </c>
      <c r="K758" s="1" t="s">
        <v>4155</v>
      </c>
      <c r="L758" s="1" t="s">
        <v>4154</v>
      </c>
      <c r="M758" s="1" t="s">
        <v>4658</v>
      </c>
      <c r="O758" s="1" t="s">
        <v>4517</v>
      </c>
      <c r="P758" s="1" t="s">
        <v>4659</v>
      </c>
      <c r="Q758" s="1">
        <v>2008</v>
      </c>
      <c r="R758" s="1" t="s">
        <v>4660</v>
      </c>
      <c r="S758" s="1" t="s">
        <v>25</v>
      </c>
      <c r="T758" s="38">
        <v>1</v>
      </c>
      <c r="U758" s="1" t="s">
        <v>4697</v>
      </c>
      <c r="V758" s="1" t="s">
        <v>4699</v>
      </c>
    </row>
    <row r="759" spans="1:169" x14ac:dyDescent="0.2">
      <c r="A759" s="1" t="s">
        <v>4701</v>
      </c>
      <c r="B759" s="1" t="s">
        <v>1911</v>
      </c>
      <c r="C759" s="1" t="s">
        <v>4702</v>
      </c>
      <c r="E759" s="1">
        <v>42</v>
      </c>
      <c r="F759" s="1" t="s">
        <v>4703</v>
      </c>
      <c r="G759" s="1" t="s">
        <v>4517</v>
      </c>
      <c r="H759" s="1" t="s">
        <v>4704</v>
      </c>
      <c r="I759" s="1" t="s">
        <v>7</v>
      </c>
      <c r="J759" s="1" t="s">
        <v>4705</v>
      </c>
      <c r="K759" s="1" t="s">
        <v>4706</v>
      </c>
      <c r="L759" s="1" t="s">
        <v>4705</v>
      </c>
      <c r="M759" s="1" t="s">
        <v>4517</v>
      </c>
      <c r="O759" s="1" t="s">
        <v>4517</v>
      </c>
      <c r="P759" s="1" t="s">
        <v>4707</v>
      </c>
      <c r="Q759" s="1">
        <v>2007</v>
      </c>
      <c r="R759" s="1" t="s">
        <v>4708</v>
      </c>
      <c r="S759" s="1" t="s">
        <v>25</v>
      </c>
      <c r="T759" s="38">
        <v>1</v>
      </c>
      <c r="U759" s="1">
        <v>82.97</v>
      </c>
      <c r="X759" s="1">
        <v>0.25</v>
      </c>
    </row>
    <row r="760" spans="1:169" x14ac:dyDescent="0.2">
      <c r="A760" s="1" t="s">
        <v>4718</v>
      </c>
      <c r="B760" s="1" t="s">
        <v>57</v>
      </c>
      <c r="C760" s="1" t="s">
        <v>4719</v>
      </c>
      <c r="D760" s="1" t="s">
        <v>2</v>
      </c>
      <c r="E760" s="1">
        <v>52</v>
      </c>
      <c r="F760" s="1" t="s">
        <v>3761</v>
      </c>
      <c r="G760" s="1" t="s">
        <v>4517</v>
      </c>
      <c r="H760" s="1" t="s">
        <v>4720</v>
      </c>
      <c r="I760" s="1" t="s">
        <v>7</v>
      </c>
      <c r="J760" s="1" t="s">
        <v>4721</v>
      </c>
      <c r="K760" s="1" t="s">
        <v>3764</v>
      </c>
      <c r="L760" s="1" t="s">
        <v>3765</v>
      </c>
      <c r="M760" s="1" t="s">
        <v>4722</v>
      </c>
      <c r="O760" s="1" t="s">
        <v>4517</v>
      </c>
      <c r="Q760" s="1">
        <v>2006</v>
      </c>
      <c r="R760" s="1" t="s">
        <v>4723</v>
      </c>
      <c r="S760" s="1" t="s">
        <v>25</v>
      </c>
      <c r="T760" s="38">
        <v>1</v>
      </c>
      <c r="V760" s="1">
        <v>1.1000000000000001</v>
      </c>
      <c r="Y760" s="1">
        <v>0.14849999999999999</v>
      </c>
      <c r="Z760" s="1">
        <v>0.1047</v>
      </c>
      <c r="AA760" s="1">
        <v>0.18559999999999999</v>
      </c>
      <c r="AF760" s="1">
        <v>9.8000000000000004E-2</v>
      </c>
      <c r="AG760" s="1">
        <v>6.0900000000000003E-2</v>
      </c>
      <c r="AW760" s="1">
        <v>6.3E-3</v>
      </c>
      <c r="BA760" s="1">
        <v>0.1123</v>
      </c>
      <c r="BD760" s="1">
        <v>4.7000000000000002E-3</v>
      </c>
      <c r="BG760" s="1">
        <v>2.4099999999999998E-3</v>
      </c>
      <c r="BI760" s="1">
        <v>5.0000000000000001E-4</v>
      </c>
      <c r="BM760" s="1">
        <v>8.0000000000000004E-4</v>
      </c>
      <c r="BZ760" s="1">
        <v>8.3999999999999995E-3</v>
      </c>
      <c r="CC760" s="1">
        <v>3.4299999999999997E-2</v>
      </c>
      <c r="CK760" s="1">
        <v>2.4899999999999999E-2</v>
      </c>
      <c r="CM760" s="1">
        <v>2.29E-2</v>
      </c>
      <c r="CZ760" s="1">
        <v>1.43E-2</v>
      </c>
      <c r="DN760" s="1">
        <v>3.5700000000000003E-2</v>
      </c>
      <c r="DT760" s="1">
        <v>7.1000000000000004E-3</v>
      </c>
      <c r="DV760" s="1">
        <v>3.2000000000000002E-3</v>
      </c>
      <c r="DY760" s="1">
        <v>1.9900000000000001E-2</v>
      </c>
      <c r="EH760" s="1">
        <v>7.7999999999999996E-3</v>
      </c>
      <c r="EK760" s="1">
        <v>1.4E-3</v>
      </c>
      <c r="EX760" s="1">
        <v>1.66E-2</v>
      </c>
      <c r="FA760" s="1">
        <v>2.8E-3</v>
      </c>
      <c r="FE760" s="1">
        <v>3.39E-2</v>
      </c>
      <c r="FI760" s="1">
        <v>6.9999999999999999E-4</v>
      </c>
      <c r="FJ760" s="1">
        <v>4.53E-2</v>
      </c>
      <c r="FM760" s="1">
        <v>1.0999999999999999E-2</v>
      </c>
    </row>
    <row r="761" spans="1:169" x14ac:dyDescent="0.2">
      <c r="A761" s="1" t="s">
        <v>4724</v>
      </c>
      <c r="B761" s="1" t="s">
        <v>57</v>
      </c>
      <c r="C761" s="1" t="s">
        <v>4719</v>
      </c>
      <c r="D761" s="1" t="s">
        <v>2</v>
      </c>
      <c r="E761" s="1">
        <v>52</v>
      </c>
      <c r="F761" s="1" t="s">
        <v>3761</v>
      </c>
      <c r="G761" s="1" t="s">
        <v>4517</v>
      </c>
      <c r="H761" s="1" t="s">
        <v>4720</v>
      </c>
      <c r="I761" s="1" t="s">
        <v>7</v>
      </c>
      <c r="J761" s="1" t="s">
        <v>4721</v>
      </c>
      <c r="K761" s="1" t="s">
        <v>3764</v>
      </c>
      <c r="L761" s="1" t="s">
        <v>3765</v>
      </c>
      <c r="M761" s="1" t="s">
        <v>4725</v>
      </c>
      <c r="O761" s="1" t="s">
        <v>4517</v>
      </c>
      <c r="Q761" s="1">
        <v>2006</v>
      </c>
      <c r="R761" s="1" t="s">
        <v>4723</v>
      </c>
      <c r="S761" s="1" t="s">
        <v>25</v>
      </c>
      <c r="T761" s="38">
        <v>1</v>
      </c>
      <c r="V761" s="1">
        <v>2.5</v>
      </c>
      <c r="Y761" s="1">
        <v>0.21329999999999999</v>
      </c>
      <c r="Z761" s="1">
        <v>9.0399999999999994E-2</v>
      </c>
      <c r="AA761" s="1">
        <v>0.1555</v>
      </c>
      <c r="AF761" s="1">
        <v>8.4900000000000003E-2</v>
      </c>
      <c r="AG761" s="1">
        <v>4.9700000000000001E-2</v>
      </c>
      <c r="AW761" s="1">
        <v>4.4000000000000003E-3</v>
      </c>
      <c r="BA761" s="1">
        <v>0.18010000000000001</v>
      </c>
      <c r="BD761" s="1">
        <v>4.4999999999999997E-3</v>
      </c>
      <c r="BG761" s="1">
        <v>2.4399999999999999E-3</v>
      </c>
      <c r="BI761" s="1">
        <v>1E-4</v>
      </c>
      <c r="BM761" s="1">
        <v>5.0000000000000001E-4</v>
      </c>
      <c r="BZ761" s="1">
        <v>6.0000000000000001E-3</v>
      </c>
      <c r="CC761" s="1">
        <v>2.9899999999999999E-2</v>
      </c>
      <c r="CK761" s="1">
        <v>2.18E-2</v>
      </c>
      <c r="CM761" s="1">
        <v>1.8499999999999999E-2</v>
      </c>
      <c r="CZ761" s="1">
        <v>1.4200000000000001E-2</v>
      </c>
      <c r="DN761" s="1">
        <v>2.0899999999999998E-2</v>
      </c>
      <c r="DT761" s="1">
        <v>3.8E-3</v>
      </c>
      <c r="DV761" s="1">
        <v>2.9999999999999997E-4</v>
      </c>
      <c r="DY761" s="1">
        <v>2.06E-2</v>
      </c>
      <c r="EH761" s="1">
        <v>4.1999999999999997E-3</v>
      </c>
      <c r="EK761" s="1">
        <v>8.9999999999999998E-4</v>
      </c>
      <c r="EX761" s="1">
        <v>2.0899999999999998E-2</v>
      </c>
      <c r="FA761" s="1">
        <v>2.7000000000000001E-3</v>
      </c>
      <c r="FE761" s="1">
        <v>2.8400000000000002E-2</v>
      </c>
      <c r="FI761" s="1">
        <v>5.0000000000000001E-4</v>
      </c>
      <c r="FJ761" s="1">
        <v>4.5100000000000001E-2</v>
      </c>
      <c r="FM761" s="1">
        <v>7.1000000000000004E-3</v>
      </c>
    </row>
    <row r="762" spans="1:169" x14ac:dyDescent="0.2">
      <c r="A762" s="1" t="s">
        <v>4726</v>
      </c>
      <c r="B762" s="1" t="s">
        <v>57</v>
      </c>
      <c r="C762" s="1" t="s">
        <v>4719</v>
      </c>
      <c r="D762" s="1" t="s">
        <v>2</v>
      </c>
      <c r="E762" s="1">
        <v>52</v>
      </c>
      <c r="F762" s="1" t="s">
        <v>3761</v>
      </c>
      <c r="G762" s="1" t="s">
        <v>4517</v>
      </c>
      <c r="H762" s="1" t="s">
        <v>4720</v>
      </c>
      <c r="I762" s="1" t="s">
        <v>7</v>
      </c>
      <c r="J762" s="1" t="s">
        <v>4721</v>
      </c>
      <c r="K762" s="1" t="s">
        <v>3764</v>
      </c>
      <c r="L762" s="1" t="s">
        <v>3765</v>
      </c>
      <c r="M762" s="1" t="s">
        <v>4727</v>
      </c>
      <c r="O762" s="1" t="s">
        <v>4517</v>
      </c>
      <c r="Q762" s="1">
        <v>2006</v>
      </c>
      <c r="R762" s="1" t="s">
        <v>4723</v>
      </c>
      <c r="S762" s="1" t="s">
        <v>25</v>
      </c>
      <c r="T762" s="38">
        <v>1</v>
      </c>
      <c r="V762" s="1">
        <v>0.8</v>
      </c>
      <c r="Y762" s="1">
        <v>9.69E-2</v>
      </c>
      <c r="Z762" s="1">
        <v>6.88E-2</v>
      </c>
      <c r="AA762" s="1">
        <v>0.1229</v>
      </c>
      <c r="AF762" s="1">
        <v>7.0400000000000004E-2</v>
      </c>
      <c r="AG762" s="1">
        <v>3.4099999999999998E-2</v>
      </c>
      <c r="AW762" s="1">
        <v>4.4000000000000003E-3</v>
      </c>
      <c r="BA762" s="1">
        <v>7.0599999999999996E-2</v>
      </c>
      <c r="BD762" s="1">
        <v>4.0000000000000001E-3</v>
      </c>
      <c r="BG762" s="1">
        <v>1.7700000000000001E-3</v>
      </c>
      <c r="BI762" s="1">
        <v>2.9999999999999997E-4</v>
      </c>
      <c r="BZ762" s="1">
        <v>5.5999999999999999E-3</v>
      </c>
      <c r="CC762" s="1">
        <v>1.6500000000000001E-2</v>
      </c>
      <c r="CK762" s="1">
        <v>2.01E-2</v>
      </c>
      <c r="CM762" s="1">
        <v>1.6199999999999999E-2</v>
      </c>
      <c r="CZ762" s="1">
        <v>1.03E-2</v>
      </c>
      <c r="DN762" s="1">
        <v>1.5800000000000002E-2</v>
      </c>
      <c r="DT762" s="1">
        <v>3.8E-3</v>
      </c>
      <c r="DV762" s="1">
        <v>1.8E-3</v>
      </c>
      <c r="DY762" s="1">
        <v>1.66E-2</v>
      </c>
      <c r="EH762" s="1">
        <v>4.7000000000000002E-3</v>
      </c>
      <c r="EK762" s="1">
        <v>6.9999999999999999E-4</v>
      </c>
      <c r="EX762" s="1">
        <v>1.26E-2</v>
      </c>
      <c r="FA762" s="1">
        <v>1.9E-3</v>
      </c>
      <c r="FE762" s="1">
        <v>2.58E-2</v>
      </c>
      <c r="FI762" s="1">
        <v>2.0000000000000001E-4</v>
      </c>
      <c r="FJ762" s="1">
        <v>3.27E-2</v>
      </c>
      <c r="FM762" s="1">
        <v>6.6E-3</v>
      </c>
    </row>
    <row r="763" spans="1:169" x14ac:dyDescent="0.2">
      <c r="A763" s="1" t="s">
        <v>4728</v>
      </c>
      <c r="B763" s="1" t="s">
        <v>57</v>
      </c>
      <c r="C763" s="1" t="s">
        <v>4719</v>
      </c>
      <c r="D763" s="1" t="s">
        <v>2</v>
      </c>
      <c r="E763" s="1">
        <v>52</v>
      </c>
      <c r="F763" s="1" t="s">
        <v>3761</v>
      </c>
      <c r="G763" s="1" t="s">
        <v>4517</v>
      </c>
      <c r="H763" s="1" t="s">
        <v>4720</v>
      </c>
      <c r="I763" s="1" t="s">
        <v>7</v>
      </c>
      <c r="J763" s="1" t="s">
        <v>4721</v>
      </c>
      <c r="K763" s="1" t="s">
        <v>3764</v>
      </c>
      <c r="L763" s="1" t="s">
        <v>3765</v>
      </c>
      <c r="M763" s="1" t="s">
        <v>4729</v>
      </c>
      <c r="O763" s="1" t="s">
        <v>4517</v>
      </c>
      <c r="Q763" s="1">
        <v>2006</v>
      </c>
      <c r="R763" s="1" t="s">
        <v>4723</v>
      </c>
      <c r="S763" s="1" t="s">
        <v>25</v>
      </c>
      <c r="T763" s="38">
        <v>1</v>
      </c>
      <c r="V763" s="1">
        <v>1.2</v>
      </c>
      <c r="Y763" s="1">
        <v>0.155</v>
      </c>
      <c r="Z763" s="1">
        <v>0.10299999999999999</v>
      </c>
      <c r="AA763" s="1">
        <v>0.1988</v>
      </c>
      <c r="AF763" s="1">
        <v>0.11310000000000001</v>
      </c>
      <c r="AG763" s="1">
        <v>6.0400000000000002E-2</v>
      </c>
      <c r="AW763" s="1">
        <v>7.1000000000000004E-3</v>
      </c>
      <c r="BA763" s="1">
        <v>0.1153</v>
      </c>
      <c r="BD763" s="1">
        <v>5.1000000000000004E-3</v>
      </c>
      <c r="BG763" s="1">
        <v>2.66E-3</v>
      </c>
      <c r="BI763" s="1">
        <v>5.9999999999999995E-4</v>
      </c>
      <c r="BM763" s="1">
        <v>2.9999999999999997E-4</v>
      </c>
      <c r="BZ763" s="1">
        <v>8.0999999999999996E-3</v>
      </c>
      <c r="CC763" s="1">
        <v>3.1600000000000003E-2</v>
      </c>
      <c r="CK763" s="1">
        <v>2.7099999999999999E-2</v>
      </c>
      <c r="CM763" s="1">
        <v>2.3800000000000002E-2</v>
      </c>
      <c r="CZ763" s="1">
        <v>1.2500000000000001E-2</v>
      </c>
      <c r="DN763" s="1">
        <v>3.0499999999999999E-2</v>
      </c>
      <c r="DT763" s="1">
        <v>5.8999999999999999E-3</v>
      </c>
      <c r="DV763" s="1">
        <v>2.3999999999999998E-3</v>
      </c>
      <c r="DY763" s="1">
        <v>2.29E-2</v>
      </c>
      <c r="EH763" s="1">
        <v>7.6E-3</v>
      </c>
      <c r="EK763" s="1">
        <v>1.6000000000000001E-3</v>
      </c>
      <c r="EX763" s="1">
        <v>1.9E-2</v>
      </c>
      <c r="FA763" s="1">
        <v>2.8E-3</v>
      </c>
      <c r="FE763" s="1">
        <v>4.0599999999999997E-2</v>
      </c>
      <c r="FI763" s="1">
        <v>5.9999999999999995E-4</v>
      </c>
      <c r="FJ763" s="1">
        <v>5.2299999999999999E-2</v>
      </c>
      <c r="FM763" s="1">
        <v>1.26E-2</v>
      </c>
    </row>
    <row r="764" spans="1:169" x14ac:dyDescent="0.2">
      <c r="A764" s="1" t="s">
        <v>4730</v>
      </c>
      <c r="B764" s="1" t="s">
        <v>57</v>
      </c>
      <c r="C764" s="1" t="s">
        <v>4719</v>
      </c>
      <c r="D764" s="1" t="s">
        <v>2</v>
      </c>
      <c r="E764" s="1">
        <v>52</v>
      </c>
      <c r="F764" s="1" t="s">
        <v>4731</v>
      </c>
      <c r="G764" s="1" t="s">
        <v>4517</v>
      </c>
      <c r="H764" s="1" t="s">
        <v>4732</v>
      </c>
      <c r="I764" s="1" t="s">
        <v>7</v>
      </c>
      <c r="J764" s="1" t="s">
        <v>4733</v>
      </c>
      <c r="K764" s="1" t="s">
        <v>4734</v>
      </c>
      <c r="L764" s="1" t="s">
        <v>4733</v>
      </c>
      <c r="M764" s="1" t="s">
        <v>4722</v>
      </c>
      <c r="O764" s="1" t="s">
        <v>4517</v>
      </c>
      <c r="Q764" s="1">
        <v>2006</v>
      </c>
      <c r="R764" s="1" t="s">
        <v>4723</v>
      </c>
      <c r="S764" s="1" t="s">
        <v>25</v>
      </c>
      <c r="T764" s="38">
        <v>1</v>
      </c>
      <c r="V764" s="1">
        <v>1.2</v>
      </c>
      <c r="Y764" s="1">
        <v>0.13589999999999999</v>
      </c>
      <c r="Z764" s="1">
        <v>0.1145</v>
      </c>
      <c r="AA764" s="1">
        <v>0.1802</v>
      </c>
      <c r="AF764" s="1">
        <v>0.1004</v>
      </c>
      <c r="AG764" s="1">
        <v>5.7099999999999998E-2</v>
      </c>
      <c r="AW764" s="1">
        <v>1.0800000000000001E-2</v>
      </c>
      <c r="BA764" s="1">
        <v>9.6500000000000002E-2</v>
      </c>
      <c r="BD764" s="1">
        <v>4.4999999999999997E-3</v>
      </c>
      <c r="BG764" s="1">
        <v>2.2599999999999999E-3</v>
      </c>
      <c r="BI764" s="1">
        <v>1.1000000000000001E-3</v>
      </c>
      <c r="BM764" s="1">
        <v>4.0000000000000002E-4</v>
      </c>
      <c r="BW764" s="1">
        <v>3.4299999999999997E-2</v>
      </c>
      <c r="CA764" s="1">
        <v>1.12E-2</v>
      </c>
      <c r="CK764" s="1">
        <v>2.6700000000000002E-2</v>
      </c>
      <c r="CM764" s="1">
        <v>2.8799999999999999E-2</v>
      </c>
      <c r="CZ764" s="1">
        <v>1.35E-2</v>
      </c>
      <c r="DN764" s="1">
        <v>2.41E-2</v>
      </c>
      <c r="DT764" s="1">
        <v>4.1000000000000003E-3</v>
      </c>
      <c r="DV764" s="1">
        <v>1.2999999999999999E-3</v>
      </c>
      <c r="DY764" s="1">
        <v>2.1700000000000001E-2</v>
      </c>
      <c r="EH764" s="1">
        <v>6.7000000000000002E-3</v>
      </c>
      <c r="EK764" s="1">
        <v>1.6000000000000001E-3</v>
      </c>
      <c r="EX764" s="1">
        <v>2.3099999999999999E-2</v>
      </c>
      <c r="FA764" s="1">
        <v>3.5000000000000001E-3</v>
      </c>
      <c r="FE764" s="1">
        <v>4.0300000000000002E-2</v>
      </c>
      <c r="FI764" s="1">
        <v>6.9999999999999999E-4</v>
      </c>
      <c r="FJ764" s="1">
        <v>4.58E-2</v>
      </c>
      <c r="FM764" s="1">
        <v>7.6E-3</v>
      </c>
    </row>
    <row r="765" spans="1:169" x14ac:dyDescent="0.2">
      <c r="A765" s="1" t="s">
        <v>4735</v>
      </c>
      <c r="B765" s="1" t="s">
        <v>57</v>
      </c>
      <c r="C765" s="1" t="s">
        <v>4719</v>
      </c>
      <c r="D765" s="1" t="s">
        <v>2</v>
      </c>
      <c r="E765" s="1">
        <v>52</v>
      </c>
      <c r="F765" s="1" t="s">
        <v>4731</v>
      </c>
      <c r="G765" s="1" t="s">
        <v>4517</v>
      </c>
      <c r="H765" s="1" t="s">
        <v>4732</v>
      </c>
      <c r="I765" s="1" t="s">
        <v>7</v>
      </c>
      <c r="J765" s="1" t="s">
        <v>4733</v>
      </c>
      <c r="K765" s="1" t="s">
        <v>4734</v>
      </c>
      <c r="L765" s="1" t="s">
        <v>4733</v>
      </c>
      <c r="M765" s="1" t="s">
        <v>4725</v>
      </c>
      <c r="O765" s="1" t="s">
        <v>4517</v>
      </c>
      <c r="Q765" s="1">
        <v>2006</v>
      </c>
      <c r="R765" s="1" t="s">
        <v>4723</v>
      </c>
      <c r="S765" s="1" t="s">
        <v>25</v>
      </c>
      <c r="T765" s="38">
        <v>1</v>
      </c>
      <c r="V765" s="1">
        <v>2.7</v>
      </c>
      <c r="Y765" s="1">
        <v>0.17749999999999999</v>
      </c>
      <c r="Z765" s="1">
        <v>9.6500000000000002E-2</v>
      </c>
      <c r="AA765" s="1">
        <v>0.1565</v>
      </c>
      <c r="AF765" s="1">
        <v>8.8300000000000003E-2</v>
      </c>
      <c r="AG765" s="1">
        <v>4.6300000000000001E-2</v>
      </c>
      <c r="AW765" s="1">
        <v>7.0000000000000001E-3</v>
      </c>
      <c r="BA765" s="1">
        <v>0.14349999999999999</v>
      </c>
      <c r="BD765" s="1">
        <v>3.7000000000000002E-3</v>
      </c>
      <c r="BG765" s="1">
        <v>2.2200000000000002E-3</v>
      </c>
      <c r="BI765" s="1">
        <v>8.0000000000000004E-4</v>
      </c>
      <c r="BM765" s="1">
        <v>2.9999999999999997E-4</v>
      </c>
      <c r="BW765" s="1">
        <v>2.7400000000000001E-2</v>
      </c>
      <c r="CA765" s="1">
        <v>7.7000000000000002E-3</v>
      </c>
      <c r="CK765" s="1">
        <v>2.4199999999999999E-2</v>
      </c>
      <c r="CM765" s="1">
        <v>2.41E-2</v>
      </c>
      <c r="CZ765" s="1">
        <v>1.2999999999999999E-2</v>
      </c>
      <c r="DN765" s="1">
        <v>1.4E-2</v>
      </c>
      <c r="DT765" s="1">
        <v>2.3E-3</v>
      </c>
      <c r="DV765" s="1">
        <v>1E-4</v>
      </c>
      <c r="DY765" s="1">
        <v>2.1600000000000001E-2</v>
      </c>
      <c r="EH765" s="1">
        <v>6.0000000000000001E-3</v>
      </c>
      <c r="EK765" s="1">
        <v>6.9999999999999999E-4</v>
      </c>
      <c r="EX765" s="1">
        <v>2.4799999999999999E-2</v>
      </c>
      <c r="FA765" s="1">
        <v>3.8E-3</v>
      </c>
      <c r="FE765" s="1">
        <v>3.2500000000000001E-2</v>
      </c>
      <c r="FI765" s="1">
        <v>6.9999999999999999E-4</v>
      </c>
      <c r="FJ765" s="1">
        <v>4.4400000000000002E-2</v>
      </c>
      <c r="FM765" s="1">
        <v>5.4000000000000003E-3</v>
      </c>
    </row>
    <row r="766" spans="1:169" x14ac:dyDescent="0.2">
      <c r="A766" s="1" t="s">
        <v>4736</v>
      </c>
      <c r="B766" s="1" t="s">
        <v>57</v>
      </c>
      <c r="C766" s="1" t="s">
        <v>4719</v>
      </c>
      <c r="D766" s="1" t="s">
        <v>2</v>
      </c>
      <c r="E766" s="1">
        <v>52</v>
      </c>
      <c r="F766" s="1" t="s">
        <v>4731</v>
      </c>
      <c r="G766" s="1" t="s">
        <v>4517</v>
      </c>
      <c r="H766" s="1" t="s">
        <v>4732</v>
      </c>
      <c r="I766" s="1" t="s">
        <v>7</v>
      </c>
      <c r="J766" s="1" t="s">
        <v>4733</v>
      </c>
      <c r="K766" s="1" t="s">
        <v>4734</v>
      </c>
      <c r="L766" s="1" t="s">
        <v>4733</v>
      </c>
      <c r="M766" s="1" t="s">
        <v>4727</v>
      </c>
      <c r="O766" s="1" t="s">
        <v>4517</v>
      </c>
      <c r="Q766" s="1">
        <v>2006</v>
      </c>
      <c r="R766" s="1" t="s">
        <v>4723</v>
      </c>
      <c r="S766" s="1" t="s">
        <v>25</v>
      </c>
      <c r="T766" s="38">
        <v>1</v>
      </c>
      <c r="V766" s="1">
        <v>0.9</v>
      </c>
      <c r="Y766" s="1">
        <v>9.5600000000000004E-2</v>
      </c>
      <c r="Z766" s="1">
        <v>8.72E-2</v>
      </c>
      <c r="AA766" s="1">
        <v>0.1404</v>
      </c>
      <c r="AF766" s="1">
        <v>7.9399999999999998E-2</v>
      </c>
      <c r="AG766" s="1">
        <v>3.49E-2</v>
      </c>
      <c r="AW766" s="1">
        <v>6.4000000000000003E-3</v>
      </c>
      <c r="BA766" s="1">
        <v>6.6299999999999998E-2</v>
      </c>
      <c r="BD766" s="1">
        <v>3.5000000000000001E-3</v>
      </c>
      <c r="BG766" s="1">
        <v>1.8699999999999999E-3</v>
      </c>
      <c r="BI766" s="1">
        <v>5.9999999999999995E-4</v>
      </c>
      <c r="BW766" s="1">
        <v>2.3400000000000001E-2</v>
      </c>
      <c r="CA766" s="1">
        <v>4.0000000000000001E-3</v>
      </c>
      <c r="CK766" s="1">
        <v>2.29E-2</v>
      </c>
      <c r="CM766" s="1">
        <v>2.1700000000000001E-2</v>
      </c>
      <c r="CZ766" s="1">
        <v>1.18E-2</v>
      </c>
      <c r="DN766" s="1">
        <v>1.55E-2</v>
      </c>
      <c r="DT766" s="1">
        <v>3.2000000000000002E-3</v>
      </c>
      <c r="DV766" s="1">
        <v>1.4E-3</v>
      </c>
      <c r="DY766" s="1">
        <v>2.01E-2</v>
      </c>
      <c r="EH766" s="1">
        <v>5.1999999999999998E-3</v>
      </c>
      <c r="EK766" s="1">
        <v>8.9999999999999998E-4</v>
      </c>
      <c r="EX766" s="1">
        <v>1.83E-2</v>
      </c>
      <c r="FA766" s="1">
        <v>2.3999999999999998E-3</v>
      </c>
      <c r="FE766" s="1">
        <v>3.4000000000000002E-2</v>
      </c>
      <c r="FI766" s="1">
        <v>4.0000000000000002E-4</v>
      </c>
      <c r="FJ766" s="1">
        <v>3.2000000000000001E-2</v>
      </c>
      <c r="FM766" s="1">
        <v>7.1999999999999998E-3</v>
      </c>
    </row>
    <row r="767" spans="1:169" x14ac:dyDescent="0.2">
      <c r="A767" s="1" t="s">
        <v>4737</v>
      </c>
      <c r="B767" s="1" t="s">
        <v>57</v>
      </c>
      <c r="C767" s="1" t="s">
        <v>4719</v>
      </c>
      <c r="D767" s="1" t="s">
        <v>2</v>
      </c>
      <c r="E767" s="1">
        <v>52</v>
      </c>
      <c r="F767" s="1" t="s">
        <v>4731</v>
      </c>
      <c r="G767" s="1" t="s">
        <v>4517</v>
      </c>
      <c r="H767" s="1" t="s">
        <v>4732</v>
      </c>
      <c r="I767" s="1" t="s">
        <v>7</v>
      </c>
      <c r="J767" s="1" t="s">
        <v>4733</v>
      </c>
      <c r="K767" s="1" t="s">
        <v>4734</v>
      </c>
      <c r="L767" s="1" t="s">
        <v>4733</v>
      </c>
      <c r="M767" s="1" t="s">
        <v>4729</v>
      </c>
      <c r="O767" s="1" t="s">
        <v>4517</v>
      </c>
      <c r="Q767" s="1">
        <v>2006</v>
      </c>
      <c r="R767" s="1" t="s">
        <v>4723</v>
      </c>
      <c r="S767" s="1" t="s">
        <v>25</v>
      </c>
      <c r="T767" s="38">
        <v>1</v>
      </c>
      <c r="V767" s="1">
        <v>1</v>
      </c>
      <c r="Y767" s="1">
        <v>0.1202</v>
      </c>
      <c r="Z767" s="1">
        <v>0.1191</v>
      </c>
      <c r="AA767" s="1">
        <v>0.19550000000000001</v>
      </c>
      <c r="AF767" s="1">
        <v>0.11210000000000001</v>
      </c>
      <c r="AG767" s="1">
        <v>5.9200000000000003E-2</v>
      </c>
      <c r="AW767" s="1">
        <v>8.5000000000000006E-3</v>
      </c>
      <c r="BA767" s="1">
        <v>7.9899999999999999E-2</v>
      </c>
      <c r="BD767" s="1">
        <v>4.8999999999999998E-3</v>
      </c>
      <c r="BG767" s="1">
        <v>2.5999999999999999E-3</v>
      </c>
      <c r="BI767" s="1">
        <v>8.9999999999999998E-4</v>
      </c>
      <c r="BW767" s="1">
        <v>3.32E-2</v>
      </c>
      <c r="CA767" s="1">
        <v>1.0999999999999999E-2</v>
      </c>
      <c r="CK767" s="1">
        <v>3.09E-2</v>
      </c>
      <c r="CM767" s="1">
        <v>3.0800000000000001E-2</v>
      </c>
      <c r="CZ767" s="1">
        <v>1.3299999999999999E-2</v>
      </c>
      <c r="DN767" s="1">
        <v>2.23E-2</v>
      </c>
      <c r="DT767" s="1">
        <v>4.0000000000000001E-3</v>
      </c>
      <c r="DV767" s="1">
        <v>1E-3</v>
      </c>
      <c r="DY767" s="1">
        <v>2.3099999999999999E-2</v>
      </c>
      <c r="EH767" s="1">
        <v>8.6E-3</v>
      </c>
      <c r="EK767" s="1">
        <v>2.0000000000000001E-4</v>
      </c>
      <c r="EX767" s="1">
        <v>2.53E-2</v>
      </c>
      <c r="FA767" s="1">
        <v>5.4000000000000003E-3</v>
      </c>
      <c r="FE767" s="1">
        <v>4.2700000000000002E-2</v>
      </c>
      <c r="FI767" s="1">
        <v>6.9999999999999999E-4</v>
      </c>
      <c r="FJ767" s="1">
        <v>5.16E-2</v>
      </c>
      <c r="FM767" s="1">
        <v>9.1999999999999998E-3</v>
      </c>
    </row>
    <row r="768" spans="1:169" x14ac:dyDescent="0.2">
      <c r="A768" s="1" t="s">
        <v>4738</v>
      </c>
      <c r="B768" s="1" t="s">
        <v>1911</v>
      </c>
      <c r="C768" s="1" t="s">
        <v>4739</v>
      </c>
      <c r="D768" s="1" t="s">
        <v>2</v>
      </c>
      <c r="E768" s="1">
        <v>41</v>
      </c>
      <c r="F768" s="1" t="s">
        <v>4740</v>
      </c>
      <c r="G768" s="1" t="s">
        <v>4741</v>
      </c>
      <c r="H768" s="1" t="s">
        <v>4742</v>
      </c>
      <c r="I768" s="1" t="s">
        <v>7</v>
      </c>
      <c r="J768" s="1" t="s">
        <v>4743</v>
      </c>
      <c r="K768" s="1" t="s">
        <v>4744</v>
      </c>
      <c r="L768" s="1" t="s">
        <v>4743</v>
      </c>
      <c r="M768" s="1" t="s">
        <v>4517</v>
      </c>
      <c r="N768" s="1" t="s">
        <v>4745</v>
      </c>
      <c r="O768" s="1">
        <v>5</v>
      </c>
      <c r="P768" s="1" t="s">
        <v>4746</v>
      </c>
      <c r="Q768" s="1">
        <v>2001</v>
      </c>
      <c r="R768" s="1" t="s">
        <v>4747</v>
      </c>
      <c r="S768" s="1" t="s">
        <v>25</v>
      </c>
      <c r="T768" s="38">
        <v>1</v>
      </c>
      <c r="V768" s="1">
        <v>1.1000000000000001</v>
      </c>
      <c r="Y768" s="1">
        <v>0.25950000000000001</v>
      </c>
      <c r="Z768" s="1">
        <v>0.15740000000000001</v>
      </c>
      <c r="AA768" s="1">
        <v>0.24160000000000001</v>
      </c>
      <c r="AF768" s="1">
        <v>0.1885</v>
      </c>
      <c r="AG768" s="1">
        <v>0.1129</v>
      </c>
      <c r="AW768" s="1">
        <v>5.4000000000000003E-3</v>
      </c>
      <c r="AY768" s="1">
        <v>1.9E-2</v>
      </c>
      <c r="BA768" s="1">
        <v>0.13200000000000001</v>
      </c>
      <c r="BD768" s="1">
        <v>2.4E-2</v>
      </c>
      <c r="BF768" s="1">
        <v>5.0000000000000001E-4</v>
      </c>
      <c r="BG768" s="1">
        <v>7.5999999999999998E-2</v>
      </c>
      <c r="BI768" s="1">
        <v>6.9999999999999999E-4</v>
      </c>
      <c r="BK768" s="1">
        <v>1.9E-3</v>
      </c>
      <c r="BT768" s="1">
        <v>1.6999999999999999E-3</v>
      </c>
      <c r="BU768" s="1">
        <v>8.0000000000000004E-4</v>
      </c>
      <c r="BX768" s="1">
        <v>1.5E-3</v>
      </c>
      <c r="BZ768" s="1">
        <v>0.02</v>
      </c>
      <c r="CB768" s="1">
        <v>1.2999999999999999E-2</v>
      </c>
      <c r="CE768" s="1">
        <v>2.0999999999999999E-3</v>
      </c>
      <c r="CK768" s="1">
        <v>8.1000000000000003E-2</v>
      </c>
      <c r="CM768" s="1">
        <v>2.1999999999999999E-2</v>
      </c>
      <c r="CO768" s="1">
        <v>1.1000000000000001E-3</v>
      </c>
      <c r="CR768" s="1">
        <v>2.2000000000000001E-3</v>
      </c>
      <c r="CU768" s="1">
        <v>1.8E-3</v>
      </c>
      <c r="CV768" s="1">
        <v>9.1000000000000004E-3</v>
      </c>
      <c r="CW768" s="1">
        <v>1.1000000000000001E-3</v>
      </c>
      <c r="DG768" s="1">
        <v>2.8E-3</v>
      </c>
      <c r="DH768" s="1">
        <v>6.7000000000000002E-3</v>
      </c>
      <c r="DI768" s="1">
        <v>1.1999999999999999E-3</v>
      </c>
      <c r="DN768" s="1">
        <v>6.3E-2</v>
      </c>
      <c r="DO768" s="1">
        <v>1.1000000000000001E-3</v>
      </c>
      <c r="DP768" s="1">
        <v>8.9999999999999998E-4</v>
      </c>
      <c r="EH768" s="1">
        <v>5.5999999999999999E-3</v>
      </c>
      <c r="EJ768" s="1">
        <v>7.1999999999999998E-3</v>
      </c>
      <c r="EK768" s="1">
        <v>8.9999999999999998E-4</v>
      </c>
      <c r="EL768" s="1">
        <v>1.2999999999999999E-3</v>
      </c>
      <c r="EO768" s="1">
        <v>4.0000000000000002E-4</v>
      </c>
      <c r="ET768" s="1">
        <v>1.5E-3</v>
      </c>
      <c r="EX768" s="1">
        <v>3.6999999999999998E-2</v>
      </c>
      <c r="EY768" s="1">
        <v>8.9999999999999998E-4</v>
      </c>
      <c r="FA768" s="1">
        <v>2E-3</v>
      </c>
      <c r="FE768" s="1">
        <v>9.9000000000000005E-2</v>
      </c>
      <c r="FI768" s="1">
        <v>3.3E-3</v>
      </c>
      <c r="FJ768" s="1">
        <v>6.7999999999999996E-3</v>
      </c>
      <c r="FM768" s="1">
        <v>7.2999999999999995E-2</v>
      </c>
    </row>
    <row r="769" spans="1:172" x14ac:dyDescent="0.2">
      <c r="A769" s="1" t="s">
        <v>4748</v>
      </c>
      <c r="B769" s="1" t="s">
        <v>57</v>
      </c>
      <c r="C769" s="1" t="s">
        <v>4749</v>
      </c>
      <c r="D769" s="1" t="s">
        <v>2</v>
      </c>
      <c r="E769" s="1">
        <v>54</v>
      </c>
      <c r="F769" s="1" t="s">
        <v>4750</v>
      </c>
      <c r="G769" s="1" t="s">
        <v>4517</v>
      </c>
      <c r="H769" s="1" t="s">
        <v>4751</v>
      </c>
      <c r="I769" s="1" t="s">
        <v>7</v>
      </c>
      <c r="J769" s="1" t="s">
        <v>4752</v>
      </c>
      <c r="K769" s="1" t="s">
        <v>4753</v>
      </c>
      <c r="L769" s="1" t="s">
        <v>4752</v>
      </c>
      <c r="M769" s="1" t="s">
        <v>3010</v>
      </c>
      <c r="N769" s="1" t="s">
        <v>4754</v>
      </c>
      <c r="O769" s="1" t="s">
        <v>4517</v>
      </c>
      <c r="Q769" s="1">
        <v>2004</v>
      </c>
      <c r="R769" s="1" t="s">
        <v>4755</v>
      </c>
      <c r="S769" s="1" t="s">
        <v>25</v>
      </c>
      <c r="T769" s="38">
        <v>1</v>
      </c>
    </row>
    <row r="770" spans="1:172" x14ac:dyDescent="0.2">
      <c r="A770" s="1" t="s">
        <v>4756</v>
      </c>
      <c r="B770" s="1" t="s">
        <v>57</v>
      </c>
      <c r="C770" s="1" t="s">
        <v>4757</v>
      </c>
      <c r="D770" s="1" t="s">
        <v>2</v>
      </c>
      <c r="E770" s="1">
        <v>54</v>
      </c>
      <c r="F770" s="1" t="s">
        <v>4750</v>
      </c>
      <c r="G770" s="1" t="s">
        <v>4517</v>
      </c>
      <c r="H770" s="1" t="s">
        <v>4751</v>
      </c>
      <c r="I770" s="1" t="s">
        <v>7</v>
      </c>
      <c r="J770" s="1" t="s">
        <v>4752</v>
      </c>
      <c r="K770" s="1" t="s">
        <v>4753</v>
      </c>
      <c r="L770" s="1" t="s">
        <v>4752</v>
      </c>
      <c r="M770" s="1" t="s">
        <v>4758</v>
      </c>
      <c r="N770" s="1" t="s">
        <v>4759</v>
      </c>
      <c r="O770" s="1" t="s">
        <v>4517</v>
      </c>
      <c r="Q770" s="1">
        <v>2004</v>
      </c>
      <c r="R770" s="1" t="s">
        <v>4755</v>
      </c>
      <c r="S770" s="1" t="s">
        <v>25</v>
      </c>
      <c r="T770" s="38">
        <v>1</v>
      </c>
    </row>
    <row r="771" spans="1:172" x14ac:dyDescent="0.2">
      <c r="A771" s="1" t="s">
        <v>4760</v>
      </c>
      <c r="B771" s="1" t="s">
        <v>57</v>
      </c>
      <c r="C771" s="1" t="s">
        <v>4761</v>
      </c>
      <c r="D771" s="1" t="s">
        <v>2</v>
      </c>
      <c r="E771" s="1">
        <v>54</v>
      </c>
      <c r="F771" s="1" t="s">
        <v>4750</v>
      </c>
      <c r="G771" s="1" t="s">
        <v>4517</v>
      </c>
      <c r="H771" s="1" t="s">
        <v>4751</v>
      </c>
      <c r="I771" s="1" t="s">
        <v>7</v>
      </c>
      <c r="J771" s="1" t="s">
        <v>4752</v>
      </c>
      <c r="K771" s="1" t="s">
        <v>4753</v>
      </c>
      <c r="L771" s="1" t="s">
        <v>4752</v>
      </c>
      <c r="M771" s="1" t="s">
        <v>2998</v>
      </c>
      <c r="N771" s="1" t="s">
        <v>4762</v>
      </c>
      <c r="O771" s="1" t="s">
        <v>4517</v>
      </c>
      <c r="Q771" s="1">
        <v>2004</v>
      </c>
      <c r="R771" s="1" t="s">
        <v>4755</v>
      </c>
      <c r="S771" s="1" t="s">
        <v>25</v>
      </c>
      <c r="T771" s="38">
        <v>1</v>
      </c>
    </row>
    <row r="772" spans="1:172" x14ac:dyDescent="0.2">
      <c r="A772" s="1" t="s">
        <v>4763</v>
      </c>
      <c r="B772" s="1" t="s">
        <v>57</v>
      </c>
      <c r="C772" s="1" t="s">
        <v>4764</v>
      </c>
      <c r="D772" s="1" t="s">
        <v>2</v>
      </c>
      <c r="E772" s="1">
        <v>54</v>
      </c>
      <c r="F772" s="1" t="s">
        <v>4750</v>
      </c>
      <c r="G772" s="1" t="s">
        <v>4517</v>
      </c>
      <c r="H772" s="1" t="s">
        <v>4751</v>
      </c>
      <c r="I772" s="1" t="s">
        <v>7</v>
      </c>
      <c r="J772" s="1" t="s">
        <v>4752</v>
      </c>
      <c r="K772" s="1" t="s">
        <v>4753</v>
      </c>
      <c r="L772" s="1" t="s">
        <v>4752</v>
      </c>
      <c r="M772" s="1" t="s">
        <v>3000</v>
      </c>
      <c r="N772" s="1" t="s">
        <v>4765</v>
      </c>
      <c r="O772" s="1" t="s">
        <v>4517</v>
      </c>
      <c r="Q772" s="1">
        <v>2004</v>
      </c>
      <c r="R772" s="1" t="s">
        <v>4755</v>
      </c>
      <c r="S772" s="1" t="s">
        <v>25</v>
      </c>
      <c r="T772" s="38">
        <v>1</v>
      </c>
    </row>
    <row r="773" spans="1:172" x14ac:dyDescent="0.2">
      <c r="A773" s="1" t="s">
        <v>4766</v>
      </c>
      <c r="B773" s="1" t="s">
        <v>57</v>
      </c>
      <c r="C773" s="1" t="s">
        <v>4767</v>
      </c>
      <c r="D773" s="1" t="s">
        <v>2</v>
      </c>
      <c r="E773" s="1">
        <v>54</v>
      </c>
      <c r="F773" s="1" t="s">
        <v>4750</v>
      </c>
      <c r="G773" s="1" t="s">
        <v>4517</v>
      </c>
      <c r="H773" s="1" t="s">
        <v>4751</v>
      </c>
      <c r="I773" s="1" t="s">
        <v>7</v>
      </c>
      <c r="J773" s="1" t="s">
        <v>4752</v>
      </c>
      <c r="K773" s="1" t="s">
        <v>4753</v>
      </c>
      <c r="L773" s="1" t="s">
        <v>4752</v>
      </c>
      <c r="M773" s="1" t="s">
        <v>2996</v>
      </c>
      <c r="N773" s="1" t="s">
        <v>4768</v>
      </c>
      <c r="O773" s="1" t="s">
        <v>4517</v>
      </c>
      <c r="Q773" s="1">
        <v>2004</v>
      </c>
      <c r="R773" s="1" t="s">
        <v>4755</v>
      </c>
      <c r="S773" s="1" t="s">
        <v>25</v>
      </c>
      <c r="T773" s="38">
        <v>1</v>
      </c>
    </row>
    <row r="774" spans="1:172" ht="15" x14ac:dyDescent="0.2">
      <c r="A774" s="1" t="s">
        <v>4769</v>
      </c>
      <c r="B774" s="1" t="s">
        <v>1911</v>
      </c>
      <c r="C774" s="1" t="s">
        <v>4770</v>
      </c>
      <c r="D774" s="1" t="s">
        <v>2</v>
      </c>
      <c r="E774" s="1">
        <v>41</v>
      </c>
      <c r="F774" s="1" t="s">
        <v>4771</v>
      </c>
      <c r="G774" s="1" t="s">
        <v>4517</v>
      </c>
      <c r="H774" s="1" t="s">
        <v>4772</v>
      </c>
      <c r="I774" s="1" t="s">
        <v>7</v>
      </c>
      <c r="J774" s="1" t="s">
        <v>4773</v>
      </c>
      <c r="K774" s="1" t="s">
        <v>4774</v>
      </c>
      <c r="L774" s="1" t="s">
        <v>4773</v>
      </c>
      <c r="M774" s="1" t="s">
        <v>2879</v>
      </c>
      <c r="N774" s="1" t="s">
        <v>4775</v>
      </c>
      <c r="O774" s="1">
        <v>4</v>
      </c>
      <c r="Q774" s="1">
        <v>1997</v>
      </c>
      <c r="R774" s="1" t="s">
        <v>4776</v>
      </c>
      <c r="S774" s="1" t="s">
        <v>25</v>
      </c>
      <c r="T774" s="38">
        <v>1</v>
      </c>
      <c r="AE774" s="1">
        <v>0.373</v>
      </c>
      <c r="AW774" s="1">
        <v>1.8649999999999999E-3</v>
      </c>
      <c r="BA774" s="1">
        <v>5.3712000000000003E-2</v>
      </c>
      <c r="BG774" s="1">
        <v>2.6110000000000001E-2</v>
      </c>
      <c r="BZ774" s="1">
        <v>1.4546999999999999E-2</v>
      </c>
      <c r="DN774" s="1">
        <v>1.4546999999999999E-2</v>
      </c>
      <c r="EH774" s="1">
        <v>1.8649999999999999E-3</v>
      </c>
      <c r="EX774" s="1">
        <v>7.4972999999999998E-2</v>
      </c>
      <c r="FE774" s="1">
        <v>7.3854000000000003E-2</v>
      </c>
      <c r="FJ774" s="1">
        <v>1.8649999999999999E-3</v>
      </c>
      <c r="FM774" s="1">
        <v>1.7158E-2</v>
      </c>
      <c r="FO774" s="1">
        <v>8.4670999999999996E-2</v>
      </c>
      <c r="FP774" s="23">
        <v>2.6308000000000001E-4</v>
      </c>
    </row>
    <row r="775" spans="1:172" x14ac:dyDescent="0.2">
      <c r="A775" s="1" t="s">
        <v>4777</v>
      </c>
      <c r="B775" s="1" t="s">
        <v>1911</v>
      </c>
      <c r="C775" s="1" t="s">
        <v>4778</v>
      </c>
      <c r="D775" s="1" t="s">
        <v>2</v>
      </c>
      <c r="E775" s="1">
        <v>41</v>
      </c>
      <c r="F775" s="1" t="s">
        <v>4779</v>
      </c>
      <c r="G775" s="1" t="s">
        <v>4517</v>
      </c>
      <c r="H775" s="1" t="s">
        <v>4780</v>
      </c>
      <c r="I775" s="1" t="s">
        <v>7</v>
      </c>
      <c r="J775" s="1" t="s">
        <v>4781</v>
      </c>
      <c r="K775" s="1" t="s">
        <v>4782</v>
      </c>
      <c r="L775" s="1" t="s">
        <v>4781</v>
      </c>
      <c r="M775" s="1" t="s">
        <v>2879</v>
      </c>
      <c r="N775" s="1" t="s">
        <v>4783</v>
      </c>
      <c r="O775" s="1">
        <v>4</v>
      </c>
      <c r="Q775" s="1">
        <v>1997</v>
      </c>
      <c r="R775" s="1" t="s">
        <v>4776</v>
      </c>
      <c r="S775" s="1" t="s">
        <v>25</v>
      </c>
      <c r="T775" s="38">
        <v>1</v>
      </c>
      <c r="AE775" s="1">
        <v>0.371</v>
      </c>
      <c r="AW775" s="1">
        <v>2.5969999999999999E-3</v>
      </c>
      <c r="BA775" s="1">
        <v>6.1214999999999999E-2</v>
      </c>
      <c r="BG775" s="1">
        <v>2.0405E-2</v>
      </c>
      <c r="BZ775" s="1">
        <v>1.4468999999999999E-2</v>
      </c>
      <c r="DN775" s="1">
        <v>5.8247E-2</v>
      </c>
      <c r="EH775" s="1">
        <v>6.6779999999999999E-3</v>
      </c>
      <c r="EX775" s="1">
        <v>2.3373000000000001E-2</v>
      </c>
      <c r="FE775" s="1">
        <v>7.8652E-2</v>
      </c>
      <c r="FM775" s="1">
        <v>1.4840000000000001E-2</v>
      </c>
      <c r="FO775" s="1">
        <v>9.1266E-2</v>
      </c>
    </row>
    <row r="776" spans="1:172" x14ac:dyDescent="0.2">
      <c r="A776" s="1" t="s">
        <v>4784</v>
      </c>
      <c r="B776" s="1" t="s">
        <v>57</v>
      </c>
      <c r="C776" s="1" t="s">
        <v>4785</v>
      </c>
      <c r="D776" s="1" t="s">
        <v>4517</v>
      </c>
      <c r="E776" s="1">
        <v>57</v>
      </c>
      <c r="F776" s="1" t="s">
        <v>4637</v>
      </c>
      <c r="G776" s="1" t="s">
        <v>4517</v>
      </c>
      <c r="H776" s="1" t="s">
        <v>4786</v>
      </c>
      <c r="I776" s="1" t="s">
        <v>11</v>
      </c>
      <c r="J776" s="1" t="s">
        <v>4639</v>
      </c>
      <c r="K776" s="1" t="s">
        <v>4640</v>
      </c>
      <c r="L776" s="1" t="s">
        <v>4639</v>
      </c>
      <c r="M776" s="1" t="s">
        <v>4517</v>
      </c>
      <c r="N776" s="1" t="s">
        <v>4787</v>
      </c>
      <c r="O776" s="1" t="s">
        <v>4517</v>
      </c>
      <c r="P776" s="1" t="s">
        <v>4788</v>
      </c>
      <c r="Q776" s="1">
        <v>2000</v>
      </c>
      <c r="R776" s="1" t="s">
        <v>4789</v>
      </c>
      <c r="S776" s="1" t="s">
        <v>25</v>
      </c>
      <c r="T776" s="38">
        <v>1</v>
      </c>
      <c r="U776" s="1">
        <v>74.2</v>
      </c>
      <c r="X776" s="1">
        <v>0.4128</v>
      </c>
    </row>
    <row r="777" spans="1:172" x14ac:dyDescent="0.2">
      <c r="A777" s="1" t="s">
        <v>4790</v>
      </c>
      <c r="B777" s="1" t="s">
        <v>1911</v>
      </c>
      <c r="C777" s="1" t="s">
        <v>4791</v>
      </c>
      <c r="D777" s="1" t="s">
        <v>2</v>
      </c>
      <c r="E777" s="1">
        <v>41</v>
      </c>
      <c r="F777" s="1" t="s">
        <v>4137</v>
      </c>
      <c r="G777" s="1" t="s">
        <v>4517</v>
      </c>
      <c r="H777" s="1" t="s">
        <v>4792</v>
      </c>
      <c r="I777" s="1" t="s">
        <v>7</v>
      </c>
      <c r="J777" s="1" t="s">
        <v>4139</v>
      </c>
      <c r="K777" s="1" t="s">
        <v>4140</v>
      </c>
      <c r="L777" s="1" t="s">
        <v>4139</v>
      </c>
      <c r="M777" s="1" t="s">
        <v>2570</v>
      </c>
      <c r="N777" s="1" t="s">
        <v>4793</v>
      </c>
      <c r="O777" s="1" t="s">
        <v>4517</v>
      </c>
      <c r="P777" s="1" t="s">
        <v>1269</v>
      </c>
      <c r="Q777" s="1">
        <v>2007</v>
      </c>
      <c r="R777" s="1" t="s">
        <v>4794</v>
      </c>
      <c r="S777" s="1" t="s">
        <v>25</v>
      </c>
      <c r="T777" s="38">
        <v>1</v>
      </c>
      <c r="U777" s="1">
        <v>47.87</v>
      </c>
      <c r="V777" s="1">
        <v>18.75</v>
      </c>
      <c r="Y777" s="1">
        <v>3.7422240000000002</v>
      </c>
      <c r="Z777" s="1">
        <v>7.2549720000000004</v>
      </c>
      <c r="AA777" s="1">
        <v>6.1605480000000004</v>
      </c>
      <c r="AD777" s="1">
        <v>0.94144000000000005</v>
      </c>
      <c r="AF777" s="1">
        <v>3.7951800000000002</v>
      </c>
      <c r="AG777" s="1">
        <v>2.3653680000000001</v>
      </c>
      <c r="AW777" s="1">
        <v>0.15886800000000001</v>
      </c>
      <c r="BA777" s="1">
        <v>0.15886800000000001</v>
      </c>
      <c r="BD777" s="1">
        <v>0.15886800000000001</v>
      </c>
      <c r="BG777" s="1">
        <v>0.98851199999999995</v>
      </c>
      <c r="BZ777" s="1">
        <v>1.2885960000000001</v>
      </c>
      <c r="CK777" s="1">
        <v>4.2364800000000002</v>
      </c>
      <c r="CM777" s="1">
        <v>0.67077600000000004</v>
      </c>
      <c r="CZ777" s="1">
        <v>0.82964400000000005</v>
      </c>
      <c r="DN777" s="1">
        <v>0.37069200000000002</v>
      </c>
      <c r="EX777" s="1">
        <v>1.3768560000000001</v>
      </c>
      <c r="FA777" s="1">
        <v>0.14121600000000001</v>
      </c>
      <c r="FE777" s="1">
        <v>1.8887640000000001</v>
      </c>
      <c r="FJ777" s="1">
        <v>0.14121600000000001</v>
      </c>
      <c r="FM777" s="1">
        <v>1.7652000000000001</v>
      </c>
    </row>
    <row r="778" spans="1:172" x14ac:dyDescent="0.2">
      <c r="A778" s="1" t="s">
        <v>4795</v>
      </c>
      <c r="B778" s="1" t="s">
        <v>1911</v>
      </c>
      <c r="C778" s="1" t="s">
        <v>4791</v>
      </c>
      <c r="D778" s="1" t="s">
        <v>2</v>
      </c>
      <c r="E778" s="1">
        <v>41</v>
      </c>
      <c r="F778" s="1" t="s">
        <v>4137</v>
      </c>
      <c r="G778" s="1" t="s">
        <v>4517</v>
      </c>
      <c r="H778" s="1" t="s">
        <v>4796</v>
      </c>
      <c r="I778" s="1" t="s">
        <v>7</v>
      </c>
      <c r="J778" s="1" t="s">
        <v>4139</v>
      </c>
      <c r="K778" s="1" t="s">
        <v>4140</v>
      </c>
      <c r="L778" s="1" t="s">
        <v>4139</v>
      </c>
      <c r="M778" s="1" t="s">
        <v>2570</v>
      </c>
      <c r="N778" s="1" t="s">
        <v>4793</v>
      </c>
      <c r="O778" s="1" t="s">
        <v>4517</v>
      </c>
      <c r="P778" s="1" t="s">
        <v>1269</v>
      </c>
      <c r="Q778" s="1">
        <v>2007</v>
      </c>
      <c r="R778" s="1" t="s">
        <v>4794</v>
      </c>
      <c r="S778" s="1" t="s">
        <v>25</v>
      </c>
      <c r="T778" s="38">
        <v>1</v>
      </c>
      <c r="U778" s="1">
        <v>76.52</v>
      </c>
      <c r="V778" s="1">
        <v>2.2400000000000002</v>
      </c>
      <c r="Y778" s="1">
        <v>0.40171459999999998</v>
      </c>
      <c r="Z778" s="1">
        <v>0.80529764000000004</v>
      </c>
      <c r="AA778" s="1">
        <v>0.61845364000000003</v>
      </c>
      <c r="AD778" s="1">
        <v>0.83412500000000001</v>
      </c>
      <c r="AF778" s="1">
        <v>0.30268728</v>
      </c>
      <c r="AG778" s="1">
        <v>0.31576636000000002</v>
      </c>
      <c r="AW778" s="1">
        <v>1.6815960000000001E-2</v>
      </c>
      <c r="BA778" s="1">
        <v>1.6815960000000001E-2</v>
      </c>
      <c r="BD778" s="1">
        <v>5.6053199999999996E-3</v>
      </c>
      <c r="BG778" s="1">
        <v>8.4079799999999996E-2</v>
      </c>
      <c r="BZ778" s="1">
        <v>0.11023796</v>
      </c>
      <c r="CK778" s="1">
        <v>0.51755788000000003</v>
      </c>
      <c r="CM778" s="1">
        <v>9.3422000000000005E-2</v>
      </c>
      <c r="CZ778" s="1">
        <v>8.2211359999999997E-2</v>
      </c>
      <c r="DN778" s="1">
        <v>0.21113372</v>
      </c>
      <c r="EX778" s="1">
        <v>9.5290440000000004E-2</v>
      </c>
      <c r="FA778" s="1">
        <v>9.3422000000000002E-3</v>
      </c>
      <c r="FE778" s="1">
        <v>0.17563335999999999</v>
      </c>
      <c r="FJ778" s="1">
        <v>1.1210639999999999E-2</v>
      </c>
      <c r="FM778" s="1">
        <v>0.11397483999999999</v>
      </c>
    </row>
    <row r="779" spans="1:172" x14ac:dyDescent="0.2">
      <c r="A779" s="1" t="s">
        <v>4797</v>
      </c>
      <c r="B779" s="1" t="s">
        <v>1911</v>
      </c>
      <c r="C779" s="1" t="s">
        <v>4791</v>
      </c>
      <c r="D779" s="1" t="s">
        <v>2</v>
      </c>
      <c r="E779" s="1">
        <v>41</v>
      </c>
      <c r="F779" s="1" t="s">
        <v>4137</v>
      </c>
      <c r="G779" s="1" t="s">
        <v>4517</v>
      </c>
      <c r="H779" s="1" t="s">
        <v>4798</v>
      </c>
      <c r="I779" s="1" t="s">
        <v>7</v>
      </c>
      <c r="J779" s="1" t="s">
        <v>4139</v>
      </c>
      <c r="K779" s="1" t="s">
        <v>4140</v>
      </c>
      <c r="L779" s="1" t="s">
        <v>4139</v>
      </c>
      <c r="M779" s="1" t="s">
        <v>2570</v>
      </c>
      <c r="N779" s="1" t="s">
        <v>4799</v>
      </c>
      <c r="O779" s="1" t="s">
        <v>4517</v>
      </c>
      <c r="P779" s="1" t="s">
        <v>1269</v>
      </c>
      <c r="Q779" s="1">
        <v>2007</v>
      </c>
      <c r="R779" s="1" t="s">
        <v>4794</v>
      </c>
      <c r="S779" s="1" t="s">
        <v>25</v>
      </c>
      <c r="T779" s="38">
        <v>1</v>
      </c>
      <c r="U779" s="1">
        <v>79.36</v>
      </c>
      <c r="V779" s="1">
        <v>1.48</v>
      </c>
      <c r="Y779" s="1">
        <v>0.25806488</v>
      </c>
      <c r="Z779" s="1">
        <v>0.39166484000000001</v>
      </c>
      <c r="AA779" s="1">
        <v>0.40650927999999997</v>
      </c>
      <c r="AD779" s="1">
        <v>0.77154054054054</v>
      </c>
      <c r="AF779" s="1">
        <v>0.27976060000000003</v>
      </c>
      <c r="AG779" s="1">
        <v>0.12789055999999999</v>
      </c>
      <c r="AW779" s="1">
        <v>4.5675200000000003E-3</v>
      </c>
      <c r="BA779" s="1">
        <v>4.5675200000000003E-3</v>
      </c>
      <c r="BD779" s="1">
        <v>1.2560679999999999E-2</v>
      </c>
      <c r="BG779" s="1">
        <v>7.1938440000000006E-2</v>
      </c>
      <c r="BZ779" s="1">
        <v>4.4533320000000001E-2</v>
      </c>
      <c r="CK779" s="1">
        <v>0.24550420000000001</v>
      </c>
      <c r="CM779" s="1">
        <v>4.910084E-2</v>
      </c>
      <c r="CZ779" s="1">
        <v>5.0242719999999998E-2</v>
      </c>
      <c r="DN779" s="1">
        <v>4.3391440000000003E-2</v>
      </c>
      <c r="EH779" s="1">
        <v>1.5986319999999998E-2</v>
      </c>
      <c r="EX779" s="1">
        <v>5.9377760000000002E-2</v>
      </c>
      <c r="FA779" s="1">
        <v>1.71282E-2</v>
      </c>
      <c r="FE779" s="1">
        <v>0.12446492000000001</v>
      </c>
      <c r="FJ779" s="1">
        <v>7.9931599999999992E-3</v>
      </c>
      <c r="FM779" s="1">
        <v>0.13017432000000001</v>
      </c>
    </row>
    <row r="780" spans="1:172" x14ac:dyDescent="0.2">
      <c r="A780" s="1" t="s">
        <v>4800</v>
      </c>
      <c r="B780" s="1" t="s">
        <v>57</v>
      </c>
      <c r="C780" s="1" t="s">
        <v>4801</v>
      </c>
      <c r="D780" s="1" t="s">
        <v>2</v>
      </c>
      <c r="E780" s="1">
        <v>54</v>
      </c>
      <c r="F780" s="1" t="s">
        <v>4802</v>
      </c>
      <c r="H780" s="1" t="s">
        <v>4803</v>
      </c>
      <c r="I780" s="1" t="s">
        <v>7</v>
      </c>
      <c r="J780" s="1" t="s">
        <v>4804</v>
      </c>
      <c r="K780" s="1" t="s">
        <v>4805</v>
      </c>
      <c r="L780" s="1" t="s">
        <v>4804</v>
      </c>
      <c r="M780" s="1" t="s">
        <v>2966</v>
      </c>
      <c r="P780" s="1" t="s">
        <v>4806</v>
      </c>
      <c r="Q780" s="1">
        <v>1998</v>
      </c>
      <c r="R780" s="1" t="s">
        <v>4807</v>
      </c>
      <c r="S780" s="1" t="s">
        <v>27</v>
      </c>
      <c r="T780" s="38">
        <v>1</v>
      </c>
      <c r="U780" s="1" t="s">
        <v>4808</v>
      </c>
      <c r="V780" s="1">
        <v>3.49</v>
      </c>
    </row>
    <row r="781" spans="1:172" x14ac:dyDescent="0.2">
      <c r="A781" s="1" t="s">
        <v>4809</v>
      </c>
      <c r="B781" s="1" t="s">
        <v>57</v>
      </c>
      <c r="C781" s="1" t="s">
        <v>4801</v>
      </c>
      <c r="D781" s="1" t="s">
        <v>2</v>
      </c>
      <c r="E781" s="1">
        <v>54</v>
      </c>
      <c r="F781" s="1" t="s">
        <v>4802</v>
      </c>
      <c r="H781" s="1" t="s">
        <v>4803</v>
      </c>
      <c r="I781" s="1" t="s">
        <v>7</v>
      </c>
      <c r="J781" s="1" t="s">
        <v>4804</v>
      </c>
      <c r="K781" s="1" t="s">
        <v>4805</v>
      </c>
      <c r="L781" s="1" t="s">
        <v>4804</v>
      </c>
      <c r="M781" s="1" t="s">
        <v>816</v>
      </c>
      <c r="P781" s="1" t="s">
        <v>4806</v>
      </c>
      <c r="Q781" s="1">
        <v>1998</v>
      </c>
      <c r="R781" s="1" t="s">
        <v>4807</v>
      </c>
      <c r="S781" s="1" t="s">
        <v>27</v>
      </c>
      <c r="T781" s="38">
        <v>1</v>
      </c>
      <c r="U781" s="1" t="s">
        <v>4810</v>
      </c>
      <c r="V781" s="1">
        <v>3.36</v>
      </c>
    </row>
    <row r="782" spans="1:172" x14ac:dyDescent="0.2">
      <c r="A782" s="1" t="s">
        <v>4811</v>
      </c>
      <c r="B782" s="1" t="s">
        <v>57</v>
      </c>
      <c r="C782" s="1" t="s">
        <v>4801</v>
      </c>
      <c r="D782" s="1" t="s">
        <v>2</v>
      </c>
      <c r="E782" s="1">
        <v>54</v>
      </c>
      <c r="F782" s="1" t="s">
        <v>4802</v>
      </c>
      <c r="H782" s="1" t="s">
        <v>4803</v>
      </c>
      <c r="I782" s="1" t="s">
        <v>7</v>
      </c>
      <c r="J782" s="1" t="s">
        <v>4804</v>
      </c>
      <c r="K782" s="1" t="s">
        <v>4805</v>
      </c>
      <c r="L782" s="1" t="s">
        <v>4804</v>
      </c>
      <c r="M782" s="1" t="s">
        <v>2889</v>
      </c>
      <c r="P782" s="1" t="s">
        <v>4806</v>
      </c>
      <c r="Q782" s="1">
        <v>1998</v>
      </c>
      <c r="R782" s="1" t="s">
        <v>4807</v>
      </c>
      <c r="S782" s="1" t="s">
        <v>27</v>
      </c>
      <c r="T782" s="38">
        <v>1</v>
      </c>
      <c r="U782" s="1" t="s">
        <v>4812</v>
      </c>
      <c r="V782" s="1">
        <v>3.78</v>
      </c>
    </row>
    <row r="783" spans="1:172" x14ac:dyDescent="0.2">
      <c r="A783" s="1" t="s">
        <v>4813</v>
      </c>
      <c r="B783" s="1" t="s">
        <v>57</v>
      </c>
      <c r="C783" s="1" t="s">
        <v>4801</v>
      </c>
      <c r="D783" s="1" t="s">
        <v>2</v>
      </c>
      <c r="E783" s="1">
        <v>54</v>
      </c>
      <c r="F783" s="1" t="s">
        <v>4802</v>
      </c>
      <c r="H783" s="1" t="s">
        <v>4803</v>
      </c>
      <c r="I783" s="1" t="s">
        <v>7</v>
      </c>
      <c r="J783" s="1" t="s">
        <v>4804</v>
      </c>
      <c r="K783" s="1" t="s">
        <v>4805</v>
      </c>
      <c r="L783" s="1" t="s">
        <v>4804</v>
      </c>
      <c r="M783" s="1" t="s">
        <v>4269</v>
      </c>
      <c r="P783" s="1" t="s">
        <v>4806</v>
      </c>
      <c r="Q783" s="1">
        <v>1998</v>
      </c>
      <c r="R783" s="1" t="s">
        <v>4807</v>
      </c>
      <c r="S783" s="1" t="s">
        <v>27</v>
      </c>
      <c r="T783" s="38">
        <v>1</v>
      </c>
      <c r="U783" s="1" t="s">
        <v>1319</v>
      </c>
      <c r="V783" s="1">
        <v>2.56</v>
      </c>
    </row>
    <row r="784" spans="1:172" x14ac:dyDescent="0.2">
      <c r="A784" s="1" t="s">
        <v>4814</v>
      </c>
      <c r="B784" s="1" t="s">
        <v>57</v>
      </c>
      <c r="C784" s="1" t="s">
        <v>4801</v>
      </c>
      <c r="D784" s="1" t="s">
        <v>2</v>
      </c>
      <c r="E784" s="1">
        <v>54</v>
      </c>
      <c r="F784" s="1" t="s">
        <v>4802</v>
      </c>
      <c r="H784" s="1" t="s">
        <v>4803</v>
      </c>
      <c r="I784" s="1" t="s">
        <v>7</v>
      </c>
      <c r="J784" s="1" t="s">
        <v>4804</v>
      </c>
      <c r="K784" s="1" t="s">
        <v>4805</v>
      </c>
      <c r="L784" s="1" t="s">
        <v>4804</v>
      </c>
      <c r="M784" s="1" t="s">
        <v>748</v>
      </c>
      <c r="P784" s="1" t="s">
        <v>4806</v>
      </c>
      <c r="Q784" s="1">
        <v>1998</v>
      </c>
      <c r="R784" s="1" t="s">
        <v>4807</v>
      </c>
      <c r="S784" s="1" t="s">
        <v>27</v>
      </c>
      <c r="T784" s="38">
        <v>1</v>
      </c>
      <c r="U784" s="1" t="s">
        <v>4815</v>
      </c>
      <c r="V784" s="1">
        <v>2.69</v>
      </c>
    </row>
    <row r="785" spans="1:169" x14ac:dyDescent="0.2">
      <c r="A785" s="1" t="s">
        <v>4816</v>
      </c>
      <c r="B785" s="1" t="s">
        <v>57</v>
      </c>
      <c r="C785" s="1" t="s">
        <v>4801</v>
      </c>
      <c r="D785" s="1" t="s">
        <v>2</v>
      </c>
      <c r="E785" s="1">
        <v>54</v>
      </c>
      <c r="F785" s="1" t="s">
        <v>4802</v>
      </c>
      <c r="H785" s="1" t="s">
        <v>4803</v>
      </c>
      <c r="I785" s="1" t="s">
        <v>7</v>
      </c>
      <c r="J785" s="1" t="s">
        <v>4804</v>
      </c>
      <c r="K785" s="1" t="s">
        <v>4805</v>
      </c>
      <c r="L785" s="1" t="s">
        <v>4804</v>
      </c>
      <c r="M785" s="1" t="s">
        <v>757</v>
      </c>
      <c r="P785" s="1" t="s">
        <v>4806</v>
      </c>
      <c r="Q785" s="1">
        <v>1998</v>
      </c>
      <c r="R785" s="1" t="s">
        <v>4807</v>
      </c>
      <c r="S785" s="1" t="s">
        <v>27</v>
      </c>
      <c r="T785" s="38">
        <v>1</v>
      </c>
      <c r="U785" s="1" t="s">
        <v>4817</v>
      </c>
      <c r="V785" s="1">
        <v>3.11</v>
      </c>
    </row>
    <row r="786" spans="1:169" x14ac:dyDescent="0.2">
      <c r="A786" s="1" t="s">
        <v>4818</v>
      </c>
      <c r="B786" s="1" t="s">
        <v>57</v>
      </c>
      <c r="C786" s="1" t="s">
        <v>4801</v>
      </c>
      <c r="D786" s="1" t="s">
        <v>2</v>
      </c>
      <c r="E786" s="1">
        <v>54</v>
      </c>
      <c r="F786" s="1" t="s">
        <v>4802</v>
      </c>
      <c r="H786" s="1" t="s">
        <v>4803</v>
      </c>
      <c r="I786" s="1" t="s">
        <v>7</v>
      </c>
      <c r="J786" s="1" t="s">
        <v>4804</v>
      </c>
      <c r="K786" s="1" t="s">
        <v>4805</v>
      </c>
      <c r="L786" s="1" t="s">
        <v>4804</v>
      </c>
      <c r="M786" s="1" t="s">
        <v>3225</v>
      </c>
      <c r="P786" s="1" t="s">
        <v>4806</v>
      </c>
      <c r="Q786" s="1">
        <v>1998</v>
      </c>
      <c r="R786" s="1" t="s">
        <v>4807</v>
      </c>
      <c r="S786" s="1" t="s">
        <v>27</v>
      </c>
      <c r="T786" s="38">
        <v>1</v>
      </c>
      <c r="U786" s="1" t="s">
        <v>4819</v>
      </c>
      <c r="V786" s="1">
        <v>3.18</v>
      </c>
    </row>
    <row r="787" spans="1:169" x14ac:dyDescent="0.2">
      <c r="A787" s="1" t="s">
        <v>4820</v>
      </c>
      <c r="B787" s="1" t="s">
        <v>57</v>
      </c>
      <c r="C787" s="1" t="s">
        <v>4801</v>
      </c>
      <c r="D787" s="1" t="s">
        <v>2</v>
      </c>
      <c r="E787" s="1">
        <v>54</v>
      </c>
      <c r="F787" s="1" t="s">
        <v>4802</v>
      </c>
      <c r="H787" s="1" t="s">
        <v>4803</v>
      </c>
      <c r="I787" s="1" t="s">
        <v>7</v>
      </c>
      <c r="J787" s="1" t="s">
        <v>4804</v>
      </c>
      <c r="K787" s="1" t="s">
        <v>4805</v>
      </c>
      <c r="L787" s="1" t="s">
        <v>4804</v>
      </c>
      <c r="M787" s="1" t="s">
        <v>2973</v>
      </c>
      <c r="P787" s="1" t="s">
        <v>4806</v>
      </c>
      <c r="Q787" s="1">
        <v>1998</v>
      </c>
      <c r="R787" s="1" t="s">
        <v>4807</v>
      </c>
      <c r="S787" s="1" t="s">
        <v>27</v>
      </c>
      <c r="T787" s="38">
        <v>1</v>
      </c>
      <c r="U787" s="1" t="s">
        <v>4821</v>
      </c>
      <c r="V787" s="1">
        <v>3.36</v>
      </c>
    </row>
    <row r="788" spans="1:169" x14ac:dyDescent="0.2">
      <c r="A788" s="1" t="s">
        <v>4822</v>
      </c>
      <c r="B788" s="1" t="s">
        <v>57</v>
      </c>
      <c r="C788" s="1" t="s">
        <v>4801</v>
      </c>
      <c r="D788" s="1" t="s">
        <v>2</v>
      </c>
      <c r="E788" s="1">
        <v>54</v>
      </c>
      <c r="F788" s="1" t="s">
        <v>4802</v>
      </c>
      <c r="H788" s="1" t="s">
        <v>4803</v>
      </c>
      <c r="I788" s="1" t="s">
        <v>7</v>
      </c>
      <c r="J788" s="1" t="s">
        <v>4804</v>
      </c>
      <c r="K788" s="1" t="s">
        <v>4805</v>
      </c>
      <c r="L788" s="1" t="s">
        <v>4804</v>
      </c>
      <c r="M788" s="1" t="s">
        <v>1292</v>
      </c>
      <c r="P788" s="1" t="s">
        <v>4806</v>
      </c>
      <c r="Q788" s="1">
        <v>1998</v>
      </c>
      <c r="R788" s="1" t="s">
        <v>4807</v>
      </c>
      <c r="S788" s="1" t="s">
        <v>27</v>
      </c>
      <c r="T788" s="38">
        <v>1</v>
      </c>
      <c r="U788" s="1" t="s">
        <v>4823</v>
      </c>
      <c r="V788" s="1">
        <v>3.35</v>
      </c>
    </row>
    <row r="789" spans="1:169" x14ac:dyDescent="0.2">
      <c r="A789" s="1" t="s">
        <v>4824</v>
      </c>
      <c r="B789" s="1" t="s">
        <v>57</v>
      </c>
      <c r="C789" s="1" t="s">
        <v>4801</v>
      </c>
      <c r="D789" s="1" t="s">
        <v>2</v>
      </c>
      <c r="E789" s="1">
        <v>54</v>
      </c>
      <c r="F789" s="1" t="s">
        <v>4802</v>
      </c>
      <c r="H789" s="1" t="s">
        <v>4803</v>
      </c>
      <c r="I789" s="1" t="s">
        <v>7</v>
      </c>
      <c r="J789" s="1" t="s">
        <v>4804</v>
      </c>
      <c r="K789" s="1" t="s">
        <v>4805</v>
      </c>
      <c r="L789" s="1" t="s">
        <v>4804</v>
      </c>
      <c r="M789" s="1" t="s">
        <v>480</v>
      </c>
      <c r="P789" s="1" t="s">
        <v>4806</v>
      </c>
      <c r="Q789" s="1">
        <v>1998</v>
      </c>
      <c r="R789" s="1" t="s">
        <v>4807</v>
      </c>
      <c r="S789" s="1" t="s">
        <v>27</v>
      </c>
      <c r="T789" s="38">
        <v>1</v>
      </c>
      <c r="U789" s="1" t="s">
        <v>4825</v>
      </c>
      <c r="V789" s="1">
        <v>3.58</v>
      </c>
    </row>
    <row r="790" spans="1:169" x14ac:dyDescent="0.2">
      <c r="A790" s="1" t="s">
        <v>4826</v>
      </c>
      <c r="B790" s="1" t="s">
        <v>57</v>
      </c>
      <c r="C790" s="1" t="s">
        <v>4801</v>
      </c>
      <c r="D790" s="1" t="s">
        <v>2</v>
      </c>
      <c r="E790" s="1">
        <v>54</v>
      </c>
      <c r="F790" s="1" t="s">
        <v>4802</v>
      </c>
      <c r="H790" s="1" t="s">
        <v>4803</v>
      </c>
      <c r="I790" s="1" t="s">
        <v>7</v>
      </c>
      <c r="J790" s="1" t="s">
        <v>4804</v>
      </c>
      <c r="K790" s="1" t="s">
        <v>4805</v>
      </c>
      <c r="L790" s="1" t="s">
        <v>4804</v>
      </c>
      <c r="M790" s="1" t="s">
        <v>1283</v>
      </c>
      <c r="P790" s="1" t="s">
        <v>4806</v>
      </c>
      <c r="Q790" s="1">
        <v>1998</v>
      </c>
      <c r="R790" s="1" t="s">
        <v>4807</v>
      </c>
      <c r="S790" s="1" t="s">
        <v>27</v>
      </c>
      <c r="T790" s="38">
        <v>1</v>
      </c>
      <c r="U790" s="1" t="s">
        <v>4827</v>
      </c>
      <c r="V790" s="1">
        <v>2.7</v>
      </c>
    </row>
    <row r="791" spans="1:169" x14ac:dyDescent="0.2">
      <c r="A791" s="1" t="s">
        <v>4828</v>
      </c>
      <c r="B791" s="1" t="s">
        <v>57</v>
      </c>
      <c r="C791" s="1" t="s">
        <v>4801</v>
      </c>
      <c r="D791" s="1" t="s">
        <v>2</v>
      </c>
      <c r="E791" s="1">
        <v>54</v>
      </c>
      <c r="F791" s="1" t="s">
        <v>4802</v>
      </c>
      <c r="H791" s="1" t="s">
        <v>4803</v>
      </c>
      <c r="I791" s="1" t="s">
        <v>7</v>
      </c>
      <c r="J791" s="1" t="s">
        <v>4804</v>
      </c>
      <c r="K791" s="1" t="s">
        <v>4805</v>
      </c>
      <c r="L791" s="1" t="s">
        <v>4804</v>
      </c>
      <c r="M791" s="1" t="s">
        <v>3315</v>
      </c>
      <c r="P791" s="1" t="s">
        <v>4806</v>
      </c>
      <c r="Q791" s="1">
        <v>1998</v>
      </c>
      <c r="R791" s="1" t="s">
        <v>4807</v>
      </c>
      <c r="S791" s="1" t="s">
        <v>27</v>
      </c>
      <c r="T791" s="38">
        <v>1</v>
      </c>
      <c r="U791" s="1" t="s">
        <v>4829</v>
      </c>
      <c r="V791" s="1">
        <v>3.69</v>
      </c>
    </row>
    <row r="792" spans="1:169" x14ac:dyDescent="0.2">
      <c r="A792" s="1" t="s">
        <v>4830</v>
      </c>
      <c r="B792" s="1" t="s">
        <v>57</v>
      </c>
      <c r="C792" s="1" t="s">
        <v>4831</v>
      </c>
      <c r="E792" s="1">
        <v>56</v>
      </c>
      <c r="F792" s="1" t="s">
        <v>3848</v>
      </c>
      <c r="H792" s="1" t="s">
        <v>4832</v>
      </c>
      <c r="I792" s="1" t="s">
        <v>7</v>
      </c>
      <c r="J792" s="1" t="s">
        <v>4833</v>
      </c>
      <c r="K792" s="1" t="s">
        <v>3851</v>
      </c>
      <c r="L792" s="1" t="s">
        <v>4834</v>
      </c>
      <c r="P792" s="1" t="s">
        <v>4835</v>
      </c>
      <c r="Q792" s="1">
        <v>1987</v>
      </c>
      <c r="R792" s="1" t="s">
        <v>4836</v>
      </c>
      <c r="S792" s="1" t="s">
        <v>27</v>
      </c>
      <c r="T792" s="38">
        <v>1</v>
      </c>
      <c r="U792" s="1">
        <v>81.5</v>
      </c>
      <c r="X792" s="1">
        <v>3.6629999999999998</v>
      </c>
    </row>
    <row r="793" spans="1:169" x14ac:dyDescent="0.2">
      <c r="A793" s="1" t="s">
        <v>4837</v>
      </c>
      <c r="B793" s="1" t="s">
        <v>57</v>
      </c>
      <c r="C793" s="1" t="s">
        <v>4838</v>
      </c>
      <c r="D793" s="1" t="s">
        <v>2</v>
      </c>
      <c r="E793" s="1">
        <v>53</v>
      </c>
      <c r="F793" s="1" t="s">
        <v>3878</v>
      </c>
      <c r="H793" s="1" t="s">
        <v>4839</v>
      </c>
      <c r="I793" s="1" t="s">
        <v>7</v>
      </c>
      <c r="J793" s="1" t="s">
        <v>3880</v>
      </c>
      <c r="K793" s="1" t="s">
        <v>3881</v>
      </c>
      <c r="L793" s="1" t="s">
        <v>3880</v>
      </c>
      <c r="M793" s="1" t="s">
        <v>3012</v>
      </c>
      <c r="O793" s="1">
        <v>3</v>
      </c>
      <c r="P793" s="1" t="s">
        <v>2929</v>
      </c>
      <c r="Q793" s="1">
        <v>2004</v>
      </c>
      <c r="R793" s="1" t="s">
        <v>4840</v>
      </c>
      <c r="S793" s="1" t="s">
        <v>27</v>
      </c>
      <c r="T793" s="38">
        <v>1</v>
      </c>
      <c r="U793" s="1">
        <v>86.68</v>
      </c>
      <c r="V793" s="1">
        <v>0.88</v>
      </c>
      <c r="Y793" s="1">
        <v>0.21020543999999999</v>
      </c>
      <c r="Z793" s="1">
        <v>7.4267135999999997E-2</v>
      </c>
      <c r="AA793" s="1">
        <v>0.233597952</v>
      </c>
      <c r="AD793" s="1">
        <v>0.61963636363636398</v>
      </c>
      <c r="AF793" s="1">
        <v>0.20807884800000001</v>
      </c>
      <c r="AG793" s="1">
        <v>2.5573631999999999E-2</v>
      </c>
      <c r="AU793" s="1">
        <v>4.9075200000000001E-4</v>
      </c>
      <c r="AV793" s="1">
        <v>1.6358400000000001E-4</v>
      </c>
      <c r="AW793" s="1">
        <v>1.3413888000000001E-2</v>
      </c>
      <c r="AY793" s="1">
        <v>3.9805439999999999E-3</v>
      </c>
      <c r="BA793" s="1">
        <v>0.15382348800000001</v>
      </c>
      <c r="BD793" s="1">
        <v>6.9250559999999997E-3</v>
      </c>
      <c r="BG793" s="1">
        <v>2.9663232000000001E-2</v>
      </c>
      <c r="BI793" s="1">
        <v>2.1811199999999999E-4</v>
      </c>
      <c r="BJ793" s="1">
        <v>1.63584E-3</v>
      </c>
      <c r="BQ793" s="1">
        <v>2.1811199999999999E-4</v>
      </c>
      <c r="BZ793" s="1">
        <v>1.3959167999999999E-2</v>
      </c>
      <c r="CK793" s="1">
        <v>3.789696E-2</v>
      </c>
      <c r="CM793" s="1">
        <v>1.7448959999999999E-2</v>
      </c>
      <c r="CV793" s="1">
        <v>4.5258240000000003E-3</v>
      </c>
      <c r="DB793" s="1">
        <v>2.7263999999999999E-4</v>
      </c>
      <c r="DN793" s="1">
        <v>1.6031231999999999E-2</v>
      </c>
      <c r="DT793" s="1">
        <v>1.7448959999999999E-3</v>
      </c>
      <c r="ED793" s="1">
        <v>9.2697600000000004E-4</v>
      </c>
      <c r="EH793" s="1">
        <v>3.7733375999999999E-2</v>
      </c>
      <c r="ET793" s="1">
        <v>2.9390592E-2</v>
      </c>
      <c r="EX793" s="1">
        <v>6.0526080000000001E-3</v>
      </c>
      <c r="FB793" s="1">
        <v>8.7244799999999995E-4</v>
      </c>
      <c r="FE793" s="1">
        <v>5.4800639999999998E-2</v>
      </c>
      <c r="FJ793" s="1">
        <v>6.2707199999999996E-3</v>
      </c>
      <c r="FM793" s="1">
        <v>7.9938047999999998E-2</v>
      </c>
    </row>
    <row r="794" spans="1:169" x14ac:dyDescent="0.2">
      <c r="A794" s="1" t="s">
        <v>4841</v>
      </c>
      <c r="B794" s="1" t="s">
        <v>57</v>
      </c>
      <c r="C794" s="1" t="s">
        <v>4838</v>
      </c>
      <c r="D794" s="1" t="s">
        <v>2</v>
      </c>
      <c r="E794" s="1">
        <v>53</v>
      </c>
      <c r="F794" s="1" t="s">
        <v>3878</v>
      </c>
      <c r="H794" s="1" t="s">
        <v>4839</v>
      </c>
      <c r="I794" s="1" t="s">
        <v>7</v>
      </c>
      <c r="J794" s="1" t="s">
        <v>3880</v>
      </c>
      <c r="K794" s="1" t="s">
        <v>3881</v>
      </c>
      <c r="L794" s="1" t="s">
        <v>3880</v>
      </c>
      <c r="M794" s="1" t="s">
        <v>4842</v>
      </c>
      <c r="O794" s="1">
        <v>3</v>
      </c>
      <c r="P794" s="1" t="s">
        <v>2929</v>
      </c>
      <c r="Q794" s="1">
        <v>2004</v>
      </c>
      <c r="R794" s="1" t="s">
        <v>4840</v>
      </c>
      <c r="S794" s="1" t="s">
        <v>27</v>
      </c>
      <c r="T794" s="38">
        <v>1</v>
      </c>
      <c r="U794" s="1">
        <v>93.88</v>
      </c>
      <c r="V794" s="1">
        <v>0.3</v>
      </c>
      <c r="Y794" s="1">
        <v>3.82421493E-2</v>
      </c>
      <c r="Z794" s="1">
        <v>2.6497510200000001E-2</v>
      </c>
      <c r="AA794" s="1">
        <v>5.4348724799999998E-2</v>
      </c>
      <c r="AD794" s="1">
        <v>0.41781000000000001</v>
      </c>
      <c r="AF794" s="1">
        <v>4.3255869299999999E-2</v>
      </c>
      <c r="AG794" s="1">
        <v>1.10928555E-2</v>
      </c>
      <c r="AU794" s="1">
        <v>2.2561740000000001E-4</v>
      </c>
      <c r="AV794" s="1">
        <v>8.7740100000000004E-5</v>
      </c>
      <c r="AW794" s="1">
        <v>3.0959720999999998E-3</v>
      </c>
      <c r="AY794" s="1">
        <v>1.754802E-3</v>
      </c>
      <c r="BA794" s="1">
        <v>2.3915444399999999E-2</v>
      </c>
      <c r="BD794" s="1">
        <v>1.9428164999999999E-3</v>
      </c>
      <c r="BG794" s="1">
        <v>6.9063993000000002E-3</v>
      </c>
      <c r="BI794" s="1">
        <v>1.7548020000000001E-4</v>
      </c>
      <c r="BJ794" s="1">
        <v>1.7548020000000001E-4</v>
      </c>
      <c r="BQ794" s="1">
        <v>1.002744E-4</v>
      </c>
      <c r="BZ794" s="1">
        <v>6.5053016999999996E-3</v>
      </c>
      <c r="CK794" s="1">
        <v>1.24716285E-2</v>
      </c>
      <c r="CM794" s="1">
        <v>5.8409838000000004E-3</v>
      </c>
      <c r="CV794" s="1">
        <v>1.5166502999999999E-3</v>
      </c>
      <c r="DB794" s="1">
        <v>1.002744E-4</v>
      </c>
      <c r="DN794" s="1">
        <v>5.5025576999999997E-3</v>
      </c>
      <c r="DT794" s="1">
        <v>3.0082319999999999E-4</v>
      </c>
      <c r="ED794" s="1">
        <v>2.381517E-4</v>
      </c>
      <c r="EH794" s="1">
        <v>2.1433653E-3</v>
      </c>
      <c r="ET794" s="1">
        <v>2.5068600000000001E-3</v>
      </c>
      <c r="EX794" s="1">
        <v>3.0333005999999998E-3</v>
      </c>
      <c r="FB794" s="1">
        <v>7.8966089999999995E-4</v>
      </c>
      <c r="FE794" s="1">
        <v>1.14187473E-2</v>
      </c>
      <c r="FJ794" s="1">
        <v>2.1809682000000002E-3</v>
      </c>
      <c r="FM794" s="1">
        <v>2.50059285E-2</v>
      </c>
    </row>
    <row r="795" spans="1:169" x14ac:dyDescent="0.2">
      <c r="A795" s="1" t="s">
        <v>4844</v>
      </c>
      <c r="B795" s="1" t="s">
        <v>57</v>
      </c>
      <c r="C795" s="1" t="s">
        <v>4838</v>
      </c>
      <c r="D795" s="1" t="s">
        <v>2</v>
      </c>
      <c r="E795" s="1">
        <v>53</v>
      </c>
      <c r="F795" s="1" t="s">
        <v>3878</v>
      </c>
      <c r="H795" s="1" t="s">
        <v>4839</v>
      </c>
      <c r="I795" s="1" t="s">
        <v>7</v>
      </c>
      <c r="J795" s="1" t="s">
        <v>3880</v>
      </c>
      <c r="K795" s="1" t="s">
        <v>3881</v>
      </c>
      <c r="L795" s="1" t="s">
        <v>3880</v>
      </c>
      <c r="M795" s="1" t="s">
        <v>4845</v>
      </c>
      <c r="O795" s="1">
        <v>3</v>
      </c>
      <c r="P795" s="1" t="s">
        <v>2929</v>
      </c>
      <c r="Q795" s="1">
        <v>2004</v>
      </c>
      <c r="R795" s="1" t="s">
        <v>4840</v>
      </c>
      <c r="S795" s="1" t="s">
        <v>27</v>
      </c>
      <c r="T795" s="38">
        <v>1</v>
      </c>
      <c r="U795" s="1">
        <v>89.72</v>
      </c>
      <c r="V795" s="1">
        <v>0.66</v>
      </c>
      <c r="Y795" s="1">
        <v>9.613352E-2</v>
      </c>
      <c r="Z795" s="1">
        <v>5.5368887999999998E-2</v>
      </c>
      <c r="AA795" s="1">
        <v>0.16674308800000001</v>
      </c>
      <c r="AD795" s="1">
        <v>0.50751515151515103</v>
      </c>
      <c r="AF795" s="1">
        <v>0.14949264800000001</v>
      </c>
      <c r="AG795" s="1">
        <v>1.7216944000000001E-2</v>
      </c>
      <c r="AU795" s="1">
        <v>2.6796799999999999E-4</v>
      </c>
      <c r="AV795" s="1">
        <v>1.00488E-4</v>
      </c>
      <c r="AW795" s="1">
        <v>6.0627759999999998E-3</v>
      </c>
      <c r="AY795" s="1">
        <v>2.8806560000000001E-3</v>
      </c>
      <c r="BA795" s="1">
        <v>6.6824519999999998E-2</v>
      </c>
      <c r="BD795" s="1">
        <v>4.957408E-3</v>
      </c>
      <c r="BG795" s="1">
        <v>1.3632872000000001E-2</v>
      </c>
      <c r="BI795" s="1">
        <v>1.33984E-4</v>
      </c>
      <c r="BJ795" s="1">
        <v>1.3063440000000001E-3</v>
      </c>
      <c r="BQ795" s="1">
        <v>2.34472E-4</v>
      </c>
      <c r="BZ795" s="1">
        <v>1.2092056E-2</v>
      </c>
      <c r="CK795" s="1">
        <v>2.2643296E-2</v>
      </c>
      <c r="CM795" s="1">
        <v>1.5039703999999999E-2</v>
      </c>
      <c r="CV795" s="1">
        <v>5.2923680000000004E-3</v>
      </c>
      <c r="DB795" s="1">
        <v>1.6747999999999999E-4</v>
      </c>
      <c r="DN795" s="1">
        <v>8.7759520000000001E-3</v>
      </c>
      <c r="DT795" s="1">
        <v>1.5073199999999999E-3</v>
      </c>
      <c r="ED795" s="1">
        <v>6.3642400000000002E-4</v>
      </c>
      <c r="EH795" s="1">
        <v>1.4503768E-2</v>
      </c>
      <c r="ET795" s="1">
        <v>2.2609799999999999E-2</v>
      </c>
      <c r="EX795" s="1">
        <v>5.5603359999999999E-3</v>
      </c>
      <c r="FB795" s="1">
        <v>7.7040799999999999E-4</v>
      </c>
      <c r="FE795" s="1">
        <v>4.9339608E-2</v>
      </c>
      <c r="FJ795" s="1">
        <v>3.9860240000000003E-3</v>
      </c>
      <c r="FM795" s="1">
        <v>5.9120440000000003E-2</v>
      </c>
    </row>
    <row r="796" spans="1:169" x14ac:dyDescent="0.2">
      <c r="A796" s="1" t="s">
        <v>4847</v>
      </c>
      <c r="B796" s="1" t="s">
        <v>57</v>
      </c>
      <c r="C796" s="1" t="s">
        <v>4838</v>
      </c>
      <c r="D796" s="1" t="s">
        <v>2</v>
      </c>
      <c r="E796" s="1">
        <v>53</v>
      </c>
      <c r="F796" s="1" t="s">
        <v>3878</v>
      </c>
      <c r="H796" s="1" t="s">
        <v>4839</v>
      </c>
      <c r="I796" s="1" t="s">
        <v>7</v>
      </c>
      <c r="J796" s="1" t="s">
        <v>3880</v>
      </c>
      <c r="K796" s="1" t="s">
        <v>3881</v>
      </c>
      <c r="L796" s="1" t="s">
        <v>3880</v>
      </c>
      <c r="M796" s="1" t="s">
        <v>4156</v>
      </c>
      <c r="O796" s="1">
        <v>3</v>
      </c>
      <c r="P796" s="1" t="s">
        <v>2929</v>
      </c>
      <c r="Q796" s="1">
        <v>2004</v>
      </c>
      <c r="R796" s="1" t="s">
        <v>4840</v>
      </c>
      <c r="S796" s="1" t="s">
        <v>27</v>
      </c>
      <c r="T796" s="38">
        <v>1</v>
      </c>
      <c r="U796" s="1">
        <v>88.67</v>
      </c>
      <c r="V796" s="1">
        <v>0.72</v>
      </c>
      <c r="Y796" s="1">
        <v>0.152769408</v>
      </c>
      <c r="Z796" s="1">
        <v>5.0099263999999998E-2</v>
      </c>
      <c r="AA796" s="1">
        <v>0.16991379200000001</v>
      </c>
      <c r="AD796" s="1">
        <v>0.54488888888888898</v>
      </c>
      <c r="AF796" s="1">
        <v>0.147473088</v>
      </c>
      <c r="AG796" s="1">
        <v>2.2440703999999999E-2</v>
      </c>
      <c r="AU796" s="1">
        <v>4.7078400000000002E-4</v>
      </c>
      <c r="AV796" s="1">
        <v>2.3539200000000001E-4</v>
      </c>
      <c r="AW796" s="1">
        <v>9.9649279999999996E-3</v>
      </c>
      <c r="AY796" s="1">
        <v>4.8647680000000002E-3</v>
      </c>
      <c r="BA796" s="1">
        <v>0.10663257600000001</v>
      </c>
      <c r="BD796" s="1">
        <v>6.6694399999999996E-3</v>
      </c>
      <c r="BG796" s="1">
        <v>2.3146880000000002E-2</v>
      </c>
      <c r="BI796" s="1">
        <v>0</v>
      </c>
      <c r="BJ796" s="1">
        <v>7.8463999999999997E-4</v>
      </c>
      <c r="BQ796" s="1">
        <v>1.56928E-4</v>
      </c>
      <c r="BZ796" s="1">
        <v>1.2122688E-2</v>
      </c>
      <c r="CK796" s="1">
        <v>1.9733695999999998E-2</v>
      </c>
      <c r="CM796" s="1">
        <v>1.5732032E-2</v>
      </c>
      <c r="CV796" s="1">
        <v>2.4323840000000001E-3</v>
      </c>
      <c r="DB796" s="1">
        <v>0</v>
      </c>
      <c r="DN796" s="1">
        <v>1.0867264E-2</v>
      </c>
      <c r="DT796" s="1">
        <v>1.2946559999999999E-3</v>
      </c>
      <c r="ED796" s="1">
        <v>9.8079999999999999E-4</v>
      </c>
      <c r="EH796" s="1">
        <v>1.3221184E-2</v>
      </c>
      <c r="ET796" s="1">
        <v>1.2671936E-2</v>
      </c>
      <c r="EX796" s="1">
        <v>8.3564160000000002E-3</v>
      </c>
      <c r="FB796" s="1">
        <v>1.0200319999999999E-3</v>
      </c>
      <c r="FE796" s="1">
        <v>4.1350527999999998E-2</v>
      </c>
      <c r="FJ796" s="1">
        <v>5.8455679999999998E-3</v>
      </c>
      <c r="FM796" s="1">
        <v>7.4383872000000004E-2</v>
      </c>
    </row>
    <row r="797" spans="1:169" x14ac:dyDescent="0.2">
      <c r="A797" s="1" t="s">
        <v>4849</v>
      </c>
      <c r="B797" s="1" t="s">
        <v>57</v>
      </c>
      <c r="C797" s="1" t="s">
        <v>4838</v>
      </c>
      <c r="D797" s="1" t="s">
        <v>2</v>
      </c>
      <c r="E797" s="1">
        <v>53</v>
      </c>
      <c r="F797" s="1" t="s">
        <v>3878</v>
      </c>
      <c r="H797" s="1" t="s">
        <v>4839</v>
      </c>
      <c r="I797" s="1" t="s">
        <v>7</v>
      </c>
      <c r="J797" s="1" t="s">
        <v>3880</v>
      </c>
      <c r="K797" s="1" t="s">
        <v>3881</v>
      </c>
      <c r="L797" s="1" t="s">
        <v>3880</v>
      </c>
      <c r="M797" s="1" t="s">
        <v>2581</v>
      </c>
      <c r="O797" s="1">
        <v>3</v>
      </c>
      <c r="P797" s="1" t="s">
        <v>2929</v>
      </c>
      <c r="Q797" s="1">
        <v>2004</v>
      </c>
      <c r="R797" s="1" t="s">
        <v>4840</v>
      </c>
      <c r="S797" s="1" t="s">
        <v>27</v>
      </c>
      <c r="T797" s="38">
        <v>1</v>
      </c>
      <c r="U797" s="1">
        <v>90.96</v>
      </c>
      <c r="V797" s="1">
        <v>0.44</v>
      </c>
      <c r="Y797" s="1">
        <v>6.4802331000000005E-2</v>
      </c>
      <c r="Z797" s="1">
        <v>2.864171112E-2</v>
      </c>
      <c r="AA797" s="1">
        <v>8.1218921520000001E-2</v>
      </c>
      <c r="AD797" s="1">
        <v>0.41781000000000001</v>
      </c>
      <c r="AF797" s="1">
        <v>7.2045485160000006E-2</v>
      </c>
      <c r="AG797" s="1">
        <v>9.1734363600000004E-3</v>
      </c>
      <c r="AU797" s="1">
        <v>1.4706912000000001E-4</v>
      </c>
      <c r="AV797" s="1">
        <v>9.1918199999999997E-5</v>
      </c>
      <c r="AW797" s="1">
        <v>3.0149169599999999E-3</v>
      </c>
      <c r="AY797" s="1">
        <v>2.1876531600000001E-3</v>
      </c>
      <c r="BA797" s="1">
        <v>4.4194270559999999E-2</v>
      </c>
      <c r="BD797" s="1">
        <v>3.8054134799999999E-3</v>
      </c>
      <c r="BG797" s="1">
        <v>1.099341672E-2</v>
      </c>
      <c r="BI797" s="1">
        <v>0</v>
      </c>
      <c r="BJ797" s="1">
        <v>3.8605644E-4</v>
      </c>
      <c r="BQ797" s="1">
        <v>3.6767280000000001E-5</v>
      </c>
      <c r="BZ797" s="1">
        <v>7.8314306399999995E-3</v>
      </c>
      <c r="CK797" s="1">
        <v>1.051544208E-2</v>
      </c>
      <c r="CM797" s="1">
        <v>8.3461725600000002E-3</v>
      </c>
      <c r="CV797" s="1">
        <v>1.9118985599999999E-3</v>
      </c>
      <c r="DB797" s="1">
        <v>0</v>
      </c>
      <c r="DN797" s="1">
        <v>3.9340989600000001E-3</v>
      </c>
      <c r="DT797" s="1">
        <v>4.4120736000000002E-4</v>
      </c>
      <c r="ED797" s="1">
        <v>2.5737096E-4</v>
      </c>
      <c r="EH797" s="1">
        <v>8.1807197999999998E-3</v>
      </c>
      <c r="ET797" s="1">
        <v>6.2688212399999999E-3</v>
      </c>
      <c r="EX797" s="1">
        <v>3.87894804E-3</v>
      </c>
      <c r="FB797" s="1">
        <v>6.9857831999999996E-4</v>
      </c>
      <c r="FE797" s="1">
        <v>1.7317388879999999E-2</v>
      </c>
      <c r="FJ797" s="1">
        <v>2.7759296399999999E-3</v>
      </c>
      <c r="FM797" s="1">
        <v>3.7502625599999999E-2</v>
      </c>
    </row>
    <row r="798" spans="1:169" x14ac:dyDescent="0.2">
      <c r="A798" s="1" t="s">
        <v>4850</v>
      </c>
      <c r="B798" s="1" t="s">
        <v>57</v>
      </c>
      <c r="C798" s="1" t="s">
        <v>4851</v>
      </c>
      <c r="D798" s="1" t="s">
        <v>2</v>
      </c>
      <c r="E798" s="1">
        <v>55</v>
      </c>
      <c r="F798" s="1" t="s">
        <v>4327</v>
      </c>
      <c r="H798" s="1" t="s">
        <v>4852</v>
      </c>
      <c r="I798" s="1" t="s">
        <v>7</v>
      </c>
      <c r="J798" s="1" t="s">
        <v>4853</v>
      </c>
      <c r="K798" s="1" t="s">
        <v>4330</v>
      </c>
      <c r="L798" s="1" t="s">
        <v>4331</v>
      </c>
      <c r="M798" s="1" t="s">
        <v>4854</v>
      </c>
      <c r="O798" s="1">
        <v>3</v>
      </c>
      <c r="P798" s="1" t="s">
        <v>4855</v>
      </c>
      <c r="Q798" s="1">
        <v>2006</v>
      </c>
      <c r="R798" s="1" t="s">
        <v>4856</v>
      </c>
      <c r="S798" s="1" t="s">
        <v>27</v>
      </c>
      <c r="T798" s="38">
        <v>1</v>
      </c>
      <c r="U798" s="1">
        <v>80.7</v>
      </c>
      <c r="X798" s="1">
        <v>0.48</v>
      </c>
    </row>
    <row r="799" spans="1:169" x14ac:dyDescent="0.2">
      <c r="A799" s="1" t="s">
        <v>4857</v>
      </c>
      <c r="B799" s="1" t="s">
        <v>57</v>
      </c>
      <c r="C799" s="1" t="s">
        <v>4851</v>
      </c>
      <c r="D799" s="1" t="s">
        <v>2</v>
      </c>
      <c r="E799" s="1">
        <v>55</v>
      </c>
      <c r="F799" s="1" t="s">
        <v>4327</v>
      </c>
      <c r="H799" s="1" t="s">
        <v>4852</v>
      </c>
      <c r="I799" s="1" t="s">
        <v>7</v>
      </c>
      <c r="J799" s="1" t="s">
        <v>4853</v>
      </c>
      <c r="K799" s="1" t="s">
        <v>4330</v>
      </c>
      <c r="L799" s="1" t="s">
        <v>4331</v>
      </c>
      <c r="M799" s="1" t="s">
        <v>4858</v>
      </c>
      <c r="O799" s="1">
        <v>3</v>
      </c>
      <c r="P799" s="1" t="s">
        <v>4855</v>
      </c>
      <c r="Q799" s="1">
        <v>2006</v>
      </c>
      <c r="R799" s="1" t="s">
        <v>4856</v>
      </c>
      <c r="S799" s="1" t="s">
        <v>27</v>
      </c>
      <c r="T799" s="38">
        <v>1</v>
      </c>
      <c r="U799" s="1">
        <v>78.2</v>
      </c>
      <c r="X799" s="1">
        <v>0.5</v>
      </c>
    </row>
    <row r="800" spans="1:169" x14ac:dyDescent="0.2">
      <c r="A800" s="1" t="s">
        <v>4859</v>
      </c>
      <c r="B800" s="1" t="s">
        <v>57</v>
      </c>
      <c r="C800" s="1" t="s">
        <v>4851</v>
      </c>
      <c r="D800" s="1" t="s">
        <v>2</v>
      </c>
      <c r="E800" s="1">
        <v>55</v>
      </c>
      <c r="F800" s="1" t="s">
        <v>4327</v>
      </c>
      <c r="H800" s="1" t="s">
        <v>4852</v>
      </c>
      <c r="I800" s="1" t="s">
        <v>7</v>
      </c>
      <c r="J800" s="1" t="s">
        <v>4853</v>
      </c>
      <c r="K800" s="1" t="s">
        <v>4330</v>
      </c>
      <c r="L800" s="1" t="s">
        <v>4331</v>
      </c>
      <c r="M800" s="1" t="s">
        <v>4860</v>
      </c>
      <c r="O800" s="1">
        <v>3</v>
      </c>
      <c r="P800" s="1" t="s">
        <v>4855</v>
      </c>
      <c r="Q800" s="1">
        <v>2006</v>
      </c>
      <c r="R800" s="1" t="s">
        <v>4856</v>
      </c>
      <c r="S800" s="1" t="s">
        <v>27</v>
      </c>
      <c r="T800" s="38">
        <v>1</v>
      </c>
      <c r="U800" s="1">
        <v>72.5</v>
      </c>
      <c r="X800" s="1">
        <v>0.36</v>
      </c>
    </row>
    <row r="801" spans="1:24" x14ac:dyDescent="0.2">
      <c r="A801" s="1" t="s">
        <v>4861</v>
      </c>
      <c r="B801" s="1" t="s">
        <v>57</v>
      </c>
      <c r="C801" s="1" t="s">
        <v>4851</v>
      </c>
      <c r="D801" s="1" t="s">
        <v>2</v>
      </c>
      <c r="E801" s="1">
        <v>55</v>
      </c>
      <c r="F801" s="1" t="s">
        <v>4327</v>
      </c>
      <c r="H801" s="1" t="s">
        <v>4852</v>
      </c>
      <c r="I801" s="1" t="s">
        <v>7</v>
      </c>
      <c r="J801" s="1" t="s">
        <v>4853</v>
      </c>
      <c r="K801" s="1" t="s">
        <v>4330</v>
      </c>
      <c r="L801" s="1" t="s">
        <v>4331</v>
      </c>
      <c r="M801" s="1" t="s">
        <v>4862</v>
      </c>
      <c r="O801" s="1">
        <v>3</v>
      </c>
      <c r="P801" s="1" t="s">
        <v>4855</v>
      </c>
      <c r="Q801" s="1">
        <v>2006</v>
      </c>
      <c r="R801" s="1" t="s">
        <v>4856</v>
      </c>
      <c r="S801" s="1" t="s">
        <v>27</v>
      </c>
      <c r="T801" s="38">
        <v>1</v>
      </c>
      <c r="U801" s="1">
        <v>78</v>
      </c>
      <c r="X801" s="1">
        <v>0.63</v>
      </c>
    </row>
    <row r="802" spans="1:24" x14ac:dyDescent="0.2">
      <c r="A802" s="1" t="s">
        <v>4863</v>
      </c>
      <c r="B802" s="1" t="s">
        <v>55</v>
      </c>
      <c r="C802" s="1" t="s">
        <v>4864</v>
      </c>
      <c r="D802" s="1" t="s">
        <v>2</v>
      </c>
      <c r="E802" s="1">
        <v>13</v>
      </c>
      <c r="F802" s="1" t="s">
        <v>1265</v>
      </c>
      <c r="H802" s="1" t="s">
        <v>4865</v>
      </c>
      <c r="I802" s="1" t="s">
        <v>7</v>
      </c>
      <c r="J802" s="1" t="s">
        <v>1267</v>
      </c>
      <c r="K802" s="1" t="s">
        <v>1268</v>
      </c>
      <c r="L802" s="1" t="s">
        <v>1267</v>
      </c>
      <c r="M802" s="1" t="s">
        <v>4866</v>
      </c>
      <c r="O802" s="1">
        <v>1</v>
      </c>
      <c r="P802" s="1" t="s">
        <v>4867</v>
      </c>
      <c r="Q802" s="1">
        <v>2004</v>
      </c>
      <c r="R802" s="1" t="s">
        <v>4868</v>
      </c>
      <c r="S802" s="1" t="s">
        <v>23</v>
      </c>
      <c r="T802" s="38">
        <v>1</v>
      </c>
      <c r="U802" s="1">
        <v>68.599999999999994</v>
      </c>
      <c r="X802" s="1">
        <v>12.5</v>
      </c>
    </row>
    <row r="803" spans="1:24" x14ac:dyDescent="0.2">
      <c r="A803" s="1" t="s">
        <v>4869</v>
      </c>
      <c r="B803" s="1" t="s">
        <v>55</v>
      </c>
      <c r="C803" s="1" t="s">
        <v>4870</v>
      </c>
      <c r="D803" s="1" t="s">
        <v>2</v>
      </c>
      <c r="E803" s="1">
        <v>13</v>
      </c>
      <c r="F803" s="1" t="s">
        <v>1265</v>
      </c>
      <c r="H803" s="1" t="s">
        <v>4871</v>
      </c>
      <c r="I803" s="1" t="s">
        <v>7</v>
      </c>
      <c r="J803" s="1" t="s">
        <v>1267</v>
      </c>
      <c r="K803" s="1" t="s">
        <v>1268</v>
      </c>
      <c r="L803" s="1" t="s">
        <v>1267</v>
      </c>
      <c r="M803" s="1" t="s">
        <v>4872</v>
      </c>
      <c r="O803" s="1">
        <v>1</v>
      </c>
      <c r="P803" s="1" t="s">
        <v>4867</v>
      </c>
      <c r="Q803" s="1">
        <v>2004</v>
      </c>
      <c r="R803" s="1" t="s">
        <v>4868</v>
      </c>
      <c r="S803" s="1" t="s">
        <v>23</v>
      </c>
      <c r="T803" s="38">
        <v>1</v>
      </c>
      <c r="U803" s="1">
        <v>74.2</v>
      </c>
      <c r="X803" s="1">
        <v>9.3000000000000007</v>
      </c>
    </row>
    <row r="804" spans="1:24" x14ac:dyDescent="0.2">
      <c r="A804" s="1" t="s">
        <v>4873</v>
      </c>
      <c r="B804" s="1" t="s">
        <v>55</v>
      </c>
      <c r="C804" s="1" t="s">
        <v>4870</v>
      </c>
      <c r="D804" s="1" t="s">
        <v>2</v>
      </c>
      <c r="E804" s="1">
        <v>13</v>
      </c>
      <c r="F804" s="1" t="s">
        <v>4874</v>
      </c>
      <c r="H804" s="1" t="s">
        <v>4875</v>
      </c>
      <c r="I804" s="1" t="s">
        <v>7</v>
      </c>
      <c r="J804" s="1" t="s">
        <v>4876</v>
      </c>
      <c r="K804" s="1" t="s">
        <v>4877</v>
      </c>
      <c r="L804" s="1" t="s">
        <v>4878</v>
      </c>
      <c r="O804" s="1">
        <v>1</v>
      </c>
      <c r="P804" s="1" t="s">
        <v>4867</v>
      </c>
      <c r="Q804" s="1">
        <v>2004</v>
      </c>
      <c r="R804" s="1" t="s">
        <v>4868</v>
      </c>
      <c r="S804" s="1" t="s">
        <v>23</v>
      </c>
      <c r="T804" s="38">
        <v>1</v>
      </c>
      <c r="U804" s="1">
        <v>71.7</v>
      </c>
      <c r="X804" s="1">
        <v>11.4</v>
      </c>
    </row>
    <row r="805" spans="1:24" x14ac:dyDescent="0.2">
      <c r="A805" s="1" t="s">
        <v>4879</v>
      </c>
      <c r="B805" s="1" t="s">
        <v>57</v>
      </c>
      <c r="C805" s="1" t="s">
        <v>4880</v>
      </c>
      <c r="E805" s="1">
        <v>56</v>
      </c>
      <c r="H805" s="1" t="s">
        <v>4881</v>
      </c>
      <c r="I805" s="1" t="s">
        <v>7</v>
      </c>
      <c r="J805" s="1" t="s">
        <v>4882</v>
      </c>
      <c r="P805" s="1" t="s">
        <v>4883</v>
      </c>
      <c r="Q805" s="1">
        <v>2001</v>
      </c>
      <c r="R805" s="1" t="s">
        <v>4884</v>
      </c>
      <c r="S805" s="1" t="s">
        <v>23</v>
      </c>
      <c r="T805" s="38">
        <v>1</v>
      </c>
    </row>
    <row r="806" spans="1:24" x14ac:dyDescent="0.2">
      <c r="A806" s="1" t="s">
        <v>4885</v>
      </c>
      <c r="B806" s="1" t="s">
        <v>57</v>
      </c>
      <c r="C806" s="1" t="s">
        <v>4880</v>
      </c>
      <c r="E806" s="1">
        <v>52</v>
      </c>
      <c r="F806" s="1" t="s">
        <v>3761</v>
      </c>
      <c r="H806" s="1" t="s">
        <v>4886</v>
      </c>
      <c r="I806" s="1" t="s">
        <v>7</v>
      </c>
      <c r="J806" s="1" t="s">
        <v>4887</v>
      </c>
      <c r="K806" s="1" t="s">
        <v>3764</v>
      </c>
      <c r="L806" s="1" t="s">
        <v>3765</v>
      </c>
      <c r="P806" s="1" t="s">
        <v>4883</v>
      </c>
      <c r="Q806" s="1">
        <v>2001</v>
      </c>
      <c r="R806" s="1" t="s">
        <v>4884</v>
      </c>
      <c r="S806" s="1" t="s">
        <v>23</v>
      </c>
      <c r="T806" s="38">
        <v>1</v>
      </c>
    </row>
    <row r="807" spans="1:24" x14ac:dyDescent="0.2">
      <c r="A807" s="1" t="s">
        <v>4888</v>
      </c>
      <c r="B807" s="1" t="s">
        <v>57</v>
      </c>
      <c r="C807" s="1" t="s">
        <v>4880</v>
      </c>
      <c r="E807" s="1">
        <v>56</v>
      </c>
      <c r="F807" s="1" t="s">
        <v>3848</v>
      </c>
      <c r="H807" s="1" t="s">
        <v>4889</v>
      </c>
      <c r="I807" s="1" t="s">
        <v>7</v>
      </c>
      <c r="J807" s="1" t="s">
        <v>4890</v>
      </c>
      <c r="K807" s="1" t="s">
        <v>3851</v>
      </c>
      <c r="L807" s="1" t="s">
        <v>4834</v>
      </c>
      <c r="P807" s="1" t="s">
        <v>4883</v>
      </c>
      <c r="Q807" s="1">
        <v>2001</v>
      </c>
      <c r="R807" s="1" t="s">
        <v>4884</v>
      </c>
      <c r="S807" s="1" t="s">
        <v>23</v>
      </c>
      <c r="T807" s="38">
        <v>1</v>
      </c>
    </row>
    <row r="808" spans="1:24" x14ac:dyDescent="0.2">
      <c r="A808" s="1" t="s">
        <v>4891</v>
      </c>
      <c r="B808" s="1" t="s">
        <v>57</v>
      </c>
      <c r="C808" s="1" t="s">
        <v>4880</v>
      </c>
      <c r="E808" s="1">
        <v>56</v>
      </c>
      <c r="F808" s="1" t="s">
        <v>4892</v>
      </c>
      <c r="H808" s="1" t="s">
        <v>4893</v>
      </c>
      <c r="I808" s="1" t="s">
        <v>7</v>
      </c>
      <c r="J808" s="1" t="s">
        <v>4894</v>
      </c>
      <c r="K808" s="1" t="s">
        <v>4895</v>
      </c>
      <c r="L808" s="1" t="s">
        <v>4896</v>
      </c>
      <c r="P808" s="1" t="s">
        <v>4883</v>
      </c>
      <c r="Q808" s="1">
        <v>2001</v>
      </c>
      <c r="R808" s="1" t="s">
        <v>4884</v>
      </c>
      <c r="S808" s="1" t="s">
        <v>23</v>
      </c>
      <c r="T808" s="38">
        <v>1</v>
      </c>
    </row>
    <row r="809" spans="1:24" x14ac:dyDescent="0.2">
      <c r="A809" s="1" t="s">
        <v>4897</v>
      </c>
      <c r="B809" s="1" t="s">
        <v>57</v>
      </c>
      <c r="C809" s="1" t="s">
        <v>4880</v>
      </c>
      <c r="E809" s="1">
        <v>53</v>
      </c>
      <c r="F809" s="1" t="s">
        <v>3878</v>
      </c>
      <c r="H809" s="1" t="s">
        <v>4898</v>
      </c>
      <c r="I809" s="1" t="s">
        <v>7</v>
      </c>
      <c r="J809" s="1" t="s">
        <v>3880</v>
      </c>
      <c r="K809" s="1" t="s">
        <v>3881</v>
      </c>
      <c r="L809" s="1" t="s">
        <v>3880</v>
      </c>
      <c r="P809" s="1" t="s">
        <v>4883</v>
      </c>
      <c r="Q809" s="1">
        <v>2001</v>
      </c>
      <c r="R809" s="1" t="s">
        <v>4884</v>
      </c>
      <c r="S809" s="1" t="s">
        <v>23</v>
      </c>
      <c r="T809" s="38">
        <v>1</v>
      </c>
    </row>
    <row r="810" spans="1:24" x14ac:dyDescent="0.2">
      <c r="A810" s="1" t="s">
        <v>4899</v>
      </c>
      <c r="B810" s="1" t="s">
        <v>57</v>
      </c>
      <c r="C810" s="1" t="s">
        <v>4880</v>
      </c>
      <c r="E810" s="1">
        <v>51</v>
      </c>
      <c r="F810" s="1" t="s">
        <v>4900</v>
      </c>
      <c r="H810" s="1" t="s">
        <v>4901</v>
      </c>
      <c r="I810" s="1" t="s">
        <v>7</v>
      </c>
      <c r="J810" s="1" t="s">
        <v>4902</v>
      </c>
      <c r="K810" s="1" t="s">
        <v>4903</v>
      </c>
      <c r="L810" s="1" t="s">
        <v>4904</v>
      </c>
      <c r="P810" s="1" t="s">
        <v>4883</v>
      </c>
      <c r="Q810" s="1">
        <v>2001</v>
      </c>
      <c r="R810" s="1" t="s">
        <v>4884</v>
      </c>
      <c r="S810" s="1" t="s">
        <v>23</v>
      </c>
      <c r="T810" s="38">
        <v>1</v>
      </c>
    </row>
    <row r="811" spans="1:24" x14ac:dyDescent="0.2">
      <c r="A811" s="1" t="s">
        <v>4905</v>
      </c>
      <c r="B811" s="1" t="s">
        <v>57</v>
      </c>
      <c r="C811" s="1" t="s">
        <v>4880</v>
      </c>
      <c r="E811" s="1">
        <v>56</v>
      </c>
      <c r="F811" s="1" t="s">
        <v>4906</v>
      </c>
      <c r="H811" s="1" t="s">
        <v>4907</v>
      </c>
      <c r="I811" s="1" t="s">
        <v>7</v>
      </c>
      <c r="J811" s="1" t="s">
        <v>4908</v>
      </c>
      <c r="K811" s="1" t="s">
        <v>4909</v>
      </c>
      <c r="L811" s="1" t="s">
        <v>4910</v>
      </c>
      <c r="P811" s="1" t="s">
        <v>4883</v>
      </c>
      <c r="Q811" s="1">
        <v>2001</v>
      </c>
      <c r="R811" s="1" t="s">
        <v>4884</v>
      </c>
      <c r="S811" s="1" t="s">
        <v>23</v>
      </c>
      <c r="T811" s="38">
        <v>1</v>
      </c>
    </row>
    <row r="812" spans="1:24" x14ac:dyDescent="0.2">
      <c r="A812" s="1" t="s">
        <v>4911</v>
      </c>
      <c r="B812" s="1" t="s">
        <v>57</v>
      </c>
      <c r="C812" s="1" t="s">
        <v>4880</v>
      </c>
      <c r="E812" s="1">
        <v>54</v>
      </c>
      <c r="F812" s="1" t="s">
        <v>4912</v>
      </c>
      <c r="H812" s="1" t="s">
        <v>4913</v>
      </c>
      <c r="I812" s="1" t="s">
        <v>7</v>
      </c>
      <c r="J812" s="1" t="s">
        <v>4914</v>
      </c>
      <c r="K812" s="1" t="s">
        <v>4915</v>
      </c>
      <c r="L812" s="1" t="s">
        <v>4916</v>
      </c>
      <c r="P812" s="1" t="s">
        <v>4883</v>
      </c>
      <c r="Q812" s="1">
        <v>2001</v>
      </c>
      <c r="R812" s="1" t="s">
        <v>4884</v>
      </c>
      <c r="S812" s="1" t="s">
        <v>23</v>
      </c>
      <c r="T812" s="38">
        <v>1</v>
      </c>
    </row>
    <row r="813" spans="1:24" x14ac:dyDescent="0.2">
      <c r="A813" s="1" t="s">
        <v>4917</v>
      </c>
      <c r="B813" s="1" t="s">
        <v>57</v>
      </c>
      <c r="C813" s="1" t="s">
        <v>4880</v>
      </c>
      <c r="E813" s="1">
        <v>56</v>
      </c>
      <c r="F813" s="1" t="s">
        <v>4918</v>
      </c>
      <c r="H813" s="1" t="s">
        <v>4919</v>
      </c>
      <c r="I813" s="1" t="s">
        <v>7</v>
      </c>
      <c r="J813" s="1" t="s">
        <v>4920</v>
      </c>
      <c r="K813" s="1" t="s">
        <v>4921</v>
      </c>
      <c r="L813" s="1" t="s">
        <v>4920</v>
      </c>
      <c r="P813" s="1" t="s">
        <v>4883</v>
      </c>
      <c r="Q813" s="1">
        <v>2001</v>
      </c>
      <c r="R813" s="1" t="s">
        <v>4884</v>
      </c>
      <c r="S813" s="1" t="s">
        <v>23</v>
      </c>
      <c r="T813" s="38">
        <v>1</v>
      </c>
    </row>
    <row r="814" spans="1:24" x14ac:dyDescent="0.2">
      <c r="A814" s="1" t="s">
        <v>4922</v>
      </c>
      <c r="B814" s="1" t="s">
        <v>57</v>
      </c>
      <c r="C814" s="1" t="s">
        <v>4880</v>
      </c>
      <c r="E814" s="1">
        <v>52</v>
      </c>
      <c r="F814" s="1" t="s">
        <v>4923</v>
      </c>
      <c r="H814" s="1" t="s">
        <v>4924</v>
      </c>
      <c r="I814" s="1" t="s">
        <v>7</v>
      </c>
      <c r="J814" s="1" t="s">
        <v>4925</v>
      </c>
      <c r="K814" s="1" t="s">
        <v>4926</v>
      </c>
      <c r="L814" s="1" t="s">
        <v>4927</v>
      </c>
      <c r="P814" s="1" t="s">
        <v>4883</v>
      </c>
      <c r="Q814" s="1">
        <v>2001</v>
      </c>
      <c r="R814" s="1" t="s">
        <v>4884</v>
      </c>
      <c r="S814" s="1" t="s">
        <v>23</v>
      </c>
      <c r="T814" s="38">
        <v>1</v>
      </c>
    </row>
    <row r="815" spans="1:24" x14ac:dyDescent="0.2">
      <c r="A815" s="1" t="s">
        <v>4928</v>
      </c>
      <c r="B815" s="1" t="s">
        <v>57</v>
      </c>
      <c r="C815" s="1" t="s">
        <v>4880</v>
      </c>
      <c r="E815" s="1">
        <v>55</v>
      </c>
      <c r="F815" s="1" t="s">
        <v>4929</v>
      </c>
      <c r="H815" s="1" t="s">
        <v>4930</v>
      </c>
      <c r="I815" s="1" t="s">
        <v>7</v>
      </c>
      <c r="J815" s="1" t="s">
        <v>4931</v>
      </c>
      <c r="K815" s="1" t="s">
        <v>4932</v>
      </c>
      <c r="L815" s="1" t="s">
        <v>4933</v>
      </c>
      <c r="P815" s="1" t="s">
        <v>4883</v>
      </c>
      <c r="Q815" s="1">
        <v>2001</v>
      </c>
      <c r="R815" s="1" t="s">
        <v>4884</v>
      </c>
      <c r="S815" s="1" t="s">
        <v>23</v>
      </c>
      <c r="T815" s="38">
        <v>1</v>
      </c>
    </row>
    <row r="816" spans="1:24" x14ac:dyDescent="0.2">
      <c r="A816" s="1" t="s">
        <v>4934</v>
      </c>
      <c r="B816" s="1" t="s">
        <v>57</v>
      </c>
      <c r="C816" s="1" t="s">
        <v>4880</v>
      </c>
      <c r="E816" s="1">
        <v>52</v>
      </c>
      <c r="F816" s="1" t="s">
        <v>4935</v>
      </c>
      <c r="H816" s="1" t="s">
        <v>4936</v>
      </c>
      <c r="I816" s="1" t="s">
        <v>7</v>
      </c>
      <c r="J816" s="1" t="s">
        <v>4937</v>
      </c>
      <c r="K816" s="1" t="s">
        <v>4938</v>
      </c>
      <c r="L816" s="1" t="s">
        <v>4939</v>
      </c>
      <c r="P816" s="1" t="s">
        <v>4883</v>
      </c>
      <c r="Q816" s="1">
        <v>2001</v>
      </c>
      <c r="R816" s="1" t="s">
        <v>4884</v>
      </c>
      <c r="S816" s="1" t="s">
        <v>23</v>
      </c>
      <c r="T816" s="38">
        <v>1</v>
      </c>
    </row>
    <row r="817" spans="1:169" x14ac:dyDescent="0.2">
      <c r="A817" s="1" t="s">
        <v>4940</v>
      </c>
      <c r="B817" s="1" t="s">
        <v>1911</v>
      </c>
      <c r="C817" s="1" t="s">
        <v>4515</v>
      </c>
      <c r="E817" s="1">
        <v>45</v>
      </c>
      <c r="F817" s="1" t="s">
        <v>4941</v>
      </c>
      <c r="H817" s="1" t="s">
        <v>4942</v>
      </c>
      <c r="I817" s="1" t="s">
        <v>7</v>
      </c>
      <c r="J817" s="1" t="s">
        <v>4943</v>
      </c>
      <c r="K817" s="1" t="s">
        <v>4944</v>
      </c>
      <c r="L817" s="1" t="s">
        <v>4943</v>
      </c>
      <c r="P817" s="1" t="s">
        <v>1269</v>
      </c>
      <c r="Q817" s="1">
        <v>2002</v>
      </c>
      <c r="R817" s="1" t="s">
        <v>4945</v>
      </c>
      <c r="S817" s="1" t="s">
        <v>23</v>
      </c>
      <c r="T817" s="38">
        <v>1</v>
      </c>
      <c r="V817" s="1">
        <v>1.1299999999999999</v>
      </c>
      <c r="Y817" s="1">
        <v>0.26559512000000002</v>
      </c>
      <c r="Z817" s="1">
        <v>0.16468511999999999</v>
      </c>
      <c r="AA817" s="1">
        <v>0.32694839999999997</v>
      </c>
      <c r="AD817" s="1">
        <v>0.71440707964601802</v>
      </c>
      <c r="AW817" s="1">
        <v>1.2916479999999999E-2</v>
      </c>
      <c r="AY817" s="1">
        <v>8.0727999999999998E-3</v>
      </c>
      <c r="BA817" s="1">
        <v>0.14692495999999999</v>
      </c>
      <c r="BD817" s="1">
        <v>1.695288E-2</v>
      </c>
      <c r="BG817" s="1">
        <v>8.1535280000000002E-2</v>
      </c>
      <c r="BZ817" s="1">
        <v>5.3280479999999998E-2</v>
      </c>
      <c r="CB817" s="1">
        <v>8.0727999999999998E-3</v>
      </c>
      <c r="CK817" s="1">
        <v>9.8488160000000005E-2</v>
      </c>
      <c r="CV817" s="1">
        <v>4.0363999999999999E-3</v>
      </c>
      <c r="DN817" s="1">
        <v>2.0181999999999999E-2</v>
      </c>
      <c r="DT817" s="1">
        <v>5.65096E-3</v>
      </c>
      <c r="EH817" s="1">
        <v>3.2291199999999998E-3</v>
      </c>
      <c r="EX817" s="1">
        <v>5.4087759999999999E-2</v>
      </c>
      <c r="FE817" s="1">
        <v>0.14369583999999999</v>
      </c>
      <c r="FJ817" s="1">
        <v>1.372376E-2</v>
      </c>
      <c r="FM817" s="1">
        <v>8.6378960000000005E-2</v>
      </c>
    </row>
    <row r="818" spans="1:169" x14ac:dyDescent="0.2">
      <c r="A818" s="1" t="s">
        <v>4946</v>
      </c>
      <c r="B818" s="1" t="s">
        <v>57</v>
      </c>
      <c r="C818" s="1" t="s">
        <v>4947</v>
      </c>
      <c r="E818" s="1">
        <v>52</v>
      </c>
      <c r="F818" s="1" t="s">
        <v>4948</v>
      </c>
      <c r="G818" s="1" t="s">
        <v>4949</v>
      </c>
      <c r="H818" s="1" t="s">
        <v>4950</v>
      </c>
      <c r="I818" s="1" t="s">
        <v>7</v>
      </c>
      <c r="J818" s="1" t="s">
        <v>4951</v>
      </c>
      <c r="K818" s="1" t="s">
        <v>4952</v>
      </c>
      <c r="L818" s="1" t="s">
        <v>4951</v>
      </c>
      <c r="M818" s="1" t="s">
        <v>4953</v>
      </c>
      <c r="Q818" s="1">
        <v>2009</v>
      </c>
      <c r="R818" s="1" t="s">
        <v>4954</v>
      </c>
      <c r="S818" s="1" t="s">
        <v>23</v>
      </c>
      <c r="T818" s="38">
        <v>1</v>
      </c>
      <c r="Y818" s="1">
        <v>0.49199999999999999</v>
      </c>
      <c r="Z818" s="1">
        <v>0.22</v>
      </c>
      <c r="AA818" s="1">
        <v>0.313</v>
      </c>
      <c r="AE818" s="1">
        <v>1.024</v>
      </c>
      <c r="AF818" s="1">
        <v>0.19</v>
      </c>
      <c r="AG818" s="1">
        <v>0.123</v>
      </c>
      <c r="AW818" s="1">
        <v>2.1999999999999999E-2</v>
      </c>
      <c r="AY818" s="1">
        <v>0.01</v>
      </c>
      <c r="BA818" s="1">
        <v>0.25800000000000001</v>
      </c>
      <c r="BD818" s="1">
        <v>0.04</v>
      </c>
      <c r="BG818" s="1">
        <v>0.124</v>
      </c>
      <c r="BI818" s="1">
        <v>4.0000000000000001E-3</v>
      </c>
      <c r="BK818" s="1">
        <v>2E-3</v>
      </c>
      <c r="BM818" s="1">
        <v>3.1E-2</v>
      </c>
      <c r="CA818" s="1">
        <v>3.3000000000000002E-2</v>
      </c>
      <c r="CQ818" s="1">
        <v>4.8000000000000001E-2</v>
      </c>
      <c r="CZ818" s="1">
        <v>0.111</v>
      </c>
      <c r="DD818" s="1">
        <v>3.0000000000000001E-3</v>
      </c>
      <c r="DN818" s="1">
        <v>0.03</v>
      </c>
      <c r="DR818" s="1">
        <v>2.5999999999999999E-2</v>
      </c>
      <c r="DT818" s="1">
        <v>1.0999999999999999E-2</v>
      </c>
      <c r="EH818" s="1">
        <v>8.0000000000000002E-3</v>
      </c>
      <c r="EX818" s="1">
        <v>8.2000000000000003E-2</v>
      </c>
      <c r="FE818" s="1">
        <v>8.3000000000000004E-2</v>
      </c>
      <c r="FM818" s="1">
        <v>9.9000000000000005E-2</v>
      </c>
    </row>
    <row r="819" spans="1:169" x14ac:dyDescent="0.2">
      <c r="A819" s="1" t="s">
        <v>4955</v>
      </c>
      <c r="B819" s="1" t="s">
        <v>57</v>
      </c>
      <c r="C819" s="1" t="s">
        <v>4956</v>
      </c>
      <c r="E819" s="1">
        <v>52</v>
      </c>
      <c r="F819" s="1" t="s">
        <v>4948</v>
      </c>
      <c r="G819" s="1" t="s">
        <v>4949</v>
      </c>
      <c r="H819" s="1" t="s">
        <v>4950</v>
      </c>
      <c r="I819" s="1" t="s">
        <v>7</v>
      </c>
      <c r="J819" s="1" t="s">
        <v>4951</v>
      </c>
      <c r="K819" s="1" t="s">
        <v>4952</v>
      </c>
      <c r="L819" s="1" t="s">
        <v>4951</v>
      </c>
      <c r="M819" s="1" t="s">
        <v>4953</v>
      </c>
      <c r="Q819" s="1">
        <v>2009</v>
      </c>
      <c r="R819" s="1" t="s">
        <v>4954</v>
      </c>
      <c r="S819" s="1" t="s">
        <v>23</v>
      </c>
      <c r="T819" s="38">
        <v>1</v>
      </c>
      <c r="Y819" s="1">
        <v>1.6379999999999999</v>
      </c>
      <c r="Z819" s="1">
        <v>0.72</v>
      </c>
      <c r="AA819" s="1">
        <v>1.01</v>
      </c>
      <c r="AE819" s="1">
        <v>3.3679999999999999</v>
      </c>
      <c r="AF819" s="1">
        <v>0.65</v>
      </c>
      <c r="AG819" s="1">
        <v>0.36099999999999999</v>
      </c>
      <c r="AW819" s="1">
        <v>7.0000000000000007E-2</v>
      </c>
      <c r="AY819" s="1">
        <v>2.9000000000000001E-2</v>
      </c>
      <c r="BA819" s="1">
        <v>0.88300000000000001</v>
      </c>
      <c r="BD819" s="1">
        <v>0.121</v>
      </c>
      <c r="BG819" s="1">
        <v>0.42299999999999999</v>
      </c>
      <c r="BI819" s="1">
        <v>1.2E-2</v>
      </c>
      <c r="BK819" s="1">
        <v>5.0000000000000001E-3</v>
      </c>
      <c r="BM819" s="1">
        <v>9.6000000000000002E-2</v>
      </c>
      <c r="CA819" s="1">
        <v>5.2999999999999999E-2</v>
      </c>
      <c r="CQ819" s="1">
        <v>0.13300000000000001</v>
      </c>
      <c r="CZ819" s="1">
        <v>0.45800000000000002</v>
      </c>
      <c r="DN819" s="1">
        <v>6.7000000000000004E-2</v>
      </c>
      <c r="DR819" s="1">
        <v>7.6999999999999999E-2</v>
      </c>
      <c r="DT819" s="1">
        <v>3.1E-2</v>
      </c>
      <c r="EH819" s="1">
        <v>0.02</v>
      </c>
      <c r="EX819" s="1">
        <v>0.26300000000000001</v>
      </c>
      <c r="FE819" s="1">
        <v>0.29099999999999998</v>
      </c>
      <c r="FM819" s="1">
        <v>0.33900000000000002</v>
      </c>
    </row>
    <row r="820" spans="1:169" x14ac:dyDescent="0.2">
      <c r="A820" s="1" t="s">
        <v>4957</v>
      </c>
      <c r="B820" s="1" t="s">
        <v>57</v>
      </c>
      <c r="C820" s="1" t="s">
        <v>4947</v>
      </c>
      <c r="E820" s="1">
        <v>56</v>
      </c>
      <c r="F820" s="1" t="s">
        <v>4892</v>
      </c>
      <c r="G820" s="1" t="s">
        <v>4958</v>
      </c>
      <c r="H820" s="1" t="s">
        <v>4959</v>
      </c>
      <c r="I820" s="1" t="s">
        <v>7</v>
      </c>
      <c r="J820" s="1" t="s">
        <v>4896</v>
      </c>
      <c r="K820" s="1" t="s">
        <v>4895</v>
      </c>
      <c r="L820" s="1" t="s">
        <v>4896</v>
      </c>
      <c r="M820" s="1" t="s">
        <v>4960</v>
      </c>
      <c r="Q820" s="1">
        <v>2009</v>
      </c>
      <c r="R820" s="1" t="s">
        <v>4954</v>
      </c>
      <c r="S820" s="1" t="s">
        <v>23</v>
      </c>
      <c r="T820" s="38">
        <v>1</v>
      </c>
      <c r="Y820" s="1">
        <v>0.69799999999999995</v>
      </c>
      <c r="Z820" s="1">
        <v>0.35299999999999998</v>
      </c>
      <c r="AA820" s="1">
        <v>0.76400000000000001</v>
      </c>
      <c r="AE820" s="1">
        <v>1.8149999999999999</v>
      </c>
      <c r="AF820" s="1">
        <v>0.66300000000000003</v>
      </c>
      <c r="AG820" s="1">
        <v>0.10199999999999999</v>
      </c>
      <c r="AW820" s="1">
        <v>4.2000000000000003E-2</v>
      </c>
      <c r="AY820" s="1">
        <v>5.0000000000000001E-3</v>
      </c>
      <c r="BA820" s="1">
        <v>0.4</v>
      </c>
      <c r="BD820" s="1">
        <v>4.7E-2</v>
      </c>
      <c r="BG820" s="1">
        <v>0.17899999999999999</v>
      </c>
      <c r="BI820" s="1">
        <v>1.6E-2</v>
      </c>
      <c r="BM820" s="1">
        <v>0.01</v>
      </c>
      <c r="CA820" s="1">
        <v>0.13900000000000001</v>
      </c>
      <c r="CQ820" s="1">
        <v>6.7000000000000004E-2</v>
      </c>
      <c r="CZ820" s="1">
        <v>0.08</v>
      </c>
      <c r="DN820" s="1">
        <v>4.4999999999999998E-2</v>
      </c>
      <c r="DR820" s="1">
        <v>6.7000000000000004E-2</v>
      </c>
      <c r="EH820" s="1">
        <v>1.6E-2</v>
      </c>
      <c r="EX820" s="1">
        <v>5.6000000000000001E-2</v>
      </c>
      <c r="FE820" s="1">
        <v>0.30299999999999999</v>
      </c>
      <c r="FM820" s="1">
        <v>0.34399999999999997</v>
      </c>
    </row>
    <row r="821" spans="1:169" x14ac:dyDescent="0.2">
      <c r="A821" s="1" t="s">
        <v>4961</v>
      </c>
      <c r="B821" s="1" t="s">
        <v>57</v>
      </c>
      <c r="C821" s="1" t="s">
        <v>4956</v>
      </c>
      <c r="E821" s="1">
        <v>56</v>
      </c>
      <c r="F821" s="1" t="s">
        <v>4892</v>
      </c>
      <c r="G821" s="1" t="s">
        <v>4958</v>
      </c>
      <c r="H821" s="1" t="s">
        <v>4959</v>
      </c>
      <c r="I821" s="1" t="s">
        <v>7</v>
      </c>
      <c r="J821" s="1" t="s">
        <v>4896</v>
      </c>
      <c r="K821" s="1" t="s">
        <v>4895</v>
      </c>
      <c r="L821" s="1" t="s">
        <v>4896</v>
      </c>
      <c r="M821" s="1" t="s">
        <v>4960</v>
      </c>
      <c r="Q821" s="1">
        <v>2009</v>
      </c>
      <c r="R821" s="1" t="s">
        <v>4954</v>
      </c>
      <c r="S821" s="1" t="s">
        <v>23</v>
      </c>
      <c r="T821" s="38">
        <v>1</v>
      </c>
      <c r="Y821" s="1">
        <v>0.42199999999999999</v>
      </c>
      <c r="Z821" s="1">
        <v>0.21099999999999999</v>
      </c>
      <c r="AA821" s="1">
        <v>0.48299999999999998</v>
      </c>
      <c r="AE821" s="1">
        <v>1.1160000000000001</v>
      </c>
      <c r="AF821" s="1">
        <v>0.42299999999999999</v>
      </c>
      <c r="AG821" s="1">
        <v>0.06</v>
      </c>
      <c r="AW821" s="1">
        <v>3.2000000000000001E-2</v>
      </c>
      <c r="AY821" s="1">
        <v>3.0000000000000001E-3</v>
      </c>
      <c r="BA821" s="1">
        <v>0.246</v>
      </c>
      <c r="BD821" s="1">
        <v>2.5000000000000001E-2</v>
      </c>
      <c r="BG821" s="1">
        <v>0.108</v>
      </c>
      <c r="BI821" s="1">
        <v>2E-3</v>
      </c>
      <c r="BM821" s="1">
        <v>6.0000000000000001E-3</v>
      </c>
      <c r="CA821" s="1">
        <v>7.4999999999999997E-2</v>
      </c>
      <c r="CQ821" s="1">
        <v>0.04</v>
      </c>
      <c r="CZ821" s="1">
        <v>5.1999999999999998E-2</v>
      </c>
      <c r="DF821" s="1">
        <v>1E-3</v>
      </c>
      <c r="DN821" s="1">
        <v>2.9000000000000001E-2</v>
      </c>
      <c r="DR821" s="1">
        <v>4.2999999999999997E-2</v>
      </c>
      <c r="DT821" s="1">
        <v>1E-3</v>
      </c>
      <c r="ED821" s="1">
        <v>3.0000000000000001E-3</v>
      </c>
      <c r="EH821" s="1">
        <v>8.0000000000000002E-3</v>
      </c>
      <c r="EX821" s="1">
        <v>2.7E-2</v>
      </c>
      <c r="FE821" s="1">
        <v>0.19900000000000001</v>
      </c>
      <c r="FM821" s="1">
        <v>0.216</v>
      </c>
    </row>
    <row r="822" spans="1:169" x14ac:dyDescent="0.2">
      <c r="A822" s="1" t="s">
        <v>4962</v>
      </c>
      <c r="B822" s="1" t="s">
        <v>57</v>
      </c>
      <c r="C822" s="1" t="s">
        <v>4963</v>
      </c>
      <c r="E822" s="1">
        <v>56</v>
      </c>
      <c r="F822" s="1" t="s">
        <v>4964</v>
      </c>
      <c r="G822" s="1" t="s">
        <v>4965</v>
      </c>
      <c r="H822" s="1" t="s">
        <v>4966</v>
      </c>
      <c r="I822" s="1" t="s">
        <v>7</v>
      </c>
      <c r="J822" s="1" t="s">
        <v>4967</v>
      </c>
      <c r="K822" s="1" t="s">
        <v>4968</v>
      </c>
      <c r="L822" s="1" t="s">
        <v>4967</v>
      </c>
      <c r="M822" s="1" t="s">
        <v>4960</v>
      </c>
      <c r="Q822" s="1">
        <v>2009</v>
      </c>
      <c r="R822" s="1" t="s">
        <v>4954</v>
      </c>
      <c r="S822" s="1" t="s">
        <v>23</v>
      </c>
      <c r="T822" s="38">
        <v>1</v>
      </c>
      <c r="Y822" s="1">
        <v>0.71599999999999997</v>
      </c>
      <c r="Z822" s="1">
        <v>0.497</v>
      </c>
      <c r="AA822" s="1">
        <v>0.70099999999999996</v>
      </c>
      <c r="AE822" s="1">
        <v>1.913</v>
      </c>
      <c r="AF822" s="1">
        <v>0.59799999999999998</v>
      </c>
      <c r="AG822" s="1">
        <v>0.10199999999999999</v>
      </c>
      <c r="AW822" s="1">
        <v>4.1000000000000002E-2</v>
      </c>
      <c r="AY822" s="1">
        <v>0.01</v>
      </c>
      <c r="BA822" s="1">
        <v>0.40699999999999997</v>
      </c>
      <c r="BD822" s="1">
        <v>2.5999999999999999E-2</v>
      </c>
      <c r="BG822" s="1">
        <v>0.19700000000000001</v>
      </c>
      <c r="BI822" s="1">
        <v>6.0000000000000001E-3</v>
      </c>
      <c r="BK822" s="1">
        <v>8.9999999999999993E-3</v>
      </c>
      <c r="BM822" s="1">
        <v>0.02</v>
      </c>
      <c r="CA822" s="1">
        <v>0.20799999999999999</v>
      </c>
      <c r="CQ822" s="1">
        <v>8.2000000000000003E-2</v>
      </c>
      <c r="CZ822" s="1">
        <v>8.1000000000000003E-2</v>
      </c>
      <c r="DN822" s="1">
        <v>4.7E-2</v>
      </c>
      <c r="DR822" s="1">
        <v>0.126</v>
      </c>
      <c r="DT822" s="1">
        <v>1.2E-2</v>
      </c>
      <c r="ED822" s="1">
        <v>3.0000000000000001E-3</v>
      </c>
      <c r="EH822" s="1">
        <v>2.7E-2</v>
      </c>
      <c r="EX822" s="1">
        <v>4.1000000000000002E-2</v>
      </c>
      <c r="FE822" s="1">
        <v>0.26600000000000001</v>
      </c>
      <c r="FM822" s="1">
        <v>0.30499999999999999</v>
      </c>
    </row>
    <row r="823" spans="1:169" x14ac:dyDescent="0.2">
      <c r="A823" s="1" t="s">
        <v>4969</v>
      </c>
      <c r="B823" s="1" t="s">
        <v>57</v>
      </c>
      <c r="C823" s="1" t="s">
        <v>4970</v>
      </c>
      <c r="E823" s="1">
        <v>56</v>
      </c>
      <c r="F823" s="1" t="s">
        <v>4964</v>
      </c>
      <c r="G823" s="1" t="s">
        <v>4965</v>
      </c>
      <c r="H823" s="1" t="s">
        <v>4966</v>
      </c>
      <c r="I823" s="1" t="s">
        <v>7</v>
      </c>
      <c r="J823" s="1" t="s">
        <v>4967</v>
      </c>
      <c r="K823" s="1" t="s">
        <v>4968</v>
      </c>
      <c r="L823" s="1" t="s">
        <v>4967</v>
      </c>
      <c r="M823" s="1" t="s">
        <v>4960</v>
      </c>
      <c r="Q823" s="1">
        <v>2009</v>
      </c>
      <c r="R823" s="1" t="s">
        <v>4954</v>
      </c>
      <c r="S823" s="1" t="s">
        <v>23</v>
      </c>
      <c r="T823" s="38">
        <v>1</v>
      </c>
      <c r="Y823" s="1">
        <v>0.90800000000000003</v>
      </c>
      <c r="Z823" s="1">
        <v>0.49399999999999999</v>
      </c>
      <c r="AA823" s="1">
        <v>0.73199999999999998</v>
      </c>
      <c r="AE823" s="1">
        <v>2.1339999999999999</v>
      </c>
      <c r="AF823" s="1">
        <v>0.61499999999999999</v>
      </c>
      <c r="AG823" s="1">
        <v>0.11799999999999999</v>
      </c>
      <c r="AW823" s="1">
        <v>6.9000000000000006E-2</v>
      </c>
      <c r="AY823" s="1">
        <v>1.0999999999999999E-2</v>
      </c>
      <c r="BA823" s="1">
        <v>0.56499999999999995</v>
      </c>
      <c r="BD823" s="1">
        <v>0.03</v>
      </c>
      <c r="BG823" s="1">
        <v>0.20899999999999999</v>
      </c>
      <c r="BI823" s="1">
        <v>7.0000000000000001E-3</v>
      </c>
      <c r="BK823" s="1">
        <v>4.0000000000000001E-3</v>
      </c>
      <c r="BM823" s="1">
        <v>1.2999999999999999E-2</v>
      </c>
      <c r="CA823" s="1">
        <v>0.17699999999999999</v>
      </c>
      <c r="CQ823" s="1">
        <v>0.104</v>
      </c>
      <c r="CZ823" s="1">
        <v>9.6000000000000002E-2</v>
      </c>
      <c r="DN823" s="1">
        <v>3.6999999999999998E-2</v>
      </c>
      <c r="DR823" s="1">
        <v>0.11700000000000001</v>
      </c>
      <c r="DT823" s="1">
        <v>2.9000000000000001E-2</v>
      </c>
      <c r="ED823" s="1">
        <v>1E-3</v>
      </c>
      <c r="EH823" s="1">
        <v>3.1E-2</v>
      </c>
      <c r="EX823" s="1">
        <v>0.05</v>
      </c>
      <c r="FE823" s="1">
        <v>0.24199999999999999</v>
      </c>
      <c r="FM823" s="1">
        <v>0.34200000000000003</v>
      </c>
    </row>
    <row r="824" spans="1:169" x14ac:dyDescent="0.2">
      <c r="A824" s="1" t="s">
        <v>4971</v>
      </c>
      <c r="B824" s="1" t="s">
        <v>57</v>
      </c>
      <c r="C824" s="1" t="s">
        <v>4963</v>
      </c>
      <c r="E824" s="1">
        <v>56</v>
      </c>
      <c r="F824" s="1" t="s">
        <v>4918</v>
      </c>
      <c r="G824" s="1" t="s">
        <v>4972</v>
      </c>
      <c r="H824" s="1" t="s">
        <v>4973</v>
      </c>
      <c r="I824" s="1" t="s">
        <v>7</v>
      </c>
      <c r="J824" s="1" t="s">
        <v>4920</v>
      </c>
      <c r="K824" s="1" t="s">
        <v>4921</v>
      </c>
      <c r="L824" s="1" t="s">
        <v>4920</v>
      </c>
      <c r="M824" s="1" t="s">
        <v>4960</v>
      </c>
      <c r="Q824" s="1">
        <v>2009</v>
      </c>
      <c r="R824" s="1" t="s">
        <v>4954</v>
      </c>
      <c r="S824" s="1" t="s">
        <v>23</v>
      </c>
      <c r="T824" s="38">
        <v>1</v>
      </c>
      <c r="Y824" s="1">
        <v>0.47399999999999998</v>
      </c>
      <c r="Z824" s="1">
        <v>0.21299999999999999</v>
      </c>
      <c r="AA824" s="1">
        <v>0.4</v>
      </c>
      <c r="AE824" s="1">
        <v>1.087</v>
      </c>
      <c r="AF824" s="1">
        <v>0.32900000000000001</v>
      </c>
      <c r="AG824" s="1">
        <v>7.0999999999999994E-2</v>
      </c>
      <c r="AW824" s="1">
        <v>2.1000000000000001E-2</v>
      </c>
      <c r="AY824" s="1">
        <v>4.0000000000000001E-3</v>
      </c>
      <c r="BA824" s="1">
        <v>0.31900000000000001</v>
      </c>
      <c r="BD824" s="1">
        <v>2.3E-2</v>
      </c>
      <c r="BG824" s="1">
        <v>9.4E-2</v>
      </c>
      <c r="BI824" s="1">
        <v>5.0000000000000001E-3</v>
      </c>
      <c r="BM824" s="1">
        <v>8.0000000000000002E-3</v>
      </c>
      <c r="CA824" s="1">
        <v>6.6000000000000003E-2</v>
      </c>
      <c r="CQ824" s="1">
        <v>5.0999999999999997E-2</v>
      </c>
      <c r="CZ824" s="1">
        <v>0.05</v>
      </c>
      <c r="DN824" s="1">
        <v>1.7000000000000001E-2</v>
      </c>
      <c r="DR824" s="1">
        <v>4.4999999999999998E-2</v>
      </c>
      <c r="DT824" s="1">
        <v>0.01</v>
      </c>
      <c r="EH824" s="1">
        <v>6.0000000000000001E-3</v>
      </c>
      <c r="EX824" s="1">
        <v>4.4999999999999998E-2</v>
      </c>
      <c r="FE824" s="1">
        <v>0.112</v>
      </c>
      <c r="FM824" s="1">
        <v>0.21099999999999999</v>
      </c>
    </row>
    <row r="825" spans="1:169" x14ac:dyDescent="0.2">
      <c r="A825" s="1" t="s">
        <v>4974</v>
      </c>
      <c r="B825" s="1" t="s">
        <v>57</v>
      </c>
      <c r="C825" s="1" t="s">
        <v>4970</v>
      </c>
      <c r="E825" s="1">
        <v>56</v>
      </c>
      <c r="F825" s="1" t="s">
        <v>4918</v>
      </c>
      <c r="G825" s="1" t="s">
        <v>4972</v>
      </c>
      <c r="H825" s="1" t="s">
        <v>4973</v>
      </c>
      <c r="I825" s="1" t="s">
        <v>7</v>
      </c>
      <c r="J825" s="1" t="s">
        <v>4920</v>
      </c>
      <c r="K825" s="1" t="s">
        <v>4921</v>
      </c>
      <c r="L825" s="1" t="s">
        <v>4920</v>
      </c>
      <c r="M825" s="1" t="s">
        <v>4960</v>
      </c>
      <c r="Q825" s="1">
        <v>2009</v>
      </c>
      <c r="R825" s="1" t="s">
        <v>4954</v>
      </c>
      <c r="S825" s="1" t="s">
        <v>23</v>
      </c>
      <c r="T825" s="38">
        <v>1</v>
      </c>
      <c r="Y825" s="1">
        <v>1.478</v>
      </c>
      <c r="Z825" s="1">
        <v>0.83799999999999997</v>
      </c>
      <c r="AA825" s="1">
        <v>1.0820000000000001</v>
      </c>
      <c r="AE825" s="1">
        <v>3.3969999999999998</v>
      </c>
      <c r="AF825" s="1">
        <v>0.89800000000000002</v>
      </c>
      <c r="AG825" s="1">
        <v>0.184</v>
      </c>
      <c r="AW825" s="1">
        <v>0.123</v>
      </c>
      <c r="AY825" s="1">
        <v>1.4E-2</v>
      </c>
      <c r="BA825" s="1">
        <v>0.999</v>
      </c>
      <c r="BD825" s="1">
        <v>4.7E-2</v>
      </c>
      <c r="BG825" s="1">
        <v>0.27100000000000002</v>
      </c>
      <c r="BI825" s="1">
        <v>6.0000000000000001E-3</v>
      </c>
      <c r="BM825" s="1">
        <v>1.7000000000000001E-2</v>
      </c>
      <c r="CA825" s="1">
        <v>0.34300000000000003</v>
      </c>
      <c r="CQ825" s="1">
        <v>0.13900000000000001</v>
      </c>
      <c r="CZ825" s="1">
        <v>0.16900000000000001</v>
      </c>
      <c r="DN825" s="1">
        <v>7.3999999999999996E-2</v>
      </c>
      <c r="DR825" s="1">
        <v>0.186</v>
      </c>
      <c r="DT825" s="1">
        <v>3.9E-2</v>
      </c>
      <c r="EH825" s="1">
        <v>2.8000000000000001E-2</v>
      </c>
      <c r="EX825" s="1">
        <v>7.0999999999999994E-2</v>
      </c>
      <c r="FE825" s="1">
        <v>0.33</v>
      </c>
      <c r="FM825" s="1">
        <v>0.54</v>
      </c>
    </row>
    <row r="826" spans="1:169" x14ac:dyDescent="0.2">
      <c r="A826" s="1" t="s">
        <v>4975</v>
      </c>
      <c r="B826" s="1" t="s">
        <v>57</v>
      </c>
      <c r="C826" s="1" t="s">
        <v>4963</v>
      </c>
      <c r="E826" s="1">
        <v>56</v>
      </c>
      <c r="F826" s="1" t="s">
        <v>4906</v>
      </c>
      <c r="G826" s="1" t="s">
        <v>4976</v>
      </c>
      <c r="H826" s="1" t="s">
        <v>4909</v>
      </c>
      <c r="I826" s="1" t="s">
        <v>7</v>
      </c>
      <c r="J826" s="1" t="s">
        <v>4910</v>
      </c>
      <c r="K826" s="1" t="s">
        <v>4910</v>
      </c>
      <c r="L826" s="1" t="s">
        <v>4910</v>
      </c>
      <c r="M826" s="1" t="s">
        <v>4960</v>
      </c>
      <c r="Q826" s="1">
        <v>2009</v>
      </c>
      <c r="R826" s="1" t="s">
        <v>4954</v>
      </c>
      <c r="S826" s="1" t="s">
        <v>23</v>
      </c>
      <c r="T826" s="38">
        <v>1</v>
      </c>
      <c r="Y826" s="1">
        <v>1.1020000000000001</v>
      </c>
      <c r="Z826" s="1">
        <v>0.46800000000000003</v>
      </c>
      <c r="AA826" s="1">
        <v>0.74299999999999999</v>
      </c>
      <c r="AE826" s="1">
        <v>2.3149999999999999</v>
      </c>
      <c r="AF826" s="1">
        <v>0.60099999999999998</v>
      </c>
      <c r="AG826" s="1">
        <v>0.14199999999999999</v>
      </c>
      <c r="AW826" s="1">
        <v>4.1000000000000002E-2</v>
      </c>
      <c r="AY826" s="1">
        <v>1.6E-2</v>
      </c>
      <c r="BA826" s="1">
        <v>0.75700000000000001</v>
      </c>
      <c r="BD826" s="1">
        <v>4.7E-2</v>
      </c>
      <c r="BG826" s="1">
        <v>0.223</v>
      </c>
      <c r="BI826" s="1">
        <v>0.01</v>
      </c>
      <c r="BM826" s="1">
        <v>7.0000000000000001E-3</v>
      </c>
      <c r="CA826" s="1">
        <v>0.128</v>
      </c>
      <c r="CQ826" s="1">
        <v>0.10100000000000001</v>
      </c>
      <c r="CZ826" s="1">
        <v>0.13600000000000001</v>
      </c>
      <c r="DN826" s="1">
        <v>3.2000000000000001E-2</v>
      </c>
      <c r="DR826" s="1">
        <v>0.104</v>
      </c>
      <c r="DT826" s="1">
        <v>4.4999999999999998E-2</v>
      </c>
      <c r="ED826" s="1">
        <v>5.0000000000000001E-3</v>
      </c>
      <c r="EH826" s="1">
        <v>2.5000000000000001E-2</v>
      </c>
      <c r="EX826" s="1">
        <v>5.8999999999999997E-2</v>
      </c>
      <c r="FE826" s="1">
        <v>0.20799999999999999</v>
      </c>
      <c r="FM826" s="1">
        <v>0.36899999999999999</v>
      </c>
    </row>
    <row r="827" spans="1:169" x14ac:dyDescent="0.2">
      <c r="A827" s="1" t="s">
        <v>4977</v>
      </c>
      <c r="B827" s="1" t="s">
        <v>57</v>
      </c>
      <c r="C827" s="1" t="s">
        <v>4970</v>
      </c>
      <c r="E827" s="1">
        <v>56</v>
      </c>
      <c r="F827" s="1" t="s">
        <v>4906</v>
      </c>
      <c r="G827" s="1" t="s">
        <v>4976</v>
      </c>
      <c r="H827" s="1" t="s">
        <v>4909</v>
      </c>
      <c r="I827" s="1" t="s">
        <v>7</v>
      </c>
      <c r="J827" s="1" t="s">
        <v>4910</v>
      </c>
      <c r="L827" s="1" t="s">
        <v>4910</v>
      </c>
      <c r="M827" s="1" t="s">
        <v>4960</v>
      </c>
      <c r="Q827" s="1">
        <v>2009</v>
      </c>
      <c r="R827" s="1" t="s">
        <v>4954</v>
      </c>
      <c r="S827" s="1" t="s">
        <v>23</v>
      </c>
      <c r="T827" s="38">
        <v>1</v>
      </c>
      <c r="Y827" s="1">
        <v>0.504</v>
      </c>
      <c r="Z827" s="1">
        <v>0.219</v>
      </c>
      <c r="AA827" s="1">
        <v>0.34899999999999998</v>
      </c>
      <c r="AE827" s="1">
        <v>1.0720000000000001</v>
      </c>
      <c r="AF827" s="1">
        <v>0.27700000000000002</v>
      </c>
      <c r="AG827" s="1">
        <v>7.1999999999999995E-2</v>
      </c>
      <c r="AW827" s="1">
        <v>0.02</v>
      </c>
      <c r="AY827" s="1">
        <v>5.0000000000000001E-3</v>
      </c>
      <c r="BA827" s="1">
        <v>0.31900000000000001</v>
      </c>
      <c r="BD827" s="1">
        <v>2.1999999999999999E-2</v>
      </c>
      <c r="BG827" s="1">
        <v>0.122</v>
      </c>
      <c r="BI827" s="1">
        <v>5.0000000000000001E-3</v>
      </c>
      <c r="BM827" s="1">
        <v>8.9999999999999993E-3</v>
      </c>
      <c r="CA827" s="1">
        <v>7.6999999999999999E-2</v>
      </c>
      <c r="CQ827" s="1">
        <v>5.6000000000000001E-2</v>
      </c>
      <c r="CZ827" s="1">
        <v>3.3000000000000002E-2</v>
      </c>
      <c r="DN827" s="1">
        <v>3.1E-2</v>
      </c>
      <c r="DR827" s="1">
        <v>5.1999999999999998E-2</v>
      </c>
      <c r="DT827" s="1">
        <v>5.0000000000000001E-3</v>
      </c>
      <c r="EH827" s="1">
        <v>4.0000000000000001E-3</v>
      </c>
      <c r="EX827" s="1">
        <v>3.5999999999999997E-2</v>
      </c>
      <c r="FE827" s="1">
        <v>0.10299999999999999</v>
      </c>
      <c r="FM827" s="1">
        <v>0.17</v>
      </c>
    </row>
    <row r="828" spans="1:169" x14ac:dyDescent="0.2">
      <c r="A828" s="1" t="s">
        <v>4978</v>
      </c>
      <c r="B828" s="1" t="s">
        <v>57</v>
      </c>
      <c r="C828" s="1" t="s">
        <v>4979</v>
      </c>
      <c r="E828" s="1">
        <v>52</v>
      </c>
      <c r="F828" s="1" t="s">
        <v>4980</v>
      </c>
      <c r="H828" s="1" t="s">
        <v>4981</v>
      </c>
      <c r="I828" s="1" t="s">
        <v>7</v>
      </c>
      <c r="J828" s="1" t="s">
        <v>4982</v>
      </c>
      <c r="K828" s="1" t="s">
        <v>4983</v>
      </c>
      <c r="L828" s="1" t="s">
        <v>4982</v>
      </c>
      <c r="N828" s="1" t="s">
        <v>4984</v>
      </c>
      <c r="P828" s="1" t="s">
        <v>4985</v>
      </c>
      <c r="Q828" s="1">
        <v>1992</v>
      </c>
      <c r="R828" s="1" t="s">
        <v>4986</v>
      </c>
      <c r="S828" s="1" t="s">
        <v>23</v>
      </c>
      <c r="T828" s="38">
        <v>1</v>
      </c>
      <c r="U828" s="1">
        <v>71.599999999999994</v>
      </c>
      <c r="X828" s="1">
        <v>0.3</v>
      </c>
    </row>
    <row r="829" spans="1:169" x14ac:dyDescent="0.2">
      <c r="A829" s="1" t="s">
        <v>4987</v>
      </c>
      <c r="B829" s="1" t="s">
        <v>57</v>
      </c>
      <c r="C829" s="1" t="s">
        <v>4988</v>
      </c>
      <c r="E829" s="1">
        <v>52</v>
      </c>
      <c r="F829" s="1" t="s">
        <v>4980</v>
      </c>
      <c r="H829" s="1" t="s">
        <v>4981</v>
      </c>
      <c r="I829" s="1" t="s">
        <v>7</v>
      </c>
      <c r="J829" s="1" t="s">
        <v>4982</v>
      </c>
      <c r="K829" s="1" t="s">
        <v>4983</v>
      </c>
      <c r="L829" s="1" t="s">
        <v>4982</v>
      </c>
      <c r="N829" s="1" t="s">
        <v>4989</v>
      </c>
      <c r="P829" s="1" t="s">
        <v>4985</v>
      </c>
      <c r="Q829" s="1">
        <v>1992</v>
      </c>
      <c r="R829" s="1" t="s">
        <v>4986</v>
      </c>
      <c r="S829" s="1" t="s">
        <v>23</v>
      </c>
      <c r="T829" s="38">
        <v>1</v>
      </c>
      <c r="U829" s="1">
        <v>71.7</v>
      </c>
      <c r="X829" s="1">
        <v>0.3</v>
      </c>
    </row>
    <row r="830" spans="1:169" x14ac:dyDescent="0.2">
      <c r="A830" s="1" t="s">
        <v>4990</v>
      </c>
      <c r="B830" s="1" t="s">
        <v>57</v>
      </c>
      <c r="C830" s="1" t="s">
        <v>4991</v>
      </c>
      <c r="E830" s="1">
        <v>52</v>
      </c>
      <c r="F830" s="1" t="s">
        <v>4980</v>
      </c>
      <c r="H830" s="1" t="s">
        <v>4981</v>
      </c>
      <c r="I830" s="1" t="s">
        <v>7</v>
      </c>
      <c r="J830" s="1" t="s">
        <v>4982</v>
      </c>
      <c r="K830" s="1" t="s">
        <v>4983</v>
      </c>
      <c r="L830" s="1" t="s">
        <v>4982</v>
      </c>
      <c r="N830" s="1" t="s">
        <v>4992</v>
      </c>
      <c r="P830" s="1" t="s">
        <v>4985</v>
      </c>
      <c r="Q830" s="1">
        <v>1992</v>
      </c>
      <c r="R830" s="1" t="s">
        <v>4986</v>
      </c>
      <c r="S830" s="1" t="s">
        <v>23</v>
      </c>
      <c r="T830" s="38">
        <v>1</v>
      </c>
      <c r="U830" s="1">
        <v>72.099999999999994</v>
      </c>
      <c r="X830" s="1">
        <v>0.2</v>
      </c>
    </row>
    <row r="831" spans="1:169" x14ac:dyDescent="0.2">
      <c r="A831" s="1" t="s">
        <v>4993</v>
      </c>
      <c r="B831" s="1" t="s">
        <v>57</v>
      </c>
      <c r="C831" s="1" t="s">
        <v>4994</v>
      </c>
      <c r="E831" s="1">
        <v>56</v>
      </c>
      <c r="F831" s="1" t="s">
        <v>4906</v>
      </c>
      <c r="H831" s="1" t="s">
        <v>4995</v>
      </c>
      <c r="I831" s="1" t="s">
        <v>7</v>
      </c>
      <c r="J831" s="1" t="s">
        <v>4910</v>
      </c>
      <c r="K831" s="1" t="s">
        <v>4909</v>
      </c>
      <c r="L831" s="1" t="s">
        <v>4910</v>
      </c>
      <c r="N831" s="1" t="s">
        <v>4996</v>
      </c>
      <c r="Q831" s="1">
        <v>2006</v>
      </c>
      <c r="R831" s="1" t="s">
        <v>4997</v>
      </c>
      <c r="S831" s="1" t="s">
        <v>23</v>
      </c>
      <c r="T831" s="38">
        <v>1</v>
      </c>
      <c r="U831" s="1">
        <v>83.98</v>
      </c>
      <c r="V831" s="1">
        <v>0.98</v>
      </c>
    </row>
    <row r="832" spans="1:169" x14ac:dyDescent="0.2">
      <c r="A832" s="1" t="s">
        <v>4998</v>
      </c>
      <c r="B832" s="1" t="s">
        <v>57</v>
      </c>
      <c r="C832" s="1" t="s">
        <v>4999</v>
      </c>
      <c r="D832" s="1" t="s">
        <v>2</v>
      </c>
      <c r="E832" s="1">
        <v>56</v>
      </c>
      <c r="F832" s="1" t="s">
        <v>4463</v>
      </c>
      <c r="H832" s="1" t="s">
        <v>5000</v>
      </c>
      <c r="I832" s="1" t="s">
        <v>7</v>
      </c>
      <c r="J832" s="1" t="s">
        <v>4465</v>
      </c>
      <c r="K832" s="1" t="s">
        <v>4466</v>
      </c>
      <c r="L832" s="1" t="s">
        <v>4465</v>
      </c>
      <c r="N832" s="1" t="s">
        <v>5001</v>
      </c>
      <c r="Q832" s="1">
        <v>2006</v>
      </c>
      <c r="R832" s="1" t="s">
        <v>4997</v>
      </c>
      <c r="S832" s="1" t="s">
        <v>23</v>
      </c>
      <c r="T832" s="38">
        <v>1</v>
      </c>
      <c r="U832" s="1">
        <v>85.91</v>
      </c>
      <c r="V832" s="1">
        <v>0.78</v>
      </c>
    </row>
    <row r="833" spans="1:169" x14ac:dyDescent="0.2">
      <c r="A833" s="1" t="s">
        <v>5002</v>
      </c>
      <c r="B833" s="1" t="s">
        <v>57</v>
      </c>
      <c r="C833" s="1" t="s">
        <v>5003</v>
      </c>
      <c r="E833" s="1">
        <v>57</v>
      </c>
      <c r="F833" s="1" t="s">
        <v>1922</v>
      </c>
      <c r="H833" s="1" t="s">
        <v>5004</v>
      </c>
      <c r="I833" s="1" t="s">
        <v>7</v>
      </c>
      <c r="J833" s="1" t="s">
        <v>1924</v>
      </c>
      <c r="K833" s="1" t="s">
        <v>1925</v>
      </c>
      <c r="L833" s="1" t="s">
        <v>1924</v>
      </c>
      <c r="M833" s="1" t="s">
        <v>5005</v>
      </c>
      <c r="Q833" s="1">
        <v>2009</v>
      </c>
      <c r="R833" s="1" t="s">
        <v>5006</v>
      </c>
      <c r="S833" s="1" t="s">
        <v>27</v>
      </c>
      <c r="T833" s="38">
        <v>1</v>
      </c>
    </row>
    <row r="834" spans="1:169" x14ac:dyDescent="0.2">
      <c r="A834" s="1" t="s">
        <v>5007</v>
      </c>
      <c r="B834" s="1" t="s">
        <v>57</v>
      </c>
      <c r="C834" s="1" t="s">
        <v>5003</v>
      </c>
      <c r="E834" s="1">
        <v>57</v>
      </c>
      <c r="F834" s="1" t="s">
        <v>1939</v>
      </c>
      <c r="H834" s="1" t="s">
        <v>5008</v>
      </c>
      <c r="I834" s="1" t="s">
        <v>7</v>
      </c>
      <c r="J834" s="1" t="s">
        <v>1941</v>
      </c>
      <c r="K834" s="1" t="s">
        <v>1942</v>
      </c>
      <c r="L834" s="1" t="s">
        <v>1941</v>
      </c>
      <c r="M834" s="1" t="s">
        <v>5005</v>
      </c>
      <c r="Q834" s="1">
        <v>2009</v>
      </c>
      <c r="R834" s="1" t="s">
        <v>5006</v>
      </c>
      <c r="S834" s="1" t="s">
        <v>27</v>
      </c>
      <c r="T834" s="38">
        <v>1</v>
      </c>
    </row>
    <row r="835" spans="1:169" x14ac:dyDescent="0.2">
      <c r="A835" s="1" t="s">
        <v>5009</v>
      </c>
      <c r="B835" s="1" t="s">
        <v>57</v>
      </c>
      <c r="C835" s="1" t="s">
        <v>5003</v>
      </c>
      <c r="E835" s="1">
        <v>57</v>
      </c>
      <c r="F835" s="1" t="s">
        <v>1901</v>
      </c>
      <c r="H835" s="1" t="s">
        <v>5010</v>
      </c>
      <c r="I835" s="1" t="s">
        <v>7</v>
      </c>
      <c r="J835" s="1" t="s">
        <v>1903</v>
      </c>
      <c r="K835" s="1" t="s">
        <v>1904</v>
      </c>
      <c r="L835" s="1" t="s">
        <v>1903</v>
      </c>
      <c r="M835" s="1" t="s">
        <v>5005</v>
      </c>
      <c r="Q835" s="1">
        <v>2009</v>
      </c>
      <c r="R835" s="1" t="s">
        <v>5006</v>
      </c>
      <c r="S835" s="1" t="s">
        <v>27</v>
      </c>
      <c r="T835" s="38">
        <v>1</v>
      </c>
    </row>
    <row r="836" spans="1:169" x14ac:dyDescent="0.2">
      <c r="A836" s="1" t="s">
        <v>5011</v>
      </c>
      <c r="B836" s="1" t="s">
        <v>55</v>
      </c>
      <c r="C836" s="1" t="s">
        <v>237</v>
      </c>
      <c r="E836" s="1">
        <v>25</v>
      </c>
      <c r="F836" s="1" t="s">
        <v>5012</v>
      </c>
      <c r="H836" s="1" t="s">
        <v>5013</v>
      </c>
      <c r="I836" s="1" t="s">
        <v>7</v>
      </c>
      <c r="J836" s="1" t="s">
        <v>5014</v>
      </c>
      <c r="K836" s="1" t="s">
        <v>5015</v>
      </c>
      <c r="L836" s="1" t="s">
        <v>5014</v>
      </c>
      <c r="P836" s="1" t="s">
        <v>5016</v>
      </c>
      <c r="Q836" s="1">
        <v>2002</v>
      </c>
      <c r="R836" s="1" t="s">
        <v>5017</v>
      </c>
      <c r="S836" s="1" t="s">
        <v>27</v>
      </c>
      <c r="T836" s="38">
        <v>1</v>
      </c>
      <c r="U836" s="1">
        <v>78</v>
      </c>
      <c r="W836" s="1">
        <v>2</v>
      </c>
    </row>
    <row r="837" spans="1:169" x14ac:dyDescent="0.2">
      <c r="A837" s="1" t="s">
        <v>5018</v>
      </c>
      <c r="B837" s="1" t="s">
        <v>55</v>
      </c>
      <c r="C837" s="1" t="s">
        <v>237</v>
      </c>
      <c r="E837" s="1">
        <v>25</v>
      </c>
      <c r="F837" s="1" t="s">
        <v>5012</v>
      </c>
      <c r="H837" s="1" t="s">
        <v>5013</v>
      </c>
      <c r="I837" s="1" t="s">
        <v>7</v>
      </c>
      <c r="J837" s="1" t="s">
        <v>5014</v>
      </c>
      <c r="K837" s="1" t="s">
        <v>5015</v>
      </c>
      <c r="L837" s="1" t="s">
        <v>5014</v>
      </c>
      <c r="P837" s="1" t="s">
        <v>5016</v>
      </c>
      <c r="Q837" s="1">
        <v>2002</v>
      </c>
      <c r="R837" s="1" t="s">
        <v>5017</v>
      </c>
      <c r="S837" s="1" t="s">
        <v>27</v>
      </c>
      <c r="T837" s="38">
        <v>1</v>
      </c>
      <c r="U837" s="1">
        <v>76</v>
      </c>
      <c r="W837" s="1">
        <v>3.3</v>
      </c>
    </row>
    <row r="838" spans="1:169" x14ac:dyDescent="0.2">
      <c r="A838" s="1" t="s">
        <v>5019</v>
      </c>
      <c r="B838" s="1" t="s">
        <v>55</v>
      </c>
      <c r="C838" s="1" t="s">
        <v>237</v>
      </c>
      <c r="E838" s="1">
        <v>32</v>
      </c>
      <c r="F838" s="1" t="s">
        <v>1869</v>
      </c>
      <c r="H838" s="1" t="s">
        <v>5020</v>
      </c>
      <c r="I838" s="1" t="s">
        <v>7</v>
      </c>
      <c r="J838" s="1" t="s">
        <v>5021</v>
      </c>
      <c r="K838" s="1" t="s">
        <v>5022</v>
      </c>
      <c r="L838" s="1" t="s">
        <v>5023</v>
      </c>
      <c r="P838" s="1" t="s">
        <v>5016</v>
      </c>
      <c r="Q838" s="1">
        <v>2002</v>
      </c>
      <c r="R838" s="1" t="s">
        <v>5017</v>
      </c>
      <c r="S838" s="1" t="s">
        <v>27</v>
      </c>
      <c r="T838" s="38">
        <v>1</v>
      </c>
      <c r="U838" s="1">
        <v>77</v>
      </c>
      <c r="AW838" s="1" t="s">
        <v>15</v>
      </c>
      <c r="BA838" s="1">
        <v>0.1</v>
      </c>
      <c r="BG838" s="1" t="s">
        <v>15</v>
      </c>
      <c r="BM838" s="1" t="s">
        <v>15</v>
      </c>
      <c r="BS838" s="1" t="s">
        <v>15</v>
      </c>
      <c r="CA838" s="1" t="s">
        <v>15</v>
      </c>
      <c r="CQ838" s="1">
        <v>0.1</v>
      </c>
      <c r="CZ838" s="1" t="s">
        <v>15</v>
      </c>
      <c r="DF838" s="1" t="s">
        <v>15</v>
      </c>
      <c r="DN838" s="1" t="s">
        <v>15</v>
      </c>
      <c r="DT838" s="1" t="s">
        <v>15</v>
      </c>
      <c r="ED838" s="1" t="s">
        <v>15</v>
      </c>
      <c r="EH838" s="1" t="s">
        <v>15</v>
      </c>
      <c r="EK838" s="1" t="s">
        <v>15</v>
      </c>
      <c r="EL838" s="1" t="s">
        <v>15</v>
      </c>
      <c r="EO838" s="1" t="s">
        <v>15</v>
      </c>
      <c r="EX838" s="1" t="s">
        <v>15</v>
      </c>
      <c r="FA838" s="1" t="s">
        <v>15</v>
      </c>
      <c r="FJ838" s="1">
        <v>0.1</v>
      </c>
      <c r="FM838" s="1">
        <v>0.2</v>
      </c>
    </row>
    <row r="839" spans="1:169" x14ac:dyDescent="0.2">
      <c r="A839" s="1" t="s">
        <v>5024</v>
      </c>
      <c r="B839" s="1" t="s">
        <v>55</v>
      </c>
      <c r="C839" s="1" t="s">
        <v>237</v>
      </c>
      <c r="E839" s="1">
        <v>32</v>
      </c>
      <c r="F839" s="1" t="s">
        <v>1869</v>
      </c>
      <c r="H839" s="1" t="s">
        <v>5025</v>
      </c>
      <c r="I839" s="1" t="s">
        <v>11</v>
      </c>
      <c r="J839" s="1" t="s">
        <v>5021</v>
      </c>
      <c r="K839" s="1" t="s">
        <v>5022</v>
      </c>
      <c r="L839" s="1" t="s">
        <v>5023</v>
      </c>
      <c r="P839" s="1" t="s">
        <v>5016</v>
      </c>
      <c r="Q839" s="1">
        <v>2002</v>
      </c>
      <c r="R839" s="1" t="s">
        <v>5017</v>
      </c>
      <c r="S839" s="1" t="s">
        <v>27</v>
      </c>
      <c r="T839" s="38">
        <v>1</v>
      </c>
      <c r="U839" s="1">
        <v>60</v>
      </c>
    </row>
    <row r="840" spans="1:169" x14ac:dyDescent="0.2">
      <c r="A840" s="1" t="s">
        <v>5026</v>
      </c>
      <c r="B840" s="1" t="s">
        <v>55</v>
      </c>
      <c r="C840" s="1" t="s">
        <v>237</v>
      </c>
      <c r="E840" s="1">
        <v>23</v>
      </c>
      <c r="F840" s="1" t="s">
        <v>5027</v>
      </c>
      <c r="H840" s="1" t="s">
        <v>5028</v>
      </c>
      <c r="I840" s="1" t="s">
        <v>11</v>
      </c>
      <c r="J840" s="1" t="s">
        <v>5029</v>
      </c>
      <c r="K840" s="1" t="s">
        <v>5030</v>
      </c>
      <c r="L840" s="1" t="s">
        <v>5029</v>
      </c>
      <c r="P840" s="1" t="s">
        <v>5016</v>
      </c>
      <c r="Q840" s="1">
        <v>2002</v>
      </c>
      <c r="R840" s="1" t="s">
        <v>5017</v>
      </c>
      <c r="S840" s="1" t="s">
        <v>27</v>
      </c>
      <c r="T840" s="38">
        <v>1</v>
      </c>
      <c r="U840" s="1">
        <v>74</v>
      </c>
      <c r="W840" s="1">
        <v>1.7</v>
      </c>
    </row>
    <row r="841" spans="1:169" x14ac:dyDescent="0.2">
      <c r="A841" s="1" t="s">
        <v>5031</v>
      </c>
      <c r="B841" s="1" t="s">
        <v>55</v>
      </c>
      <c r="C841" s="1" t="s">
        <v>237</v>
      </c>
      <c r="E841" s="1">
        <v>23</v>
      </c>
      <c r="F841" s="1" t="s">
        <v>5027</v>
      </c>
      <c r="H841" s="1" t="s">
        <v>5032</v>
      </c>
      <c r="I841" s="1" t="s">
        <v>7</v>
      </c>
      <c r="J841" s="1" t="s">
        <v>5029</v>
      </c>
      <c r="K841" s="1" t="s">
        <v>5030</v>
      </c>
      <c r="L841" s="1" t="s">
        <v>5029</v>
      </c>
      <c r="P841" s="1" t="s">
        <v>5016</v>
      </c>
      <c r="Q841" s="1">
        <v>2002</v>
      </c>
      <c r="R841" s="1" t="s">
        <v>5017</v>
      </c>
      <c r="S841" s="1" t="s">
        <v>27</v>
      </c>
      <c r="T841" s="38">
        <v>1</v>
      </c>
      <c r="U841" s="1">
        <v>77</v>
      </c>
      <c r="W841" s="1">
        <v>1.9</v>
      </c>
      <c r="AU841" s="1" t="s">
        <v>15</v>
      </c>
      <c r="AW841" s="1" t="s">
        <v>15</v>
      </c>
      <c r="BA841" s="1">
        <v>0.3</v>
      </c>
      <c r="BG841" s="1">
        <v>0.1</v>
      </c>
      <c r="BM841" s="1" t="s">
        <v>15</v>
      </c>
      <c r="CA841" s="1">
        <v>0.1</v>
      </c>
      <c r="CQ841" s="1">
        <v>0.4</v>
      </c>
      <c r="CZ841" s="1" t="s">
        <v>15</v>
      </c>
      <c r="DN841" s="1">
        <v>0.2</v>
      </c>
      <c r="DT841" s="1" t="s">
        <v>15</v>
      </c>
      <c r="ED841" s="1">
        <v>0.1</v>
      </c>
      <c r="EH841" s="1" t="s">
        <v>15</v>
      </c>
      <c r="EX841" s="1" t="s">
        <v>15</v>
      </c>
      <c r="FJ841" s="1">
        <v>0.1</v>
      </c>
      <c r="FM841" s="1">
        <v>0.1</v>
      </c>
    </row>
    <row r="842" spans="1:169" x14ac:dyDescent="0.2">
      <c r="A842" s="1" t="s">
        <v>5033</v>
      </c>
      <c r="B842" s="1" t="s">
        <v>55</v>
      </c>
      <c r="C842" s="1" t="s">
        <v>237</v>
      </c>
      <c r="E842" s="1">
        <v>23</v>
      </c>
      <c r="F842" s="1" t="s">
        <v>5034</v>
      </c>
      <c r="H842" s="1" t="s">
        <v>5035</v>
      </c>
      <c r="I842" s="1" t="s">
        <v>7</v>
      </c>
      <c r="J842" s="1" t="s">
        <v>5036</v>
      </c>
      <c r="K842" s="1" t="s">
        <v>5037</v>
      </c>
      <c r="L842" s="1" t="s">
        <v>5038</v>
      </c>
      <c r="P842" s="1" t="s">
        <v>5016</v>
      </c>
      <c r="Q842" s="1">
        <v>2002</v>
      </c>
      <c r="R842" s="1" t="s">
        <v>5017</v>
      </c>
      <c r="S842" s="1" t="s">
        <v>27</v>
      </c>
      <c r="T842" s="38">
        <v>1</v>
      </c>
      <c r="U842" s="1" t="s">
        <v>5040</v>
      </c>
      <c r="W842" s="1" t="s">
        <v>4164</v>
      </c>
      <c r="AU842" s="1" t="s">
        <v>15</v>
      </c>
      <c r="AW842" s="1">
        <v>0.4</v>
      </c>
      <c r="BA842" s="1">
        <v>1.5</v>
      </c>
      <c r="BG842" s="1">
        <v>0.4</v>
      </c>
      <c r="BS842" s="1" t="s">
        <v>15</v>
      </c>
      <c r="CA842" s="1">
        <v>1.3</v>
      </c>
      <c r="CQ842" s="1">
        <v>3.8</v>
      </c>
      <c r="CZ842" s="1">
        <v>0.2</v>
      </c>
      <c r="DD842" s="1" t="s">
        <v>15</v>
      </c>
      <c r="DN842" s="1">
        <v>0.1</v>
      </c>
      <c r="DT842" s="1" t="s">
        <v>15</v>
      </c>
      <c r="ED842" s="1" t="s">
        <v>15</v>
      </c>
      <c r="EH842" s="1" t="s">
        <v>15</v>
      </c>
      <c r="EK842" s="1" t="s">
        <v>15</v>
      </c>
      <c r="EL842" s="1" t="s">
        <v>15</v>
      </c>
      <c r="EX842" s="1">
        <v>0.1</v>
      </c>
      <c r="FJ842" s="1">
        <v>1.1000000000000001</v>
      </c>
      <c r="FM842" s="1">
        <v>1.3</v>
      </c>
    </row>
    <row r="843" spans="1:169" x14ac:dyDescent="0.2">
      <c r="A843" s="1" t="s">
        <v>5042</v>
      </c>
      <c r="B843" s="1" t="s">
        <v>55</v>
      </c>
      <c r="C843" s="1" t="s">
        <v>237</v>
      </c>
      <c r="E843" s="1">
        <v>23</v>
      </c>
      <c r="F843" s="1" t="s">
        <v>5034</v>
      </c>
      <c r="H843" s="1" t="s">
        <v>5043</v>
      </c>
      <c r="I843" s="1" t="s">
        <v>11</v>
      </c>
      <c r="J843" s="1" t="s">
        <v>5036</v>
      </c>
      <c r="K843" s="1" t="s">
        <v>5037</v>
      </c>
      <c r="L843" s="1" t="s">
        <v>5038</v>
      </c>
      <c r="P843" s="1" t="s">
        <v>5016</v>
      </c>
      <c r="Q843" s="1">
        <v>2002</v>
      </c>
      <c r="R843" s="1" t="s">
        <v>5017</v>
      </c>
      <c r="S843" s="1" t="s">
        <v>27</v>
      </c>
      <c r="T843" s="38">
        <v>1</v>
      </c>
      <c r="U843" s="1">
        <v>70</v>
      </c>
      <c r="W843" s="1">
        <v>6</v>
      </c>
      <c r="AU843" s="1" t="s">
        <v>15</v>
      </c>
      <c r="AW843" s="1">
        <v>0.2</v>
      </c>
      <c r="BA843" s="1">
        <v>0.6</v>
      </c>
      <c r="BG843" s="1">
        <v>0.2</v>
      </c>
      <c r="BI843" s="1" t="s">
        <v>15</v>
      </c>
      <c r="BK843" s="1" t="s">
        <v>15</v>
      </c>
      <c r="BM843" s="1" t="s">
        <v>15</v>
      </c>
      <c r="BS843" s="1" t="s">
        <v>15</v>
      </c>
      <c r="CA843" s="1">
        <v>0.3</v>
      </c>
      <c r="CQ843" s="1">
        <v>1.4</v>
      </c>
      <c r="CZ843" s="1">
        <v>0.6</v>
      </c>
      <c r="DD843" s="1">
        <v>0.1</v>
      </c>
      <c r="DF843" s="1" t="s">
        <v>15</v>
      </c>
      <c r="DN843" s="1">
        <v>0.2</v>
      </c>
      <c r="DT843" s="1" t="s">
        <v>15</v>
      </c>
      <c r="DW843" s="1" t="s">
        <v>15</v>
      </c>
      <c r="ED843" s="1">
        <v>0.1</v>
      </c>
      <c r="EH843" s="1" t="s">
        <v>15</v>
      </c>
      <c r="EK843" s="1" t="s">
        <v>15</v>
      </c>
      <c r="EL843" s="1" t="s">
        <v>15</v>
      </c>
      <c r="EO843" s="1" t="s">
        <v>15</v>
      </c>
      <c r="EX843" s="1" t="s">
        <v>15</v>
      </c>
      <c r="FA843" s="1" t="s">
        <v>15</v>
      </c>
      <c r="FJ843" s="1">
        <v>0.5</v>
      </c>
      <c r="FM843" s="1">
        <v>0.8</v>
      </c>
    </row>
    <row r="844" spans="1:169" x14ac:dyDescent="0.2">
      <c r="A844" s="1" t="s">
        <v>5044</v>
      </c>
      <c r="B844" s="1" t="s">
        <v>55</v>
      </c>
      <c r="C844" s="1" t="s">
        <v>237</v>
      </c>
      <c r="E844" s="1">
        <v>23</v>
      </c>
      <c r="F844" s="1" t="s">
        <v>5034</v>
      </c>
      <c r="H844" s="1" t="s">
        <v>5045</v>
      </c>
      <c r="I844" s="1" t="s">
        <v>7</v>
      </c>
      <c r="J844" s="1" t="s">
        <v>5036</v>
      </c>
      <c r="K844" s="1" t="s">
        <v>5037</v>
      </c>
      <c r="L844" s="1" t="s">
        <v>5038</v>
      </c>
      <c r="P844" s="1" t="s">
        <v>5016</v>
      </c>
      <c r="Q844" s="1">
        <v>2002</v>
      </c>
      <c r="R844" s="1" t="s">
        <v>5017</v>
      </c>
      <c r="S844" s="1" t="s">
        <v>27</v>
      </c>
      <c r="T844" s="38">
        <v>1</v>
      </c>
      <c r="U844" s="1">
        <v>75</v>
      </c>
      <c r="W844" s="1">
        <v>5</v>
      </c>
      <c r="AU844" s="1" t="s">
        <v>15</v>
      </c>
      <c r="AW844" s="1">
        <v>0.1</v>
      </c>
      <c r="BA844" s="1">
        <v>0.3</v>
      </c>
      <c r="BG844" s="1">
        <v>0.1</v>
      </c>
      <c r="BI844" s="1" t="s">
        <v>15</v>
      </c>
      <c r="BK844" s="1" t="s">
        <v>15</v>
      </c>
      <c r="BM844" s="1" t="s">
        <v>15</v>
      </c>
      <c r="BS844" s="1" t="s">
        <v>15</v>
      </c>
      <c r="CA844" s="1">
        <v>0.1</v>
      </c>
      <c r="CQ844" s="1">
        <v>0.7</v>
      </c>
      <c r="CZ844" s="1">
        <v>0.3</v>
      </c>
      <c r="DD844" s="1" t="s">
        <v>15</v>
      </c>
      <c r="DF844" s="1" t="s">
        <v>15</v>
      </c>
      <c r="DN844" s="1" t="s">
        <v>15</v>
      </c>
      <c r="DT844" s="1" t="s">
        <v>15</v>
      </c>
      <c r="DW844" s="1" t="s">
        <v>15</v>
      </c>
      <c r="ED844" s="1" t="s">
        <v>15</v>
      </c>
      <c r="EH844" s="1" t="s">
        <v>15</v>
      </c>
      <c r="EK844" s="1" t="s">
        <v>15</v>
      </c>
      <c r="EL844" s="1" t="s">
        <v>15</v>
      </c>
      <c r="EO844" s="1" t="s">
        <v>15</v>
      </c>
      <c r="EX844" s="1" t="s">
        <v>15</v>
      </c>
      <c r="FA844" s="1" t="s">
        <v>15</v>
      </c>
      <c r="FJ844" s="1">
        <v>0.2</v>
      </c>
      <c r="FM844" s="1">
        <v>0.3</v>
      </c>
    </row>
    <row r="845" spans="1:169" x14ac:dyDescent="0.2">
      <c r="A845" s="1" t="s">
        <v>5046</v>
      </c>
      <c r="B845" s="1" t="s">
        <v>55</v>
      </c>
      <c r="C845" s="1" t="s">
        <v>237</v>
      </c>
      <c r="E845" s="1">
        <v>23</v>
      </c>
      <c r="F845" s="1" t="s">
        <v>5034</v>
      </c>
      <c r="H845" s="1" t="s">
        <v>5047</v>
      </c>
      <c r="I845" s="1" t="s">
        <v>11</v>
      </c>
      <c r="J845" s="1" t="s">
        <v>5036</v>
      </c>
      <c r="K845" s="1" t="s">
        <v>5037</v>
      </c>
      <c r="L845" s="1" t="s">
        <v>5038</v>
      </c>
      <c r="P845" s="1" t="s">
        <v>5016</v>
      </c>
      <c r="Q845" s="1">
        <v>2002</v>
      </c>
      <c r="R845" s="1" t="s">
        <v>5017</v>
      </c>
      <c r="S845" s="1" t="s">
        <v>27</v>
      </c>
      <c r="T845" s="38">
        <v>1</v>
      </c>
      <c r="U845" s="1">
        <v>46</v>
      </c>
      <c r="W845" s="1">
        <v>8</v>
      </c>
      <c r="AU845" s="1" t="s">
        <v>15</v>
      </c>
      <c r="AW845" s="1">
        <v>0.3</v>
      </c>
      <c r="BA845" s="1">
        <v>1.2</v>
      </c>
      <c r="BG845" s="1">
        <v>0.3</v>
      </c>
      <c r="BI845" s="1" t="s">
        <v>15</v>
      </c>
      <c r="BK845" s="1" t="s">
        <v>13</v>
      </c>
      <c r="BM845" s="1" t="s">
        <v>15</v>
      </c>
      <c r="BS845" s="1" t="s">
        <v>15</v>
      </c>
      <c r="CA845" s="1">
        <v>0.5</v>
      </c>
      <c r="CQ845" s="1">
        <v>2.2000000000000002</v>
      </c>
      <c r="CZ845" s="1">
        <v>1.3</v>
      </c>
      <c r="DD845" s="1">
        <v>0.1</v>
      </c>
      <c r="DF845" s="1">
        <v>0.1</v>
      </c>
      <c r="DN845" s="1">
        <v>0.1</v>
      </c>
      <c r="DT845" s="1" t="s">
        <v>15</v>
      </c>
      <c r="DW845" s="1" t="s">
        <v>15</v>
      </c>
      <c r="ED845" s="1" t="s">
        <v>15</v>
      </c>
      <c r="EH845" s="1" t="s">
        <v>15</v>
      </c>
      <c r="EK845" s="1" t="s">
        <v>15</v>
      </c>
      <c r="EL845" s="1" t="s">
        <v>15</v>
      </c>
      <c r="EX845" s="1">
        <v>0.1</v>
      </c>
      <c r="FA845" s="1" t="s">
        <v>15</v>
      </c>
      <c r="FJ845" s="1">
        <v>0.5</v>
      </c>
      <c r="FM845" s="1">
        <v>1</v>
      </c>
    </row>
    <row r="846" spans="1:169" x14ac:dyDescent="0.2">
      <c r="A846" s="1" t="s">
        <v>5048</v>
      </c>
      <c r="B846" s="1" t="s">
        <v>55</v>
      </c>
      <c r="C846" s="1" t="s">
        <v>237</v>
      </c>
      <c r="E846" s="1">
        <v>23</v>
      </c>
      <c r="F846" s="1" t="s">
        <v>5034</v>
      </c>
      <c r="H846" s="1" t="s">
        <v>5049</v>
      </c>
      <c r="I846" s="1" t="s">
        <v>11</v>
      </c>
      <c r="J846" s="1" t="s">
        <v>5050</v>
      </c>
      <c r="K846" s="1" t="s">
        <v>5037</v>
      </c>
      <c r="L846" s="1" t="s">
        <v>5038</v>
      </c>
      <c r="P846" s="1" t="s">
        <v>5016</v>
      </c>
      <c r="Q846" s="1">
        <v>2002</v>
      </c>
      <c r="R846" s="1" t="s">
        <v>5017</v>
      </c>
      <c r="S846" s="1" t="s">
        <v>27</v>
      </c>
      <c r="T846" s="38">
        <v>1</v>
      </c>
      <c r="U846" s="1">
        <v>69</v>
      </c>
      <c r="W846" s="1">
        <v>7</v>
      </c>
    </row>
    <row r="847" spans="1:169" x14ac:dyDescent="0.2">
      <c r="A847" s="1" t="s">
        <v>5051</v>
      </c>
      <c r="B847" s="1" t="s">
        <v>55</v>
      </c>
      <c r="C847" s="1" t="s">
        <v>237</v>
      </c>
      <c r="E847" s="1">
        <v>23</v>
      </c>
      <c r="F847" s="1" t="s">
        <v>5034</v>
      </c>
      <c r="H847" s="1" t="s">
        <v>5049</v>
      </c>
      <c r="I847" s="1" t="s">
        <v>11</v>
      </c>
      <c r="J847" s="1" t="s">
        <v>5050</v>
      </c>
      <c r="K847" s="1" t="s">
        <v>5037</v>
      </c>
      <c r="L847" s="1" t="s">
        <v>5038</v>
      </c>
      <c r="P847" s="1" t="s">
        <v>5016</v>
      </c>
      <c r="Q847" s="1">
        <v>2002</v>
      </c>
      <c r="R847" s="1" t="s">
        <v>5017</v>
      </c>
      <c r="S847" s="1" t="s">
        <v>27</v>
      </c>
      <c r="T847" s="38">
        <v>1</v>
      </c>
      <c r="U847" s="1">
        <v>72</v>
      </c>
      <c r="W847" s="1">
        <v>4.2</v>
      </c>
    </row>
    <row r="848" spans="1:169" x14ac:dyDescent="0.2">
      <c r="A848" s="1" t="s">
        <v>5052</v>
      </c>
      <c r="B848" s="1" t="s">
        <v>55</v>
      </c>
      <c r="C848" s="1" t="s">
        <v>237</v>
      </c>
      <c r="E848" s="1">
        <v>23</v>
      </c>
      <c r="F848" s="1" t="s">
        <v>5034</v>
      </c>
      <c r="H848" s="1" t="s">
        <v>5053</v>
      </c>
      <c r="I848" s="1" t="s">
        <v>7</v>
      </c>
      <c r="J848" s="1" t="s">
        <v>5050</v>
      </c>
      <c r="K848" s="1" t="s">
        <v>5037</v>
      </c>
      <c r="L848" s="1" t="s">
        <v>5038</v>
      </c>
      <c r="P848" s="1" t="s">
        <v>5016</v>
      </c>
      <c r="Q848" s="1">
        <v>2002</v>
      </c>
      <c r="R848" s="1" t="s">
        <v>5017</v>
      </c>
      <c r="S848" s="1" t="s">
        <v>27</v>
      </c>
      <c r="T848" s="38">
        <v>1</v>
      </c>
      <c r="U848" s="1">
        <v>75</v>
      </c>
      <c r="W848" s="1">
        <v>3</v>
      </c>
      <c r="AS848" s="1" t="s">
        <v>15</v>
      </c>
      <c r="AU848" s="1" t="s">
        <v>15</v>
      </c>
      <c r="AW848" s="1">
        <v>0.2</v>
      </c>
      <c r="BA848" s="1">
        <v>0.6</v>
      </c>
      <c r="BG848" s="1">
        <v>0.1</v>
      </c>
      <c r="BI848" s="1" t="s">
        <v>15</v>
      </c>
      <c r="BK848" s="1" t="s">
        <v>15</v>
      </c>
      <c r="BM848" s="1" t="s">
        <v>15</v>
      </c>
      <c r="BS848" s="1" t="s">
        <v>15</v>
      </c>
      <c r="CA848" s="1">
        <v>0.3</v>
      </c>
      <c r="CQ848" s="1">
        <v>0.9</v>
      </c>
      <c r="CZ848" s="1" t="s">
        <v>15</v>
      </c>
      <c r="DD848" s="1" t="s">
        <v>15</v>
      </c>
      <c r="DN848" s="1">
        <v>0.1</v>
      </c>
      <c r="DT848" s="1" t="s">
        <v>15</v>
      </c>
      <c r="DW848" s="1" t="s">
        <v>15</v>
      </c>
      <c r="ED848" s="1">
        <v>0.1</v>
      </c>
      <c r="EH848" s="1" t="s">
        <v>15</v>
      </c>
      <c r="EK848" s="1" t="s">
        <v>15</v>
      </c>
      <c r="EL848" s="1" t="s">
        <v>15</v>
      </c>
      <c r="EO848" s="1" t="s">
        <v>15</v>
      </c>
      <c r="EX848" s="1">
        <v>0.1</v>
      </c>
      <c r="FA848" s="1" t="s">
        <v>15</v>
      </c>
      <c r="FJ848" s="1">
        <v>0.2</v>
      </c>
      <c r="FM848" s="1">
        <v>0.6</v>
      </c>
    </row>
    <row r="849" spans="1:169" x14ac:dyDescent="0.2">
      <c r="A849" s="1" t="s">
        <v>5054</v>
      </c>
      <c r="B849" s="1" t="s">
        <v>55</v>
      </c>
      <c r="C849" s="1" t="s">
        <v>237</v>
      </c>
      <c r="E849" s="1">
        <v>23</v>
      </c>
      <c r="F849" s="1" t="s">
        <v>5034</v>
      </c>
      <c r="H849" s="1" t="s">
        <v>5053</v>
      </c>
      <c r="I849" s="1" t="s">
        <v>7</v>
      </c>
      <c r="J849" s="1" t="s">
        <v>5050</v>
      </c>
      <c r="K849" s="1" t="s">
        <v>5037</v>
      </c>
      <c r="L849" s="1" t="s">
        <v>5038</v>
      </c>
      <c r="P849" s="1" t="s">
        <v>5016</v>
      </c>
      <c r="Q849" s="1">
        <v>2002</v>
      </c>
      <c r="R849" s="1" t="s">
        <v>5017</v>
      </c>
      <c r="S849" s="1" t="s">
        <v>27</v>
      </c>
      <c r="T849" s="38">
        <v>1</v>
      </c>
      <c r="U849" s="1">
        <v>75</v>
      </c>
      <c r="W849" s="1">
        <v>3.9</v>
      </c>
    </row>
    <row r="850" spans="1:169" x14ac:dyDescent="0.2">
      <c r="A850" s="1" t="s">
        <v>5055</v>
      </c>
      <c r="B850" s="1" t="s">
        <v>55</v>
      </c>
      <c r="C850" s="1" t="s">
        <v>237</v>
      </c>
      <c r="E850" s="1">
        <v>23</v>
      </c>
      <c r="F850" s="1" t="s">
        <v>5034</v>
      </c>
      <c r="H850" s="1" t="s">
        <v>5056</v>
      </c>
      <c r="I850" s="1" t="s">
        <v>11</v>
      </c>
      <c r="J850" s="1" t="s">
        <v>5050</v>
      </c>
      <c r="K850" s="1" t="s">
        <v>5037</v>
      </c>
      <c r="L850" s="1" t="s">
        <v>5038</v>
      </c>
      <c r="P850" s="1" t="s">
        <v>5016</v>
      </c>
      <c r="Q850" s="1">
        <v>2002</v>
      </c>
      <c r="R850" s="1" t="s">
        <v>5017</v>
      </c>
      <c r="S850" s="1" t="s">
        <v>27</v>
      </c>
      <c r="T850" s="38">
        <v>1</v>
      </c>
      <c r="U850" s="1">
        <v>77</v>
      </c>
      <c r="W850" s="1">
        <v>1.7</v>
      </c>
    </row>
    <row r="851" spans="1:169" x14ac:dyDescent="0.2">
      <c r="A851" s="1" t="s">
        <v>5057</v>
      </c>
      <c r="B851" s="1" t="s">
        <v>55</v>
      </c>
      <c r="C851" s="1" t="s">
        <v>237</v>
      </c>
      <c r="E851" s="1">
        <v>23</v>
      </c>
      <c r="F851" s="1" t="s">
        <v>5058</v>
      </c>
      <c r="H851" s="1" t="s">
        <v>5059</v>
      </c>
      <c r="I851" s="1" t="s">
        <v>11</v>
      </c>
      <c r="J851" s="1" t="s">
        <v>5060</v>
      </c>
      <c r="K851" s="1" t="s">
        <v>5061</v>
      </c>
      <c r="L851" s="1" t="s">
        <v>5062</v>
      </c>
      <c r="P851" s="1" t="s">
        <v>5016</v>
      </c>
      <c r="Q851" s="1">
        <v>2002</v>
      </c>
      <c r="R851" s="1" t="s">
        <v>5017</v>
      </c>
      <c r="S851" s="1" t="s">
        <v>27</v>
      </c>
      <c r="T851" s="38">
        <v>1</v>
      </c>
      <c r="U851" s="1">
        <v>69</v>
      </c>
      <c r="W851" s="1">
        <v>6</v>
      </c>
    </row>
    <row r="852" spans="1:169" x14ac:dyDescent="0.2">
      <c r="A852" s="1" t="s">
        <v>5071</v>
      </c>
      <c r="B852" s="1" t="s">
        <v>55</v>
      </c>
      <c r="C852" s="1" t="s">
        <v>237</v>
      </c>
      <c r="E852" s="1">
        <v>23</v>
      </c>
      <c r="F852" s="1" t="s">
        <v>5058</v>
      </c>
      <c r="H852" s="1" t="s">
        <v>5059</v>
      </c>
      <c r="I852" s="1" t="s">
        <v>11</v>
      </c>
      <c r="J852" s="1" t="s">
        <v>5060</v>
      </c>
      <c r="K852" s="1" t="s">
        <v>5061</v>
      </c>
      <c r="L852" s="1" t="s">
        <v>5062</v>
      </c>
      <c r="P852" s="1" t="s">
        <v>5016</v>
      </c>
      <c r="Q852" s="1">
        <v>2002</v>
      </c>
      <c r="R852" s="1" t="s">
        <v>5017</v>
      </c>
      <c r="S852" s="1" t="s">
        <v>27</v>
      </c>
      <c r="T852" s="38">
        <v>1</v>
      </c>
      <c r="U852" s="1">
        <v>75</v>
      </c>
      <c r="W852" s="1">
        <v>2.6</v>
      </c>
    </row>
    <row r="853" spans="1:169" x14ac:dyDescent="0.2">
      <c r="A853" s="1" t="s">
        <v>5072</v>
      </c>
      <c r="B853" s="1" t="s">
        <v>55</v>
      </c>
      <c r="C853" s="1" t="s">
        <v>237</v>
      </c>
      <c r="E853" s="1">
        <v>23</v>
      </c>
      <c r="F853" s="1" t="s">
        <v>5058</v>
      </c>
      <c r="H853" s="1" t="s">
        <v>5073</v>
      </c>
      <c r="I853" s="1" t="s">
        <v>7</v>
      </c>
      <c r="J853" s="1" t="s">
        <v>5060</v>
      </c>
      <c r="K853" s="1" t="s">
        <v>5061</v>
      </c>
      <c r="L853" s="1" t="s">
        <v>5062</v>
      </c>
      <c r="P853" s="1" t="s">
        <v>5016</v>
      </c>
      <c r="Q853" s="1">
        <v>2002</v>
      </c>
      <c r="R853" s="1" t="s">
        <v>5017</v>
      </c>
      <c r="S853" s="1" t="s">
        <v>27</v>
      </c>
      <c r="T853" s="38">
        <v>1</v>
      </c>
      <c r="U853" s="1">
        <v>74</v>
      </c>
      <c r="W853" s="1">
        <v>4</v>
      </c>
      <c r="AS853" s="1" t="s">
        <v>15</v>
      </c>
      <c r="AU853" s="1" t="s">
        <v>15</v>
      </c>
      <c r="AW853" s="1">
        <v>0.1</v>
      </c>
      <c r="BA853" s="1">
        <v>0.6</v>
      </c>
      <c r="BG853" s="1">
        <v>0.1</v>
      </c>
      <c r="BI853" s="1" t="s">
        <v>15</v>
      </c>
      <c r="BM853" s="1" t="s">
        <v>15</v>
      </c>
      <c r="BN853" s="1" t="s">
        <v>15</v>
      </c>
      <c r="BS853" s="1" t="s">
        <v>15</v>
      </c>
      <c r="CA853" s="1">
        <v>0.4</v>
      </c>
      <c r="CQ853" s="1">
        <v>0.7</v>
      </c>
      <c r="CZ853" s="1" t="s">
        <v>15</v>
      </c>
      <c r="DD853" s="1" t="s">
        <v>15</v>
      </c>
      <c r="DF853" s="1" t="s">
        <v>15</v>
      </c>
      <c r="DN853" s="1">
        <v>0.2</v>
      </c>
      <c r="DT853" s="1" t="s">
        <v>15</v>
      </c>
      <c r="DW853" s="1" t="s">
        <v>15</v>
      </c>
      <c r="ED853" s="1">
        <v>0.1</v>
      </c>
      <c r="EH853" s="1" t="s">
        <v>15</v>
      </c>
      <c r="EK853" s="1" t="s">
        <v>15</v>
      </c>
      <c r="EL853" s="1" t="s">
        <v>15</v>
      </c>
      <c r="EO853" s="1" t="s">
        <v>15</v>
      </c>
      <c r="EX853" s="1">
        <v>0.1</v>
      </c>
      <c r="FA853" s="1" t="s">
        <v>15</v>
      </c>
      <c r="FE853" s="1">
        <v>0.2</v>
      </c>
    </row>
    <row r="854" spans="1:169" x14ac:dyDescent="0.2">
      <c r="A854" s="1" t="s">
        <v>5074</v>
      </c>
      <c r="B854" s="1" t="s">
        <v>55</v>
      </c>
      <c r="C854" s="1" t="s">
        <v>237</v>
      </c>
      <c r="E854" s="1">
        <v>23</v>
      </c>
      <c r="F854" s="1" t="s">
        <v>5058</v>
      </c>
      <c r="H854" s="1" t="s">
        <v>5073</v>
      </c>
      <c r="I854" s="1" t="s">
        <v>7</v>
      </c>
      <c r="J854" s="1" t="s">
        <v>5060</v>
      </c>
      <c r="K854" s="1" t="s">
        <v>5061</v>
      </c>
      <c r="L854" s="1" t="s">
        <v>5062</v>
      </c>
      <c r="P854" s="1" t="s">
        <v>5016</v>
      </c>
      <c r="Q854" s="1">
        <v>2002</v>
      </c>
      <c r="R854" s="1" t="s">
        <v>5017</v>
      </c>
      <c r="S854" s="1" t="s">
        <v>27</v>
      </c>
      <c r="T854" s="38">
        <v>1</v>
      </c>
      <c r="U854" s="1">
        <v>77</v>
      </c>
      <c r="W854" s="1">
        <v>3.6</v>
      </c>
      <c r="AW854" s="1" t="s">
        <v>15</v>
      </c>
      <c r="BA854" s="1">
        <v>0.2</v>
      </c>
      <c r="BG854" s="1">
        <v>0.1</v>
      </c>
      <c r="CA854" s="1">
        <v>0.1</v>
      </c>
      <c r="CQ854" s="1">
        <v>0.2</v>
      </c>
      <c r="CZ854" s="1" t="s">
        <v>15</v>
      </c>
      <c r="DD854" s="1" t="s">
        <v>15</v>
      </c>
      <c r="DN854" s="1">
        <v>0.1</v>
      </c>
      <c r="DT854" s="1" t="s">
        <v>15</v>
      </c>
      <c r="EH854" s="1" t="s">
        <v>15</v>
      </c>
      <c r="EK854" s="1" t="s">
        <v>15</v>
      </c>
      <c r="EO854" s="1" t="s">
        <v>15</v>
      </c>
      <c r="EX854" s="1">
        <v>0.1</v>
      </c>
      <c r="FA854" s="1" t="s">
        <v>15</v>
      </c>
      <c r="FE854" s="1" t="s">
        <v>15</v>
      </c>
    </row>
    <row r="855" spans="1:169" x14ac:dyDescent="0.2">
      <c r="A855" s="1" t="s">
        <v>5075</v>
      </c>
      <c r="B855" s="1" t="s">
        <v>57</v>
      </c>
      <c r="C855" s="1" t="s">
        <v>5076</v>
      </c>
      <c r="D855" s="1" t="s">
        <v>2</v>
      </c>
      <c r="E855" s="1">
        <v>54</v>
      </c>
      <c r="F855" s="1" t="s">
        <v>4912</v>
      </c>
      <c r="H855" s="1" t="s">
        <v>5077</v>
      </c>
      <c r="I855" s="1" t="s">
        <v>7</v>
      </c>
      <c r="J855" s="1" t="s">
        <v>4916</v>
      </c>
      <c r="K855" s="1" t="s">
        <v>4915</v>
      </c>
      <c r="L855" s="1" t="s">
        <v>4916</v>
      </c>
      <c r="M855" s="1" t="s">
        <v>5078</v>
      </c>
      <c r="O855" s="1">
        <v>3</v>
      </c>
      <c r="P855" s="1" t="s">
        <v>5079</v>
      </c>
      <c r="Q855" s="1">
        <v>2010</v>
      </c>
      <c r="R855" s="1" t="s">
        <v>5080</v>
      </c>
      <c r="S855" s="1" t="s">
        <v>27</v>
      </c>
      <c r="T855" s="38">
        <v>1</v>
      </c>
      <c r="U855" s="1">
        <v>73.319999999999993</v>
      </c>
      <c r="W855" s="1">
        <v>1.875604</v>
      </c>
      <c r="Y855" s="1">
        <v>0.43415245295999999</v>
      </c>
      <c r="Z855" s="1">
        <v>0.33384826555199998</v>
      </c>
      <c r="AA855" s="1">
        <v>0.73057378291200004</v>
      </c>
      <c r="AD855" s="1">
        <v>0.79818417107235895</v>
      </c>
      <c r="AF855" s="1">
        <v>0.53595371779199996</v>
      </c>
      <c r="AG855" s="1">
        <v>0.19462006511999999</v>
      </c>
      <c r="AU855" s="1">
        <v>3.1438625903999998E-2</v>
      </c>
      <c r="AW855" s="1">
        <v>1.9462006511999998E-2</v>
      </c>
      <c r="AY855" s="1">
        <v>1.0479541968E-2</v>
      </c>
      <c r="BA855" s="1">
        <v>0.21108791678399999</v>
      </c>
      <c r="BD855" s="1">
        <v>3.8924013023999997E-2</v>
      </c>
      <c r="BG855" s="1">
        <v>0.101801264832</v>
      </c>
      <c r="BL855" s="1">
        <v>2.0959083936E-2</v>
      </c>
      <c r="BV855" s="1">
        <v>7.48538712E-3</v>
      </c>
      <c r="BZ855" s="1">
        <v>0.16916974891200001</v>
      </c>
      <c r="CF855" s="1">
        <v>6.1380174384000001E-2</v>
      </c>
      <c r="CK855" s="1">
        <v>2.5450316208E-2</v>
      </c>
      <c r="CM855" s="1">
        <v>2.8444471055999999E-2</v>
      </c>
      <c r="CZ855" s="1">
        <v>4.1918167871999999E-2</v>
      </c>
      <c r="DN855" s="1">
        <v>3.2935703327999999E-2</v>
      </c>
      <c r="DT855" s="1">
        <v>1.9462006511999998E-2</v>
      </c>
      <c r="EH855" s="1">
        <v>2.6947393632000001E-2</v>
      </c>
      <c r="EK855" s="1">
        <v>2.2456161360000001E-2</v>
      </c>
      <c r="EN855" s="1">
        <v>5.8386019535999999E-2</v>
      </c>
      <c r="ET855" s="1">
        <v>9.7310032559999995E-2</v>
      </c>
      <c r="EX855" s="1">
        <v>4.4912322720000002E-2</v>
      </c>
      <c r="FA855" s="1">
        <v>1.1976619391999999E-2</v>
      </c>
      <c r="FE855" s="1">
        <v>0.21857330390400001</v>
      </c>
      <c r="FI855" s="1">
        <v>2.9941548479999998E-3</v>
      </c>
      <c r="FJ855" s="1">
        <v>5.9883096959999996E-3</v>
      </c>
      <c r="FM855" s="1">
        <v>0.18563760057600001</v>
      </c>
    </row>
    <row r="856" spans="1:169" x14ac:dyDescent="0.2">
      <c r="A856" s="1" t="s">
        <v>5081</v>
      </c>
      <c r="B856" s="1" t="s">
        <v>57</v>
      </c>
      <c r="C856" s="1" t="s">
        <v>5076</v>
      </c>
      <c r="D856" s="1" t="s">
        <v>2</v>
      </c>
      <c r="E856" s="1">
        <v>54</v>
      </c>
      <c r="F856" s="1" t="s">
        <v>4912</v>
      </c>
      <c r="H856" s="1" t="s">
        <v>5077</v>
      </c>
      <c r="I856" s="1" t="s">
        <v>7</v>
      </c>
      <c r="J856" s="1" t="s">
        <v>4916</v>
      </c>
      <c r="K856" s="1" t="s">
        <v>4915</v>
      </c>
      <c r="L856" s="1" t="s">
        <v>4916</v>
      </c>
      <c r="M856" s="1" t="s">
        <v>5082</v>
      </c>
      <c r="O856" s="1">
        <v>3</v>
      </c>
      <c r="P856" s="1" t="s">
        <v>5079</v>
      </c>
      <c r="Q856" s="1">
        <v>2010</v>
      </c>
      <c r="R856" s="1" t="s">
        <v>5080</v>
      </c>
      <c r="S856" s="1" t="s">
        <v>27</v>
      </c>
      <c r="T856" s="38">
        <v>1</v>
      </c>
      <c r="U856" s="1">
        <v>75.66</v>
      </c>
      <c r="W856" s="1">
        <v>2.3926219999999998</v>
      </c>
      <c r="Y856" s="1">
        <v>0.73679825383999997</v>
      </c>
      <c r="Z856" s="1">
        <v>0.47593184504800001</v>
      </c>
      <c r="AA856" s="1">
        <v>0.77861653311199996</v>
      </c>
      <c r="AD856" s="1">
        <v>0.83228635028851194</v>
      </c>
      <c r="AF856" s="1">
        <v>0.68104054814399995</v>
      </c>
      <c r="AG856" s="1">
        <v>9.7575984968000004E-2</v>
      </c>
      <c r="AU856" s="1">
        <v>2.5887506216E-2</v>
      </c>
      <c r="AW856" s="1">
        <v>5.3766359063999999E-2</v>
      </c>
      <c r="AY856" s="1">
        <v>1.5930773055999999E-2</v>
      </c>
      <c r="BA856" s="1">
        <v>0.41619144608800002</v>
      </c>
      <c r="BD856" s="1">
        <v>4.9783665800000002E-2</v>
      </c>
      <c r="BG856" s="1">
        <v>0.14735965076800001</v>
      </c>
      <c r="BL856" s="1">
        <v>2.5887506216E-2</v>
      </c>
      <c r="BV856" s="1">
        <v>7.9653865279999993E-3</v>
      </c>
      <c r="BZ856" s="1">
        <v>0.211082742992</v>
      </c>
      <c r="CF856" s="1">
        <v>6.1731745592000002E-2</v>
      </c>
      <c r="CK856" s="1">
        <v>1.5930773055999999E-2</v>
      </c>
      <c r="CM856" s="1">
        <v>5.5757705695999998E-2</v>
      </c>
      <c r="CZ856" s="1">
        <v>0.123463491184</v>
      </c>
      <c r="DN856" s="1">
        <v>3.1861546111999997E-2</v>
      </c>
      <c r="DT856" s="1">
        <v>3.9826932639999996E-3</v>
      </c>
      <c r="EH856" s="1">
        <v>2.9870199480000002E-2</v>
      </c>
      <c r="EK856" s="1">
        <v>1.9913466319999998E-3</v>
      </c>
      <c r="EN856" s="1">
        <v>2.3896159584000001E-2</v>
      </c>
      <c r="ET856" s="1">
        <v>7.7662518648000001E-2</v>
      </c>
      <c r="EX856" s="1">
        <v>2.7878852847999999E-2</v>
      </c>
      <c r="FA856" s="1">
        <v>1.9913466319999998E-3</v>
      </c>
      <c r="FE856" s="1">
        <v>0.22900486268</v>
      </c>
      <c r="FI856" s="1">
        <v>7.9653865279999993E-3</v>
      </c>
      <c r="FJ856" s="1">
        <v>1.1948079792000001E-2</v>
      </c>
      <c r="FM856" s="1">
        <v>0.33255488754399998</v>
      </c>
    </row>
    <row r="857" spans="1:169" x14ac:dyDescent="0.2">
      <c r="A857" s="1" t="s">
        <v>5083</v>
      </c>
      <c r="B857" s="1" t="s">
        <v>57</v>
      </c>
      <c r="C857" s="1" t="s">
        <v>5076</v>
      </c>
      <c r="D857" s="1" t="s">
        <v>2</v>
      </c>
      <c r="E857" s="1">
        <v>54</v>
      </c>
      <c r="F857" s="1" t="s">
        <v>4912</v>
      </c>
      <c r="H857" s="1" t="s">
        <v>5077</v>
      </c>
      <c r="I857" s="1" t="s">
        <v>7</v>
      </c>
      <c r="J857" s="1" t="s">
        <v>4916</v>
      </c>
      <c r="K857" s="1" t="s">
        <v>4915</v>
      </c>
      <c r="L857" s="1" t="s">
        <v>4916</v>
      </c>
      <c r="M857" s="1" t="s">
        <v>5084</v>
      </c>
      <c r="O857" s="1">
        <v>3</v>
      </c>
      <c r="P857" s="1" t="s">
        <v>5079</v>
      </c>
      <c r="Q857" s="1">
        <v>2010</v>
      </c>
      <c r="R857" s="1" t="s">
        <v>5080</v>
      </c>
      <c r="S857" s="1" t="s">
        <v>27</v>
      </c>
      <c r="T857" s="38">
        <v>1</v>
      </c>
      <c r="U857" s="1">
        <v>73.790000000000006</v>
      </c>
      <c r="W857" s="1">
        <v>3.5566970000000002</v>
      </c>
      <c r="Y857" s="1">
        <v>1.0926792208639999</v>
      </c>
      <c r="Z857" s="1">
        <v>0.68602871537200005</v>
      </c>
      <c r="AA857" s="1">
        <v>1.328598598096</v>
      </c>
      <c r="AD857" s="1">
        <v>0.87277671727448203</v>
      </c>
      <c r="AF857" s="1">
        <v>1.136138053512</v>
      </c>
      <c r="AG857" s="1">
        <v>0.18935634225199999</v>
      </c>
      <c r="AU857" s="1">
        <v>1.8625213992000001E-2</v>
      </c>
      <c r="AW857" s="1">
        <v>7.7605058300000002E-2</v>
      </c>
      <c r="AY857" s="1">
        <v>2.4833618655999999E-2</v>
      </c>
      <c r="BA857" s="1">
        <v>0.66740350138000004</v>
      </c>
      <c r="BD857" s="1">
        <v>7.1396653635999993E-2</v>
      </c>
      <c r="BG857" s="1">
        <v>0.20177315158</v>
      </c>
      <c r="BL857" s="1">
        <v>3.1042023320000001E-2</v>
      </c>
      <c r="BV857" s="1">
        <v>1.552101166E-2</v>
      </c>
      <c r="BZ857" s="1">
        <v>0.2328151749</v>
      </c>
      <c r="CF857" s="1">
        <v>0.11795968861599999</v>
      </c>
      <c r="CK857" s="1">
        <v>3.1042023320000001E-2</v>
      </c>
      <c r="CM857" s="1">
        <v>9.6230272291999999E-2</v>
      </c>
      <c r="CZ857" s="1">
        <v>0.192460544584</v>
      </c>
      <c r="DN857" s="1">
        <v>5.8979844307999997E-2</v>
      </c>
      <c r="DT857" s="1">
        <v>6.2084046639999998E-3</v>
      </c>
      <c r="EH857" s="1">
        <v>4.9667237311999998E-2</v>
      </c>
      <c r="EK857" s="1">
        <v>3.1042023319999999E-3</v>
      </c>
      <c r="EN857" s="1">
        <v>3.7250427984000002E-2</v>
      </c>
      <c r="ET857" s="1">
        <v>0.10243867695599999</v>
      </c>
      <c r="EX857" s="1">
        <v>6.8292451303999996E-2</v>
      </c>
      <c r="FA857" s="1">
        <v>6.2084046639999998E-3</v>
      </c>
      <c r="FE857" s="1">
        <v>0.37871268450399997</v>
      </c>
      <c r="FI857" s="1">
        <v>1.2416809328E-2</v>
      </c>
      <c r="FJ857" s="1">
        <v>3.4146225651999998E-2</v>
      </c>
      <c r="FM857" s="1">
        <v>0.56806902675600002</v>
      </c>
    </row>
    <row r="858" spans="1:169" x14ac:dyDescent="0.2">
      <c r="A858" s="1" t="s">
        <v>5085</v>
      </c>
      <c r="B858" s="1" t="s">
        <v>57</v>
      </c>
      <c r="C858" s="1" t="s">
        <v>5076</v>
      </c>
      <c r="D858" s="1" t="s">
        <v>2</v>
      </c>
      <c r="E858" s="1">
        <v>54</v>
      </c>
      <c r="F858" s="1" t="s">
        <v>4912</v>
      </c>
      <c r="H858" s="1" t="s">
        <v>5077</v>
      </c>
      <c r="I858" s="1" t="s">
        <v>7</v>
      </c>
      <c r="J858" s="1" t="s">
        <v>4916</v>
      </c>
      <c r="K858" s="1" t="s">
        <v>4915</v>
      </c>
      <c r="L858" s="1" t="s">
        <v>4916</v>
      </c>
      <c r="M858" s="1" t="s">
        <v>5086</v>
      </c>
      <c r="O858" s="1">
        <v>3</v>
      </c>
      <c r="P858" s="1" t="s">
        <v>5079</v>
      </c>
      <c r="Q858" s="1">
        <v>2010</v>
      </c>
      <c r="R858" s="1" t="s">
        <v>5080</v>
      </c>
      <c r="S858" s="1" t="s">
        <v>27</v>
      </c>
      <c r="T858" s="38">
        <v>1</v>
      </c>
      <c r="U858" s="1">
        <v>71.38</v>
      </c>
      <c r="W858" s="1">
        <v>2.4384239999999999</v>
      </c>
      <c r="Y858" s="1">
        <v>0.80591280422400002</v>
      </c>
      <c r="Z858" s="1">
        <v>0.388710468704</v>
      </c>
      <c r="AA858" s="1">
        <v>0.84051007107200004</v>
      </c>
      <c r="AD858" s="1">
        <v>0.83461011866681101</v>
      </c>
      <c r="AF858" s="1">
        <v>0.69805073699200004</v>
      </c>
      <c r="AG858" s="1">
        <v>0.14245933408</v>
      </c>
      <c r="AU858" s="1">
        <v>1.8316200096000001E-2</v>
      </c>
      <c r="AW858" s="1">
        <v>4.2737800223999999E-2</v>
      </c>
      <c r="AY858" s="1">
        <v>2.4421600128000001E-2</v>
      </c>
      <c r="BA858" s="1">
        <v>0.45790500239999998</v>
      </c>
      <c r="BD858" s="1">
        <v>5.4948600287999999E-2</v>
      </c>
      <c r="BG858" s="1">
        <v>0.15467013414399999</v>
      </c>
      <c r="BL858" s="1">
        <v>5.2913466944000002E-2</v>
      </c>
      <c r="BV858" s="1">
        <v>1.017566672E-2</v>
      </c>
      <c r="BZ858" s="1">
        <v>0.13024853401600001</v>
      </c>
      <c r="CF858" s="1">
        <v>6.1054000320000003E-2</v>
      </c>
      <c r="CK858" s="1">
        <v>2.6456733472000001E-2</v>
      </c>
      <c r="CM858" s="1">
        <v>5.6983733632000003E-2</v>
      </c>
      <c r="CZ858" s="1">
        <v>0.105826933888</v>
      </c>
      <c r="DN858" s="1">
        <v>4.4772933568000002E-2</v>
      </c>
      <c r="DT858" s="1">
        <v>1.4245933408000001E-2</v>
      </c>
      <c r="EH858" s="1">
        <v>2.2386466784000001E-2</v>
      </c>
      <c r="EK858" s="1">
        <v>4.0702666880000002E-3</v>
      </c>
      <c r="EN858" s="1">
        <v>3.0527000160000001E-2</v>
      </c>
      <c r="ET858" s="1">
        <v>0.103791800544</v>
      </c>
      <c r="EX858" s="1">
        <v>3.2562133504000002E-2</v>
      </c>
      <c r="FA858" s="1">
        <v>8.1405333760000004E-3</v>
      </c>
      <c r="FE858" s="1">
        <v>0.219794401152</v>
      </c>
      <c r="FI858" s="1">
        <v>8.1405333760000004E-3</v>
      </c>
      <c r="FJ858" s="1">
        <v>1.2210800064000001E-2</v>
      </c>
      <c r="FM858" s="1">
        <v>0.33986726844800003</v>
      </c>
    </row>
    <row r="859" spans="1:169" x14ac:dyDescent="0.2">
      <c r="A859" s="1" t="s">
        <v>5087</v>
      </c>
      <c r="B859" s="1" t="s">
        <v>55</v>
      </c>
      <c r="C859" s="1" t="s">
        <v>5088</v>
      </c>
      <c r="D859" s="1" t="s">
        <v>2</v>
      </c>
      <c r="E859" s="1">
        <v>23</v>
      </c>
      <c r="F859" s="1" t="s">
        <v>5012</v>
      </c>
      <c r="G859" s="1" t="s">
        <v>5089</v>
      </c>
      <c r="H859" s="1" t="s">
        <v>5090</v>
      </c>
      <c r="I859" s="1" t="s">
        <v>7</v>
      </c>
      <c r="J859" s="1" t="s">
        <v>5014</v>
      </c>
      <c r="K859" s="1" t="s">
        <v>5015</v>
      </c>
      <c r="L859" s="1" t="s">
        <v>5014</v>
      </c>
      <c r="N859" s="1" t="s">
        <v>5091</v>
      </c>
      <c r="O859" s="1">
        <v>6</v>
      </c>
      <c r="Q859" s="1">
        <v>2011</v>
      </c>
      <c r="R859" s="1" t="s">
        <v>5092</v>
      </c>
      <c r="S859" s="1" t="s">
        <v>27</v>
      </c>
      <c r="T859" s="38">
        <v>1</v>
      </c>
      <c r="U859" s="1">
        <v>68.599999999999994</v>
      </c>
      <c r="W859" s="1">
        <v>12.1</v>
      </c>
    </row>
    <row r="860" spans="1:169" x14ac:dyDescent="0.2">
      <c r="A860" s="1" t="s">
        <v>5093</v>
      </c>
      <c r="B860" s="1" t="s">
        <v>55</v>
      </c>
      <c r="C860" s="1" t="s">
        <v>5088</v>
      </c>
      <c r="D860" s="1" t="s">
        <v>2</v>
      </c>
      <c r="E860" s="1">
        <v>23</v>
      </c>
      <c r="F860" s="1" t="s">
        <v>1273</v>
      </c>
      <c r="G860" s="1" t="s">
        <v>5094</v>
      </c>
      <c r="H860" s="1" t="s">
        <v>5095</v>
      </c>
      <c r="I860" s="1" t="s">
        <v>7</v>
      </c>
      <c r="J860" s="1" t="s">
        <v>5096</v>
      </c>
      <c r="K860" s="1" t="s">
        <v>1276</v>
      </c>
      <c r="L860" s="1" t="s">
        <v>1275</v>
      </c>
      <c r="N860" s="1" t="s">
        <v>5091</v>
      </c>
      <c r="O860" s="1">
        <v>5</v>
      </c>
      <c r="Q860" s="1">
        <v>2011</v>
      </c>
      <c r="R860" s="1" t="s">
        <v>5092</v>
      </c>
      <c r="S860" s="1" t="s">
        <v>27</v>
      </c>
      <c r="T860" s="38">
        <v>1</v>
      </c>
      <c r="U860" s="1">
        <v>67.5</v>
      </c>
      <c r="W860" s="1">
        <v>11.9</v>
      </c>
    </row>
    <row r="861" spans="1:169" x14ac:dyDescent="0.2">
      <c r="A861" s="1" t="s">
        <v>5097</v>
      </c>
      <c r="B861" s="1" t="s">
        <v>55</v>
      </c>
      <c r="C861" s="1" t="s">
        <v>5098</v>
      </c>
      <c r="D861" s="1" t="s">
        <v>4</v>
      </c>
      <c r="E861" s="1">
        <v>34</v>
      </c>
      <c r="F861" s="1" t="s">
        <v>5099</v>
      </c>
      <c r="G861" s="1" t="s">
        <v>5100</v>
      </c>
      <c r="H861" s="1" t="s">
        <v>5101</v>
      </c>
      <c r="I861" s="1" t="s">
        <v>7</v>
      </c>
      <c r="K861" s="1" t="s">
        <v>5102</v>
      </c>
      <c r="L861" s="1" t="s">
        <v>5103</v>
      </c>
      <c r="O861" s="1">
        <v>1</v>
      </c>
      <c r="Q861" s="1">
        <v>2011</v>
      </c>
      <c r="R861" s="1" t="s">
        <v>5092</v>
      </c>
      <c r="S861" s="1" t="s">
        <v>27</v>
      </c>
      <c r="T861" s="38">
        <v>1</v>
      </c>
      <c r="U861" s="1">
        <v>78.099999999999994</v>
      </c>
      <c r="W861" s="1">
        <v>3.4</v>
      </c>
    </row>
    <row r="862" spans="1:169" x14ac:dyDescent="0.2">
      <c r="A862" s="1" t="s">
        <v>5104</v>
      </c>
      <c r="B862" s="1" t="s">
        <v>55</v>
      </c>
      <c r="C862" s="1" t="s">
        <v>5088</v>
      </c>
      <c r="D862" s="1" t="s">
        <v>2</v>
      </c>
      <c r="E862" s="1">
        <v>23</v>
      </c>
      <c r="F862" s="1" t="s">
        <v>5034</v>
      </c>
      <c r="G862" s="1" t="s">
        <v>5105</v>
      </c>
      <c r="H862" s="1" t="s">
        <v>5106</v>
      </c>
      <c r="I862" s="1" t="s">
        <v>11</v>
      </c>
      <c r="K862" s="1" t="s">
        <v>5107</v>
      </c>
      <c r="L862" s="1" t="s">
        <v>5108</v>
      </c>
      <c r="O862" s="1">
        <v>1</v>
      </c>
      <c r="Q862" s="1">
        <v>2011</v>
      </c>
      <c r="R862" s="1" t="s">
        <v>5092</v>
      </c>
      <c r="S862" s="1" t="s">
        <v>27</v>
      </c>
      <c r="T862" s="38">
        <v>1</v>
      </c>
      <c r="U862" s="1">
        <v>61.5</v>
      </c>
      <c r="W862" s="1">
        <v>12.5</v>
      </c>
    </row>
    <row r="863" spans="1:169" x14ac:dyDescent="0.2">
      <c r="A863" s="1" t="s">
        <v>5109</v>
      </c>
      <c r="B863" s="1" t="s">
        <v>55</v>
      </c>
      <c r="C863" s="1" t="s">
        <v>5098</v>
      </c>
      <c r="D863" s="1" t="s">
        <v>4</v>
      </c>
      <c r="E863" s="1">
        <v>32</v>
      </c>
      <c r="F863" s="1" t="s">
        <v>1869</v>
      </c>
      <c r="G863" s="1" t="s">
        <v>5110</v>
      </c>
      <c r="H863" s="1" t="s">
        <v>5111</v>
      </c>
      <c r="I863" s="1" t="s">
        <v>11</v>
      </c>
      <c r="K863" s="1" t="s">
        <v>5112</v>
      </c>
      <c r="L863" s="1" t="s">
        <v>5113</v>
      </c>
      <c r="O863" s="1">
        <v>1</v>
      </c>
      <c r="Q863" s="1">
        <v>2011</v>
      </c>
      <c r="R863" s="1" t="s">
        <v>5092</v>
      </c>
      <c r="S863" s="1" t="s">
        <v>27</v>
      </c>
      <c r="T863" s="38">
        <v>1</v>
      </c>
      <c r="U863" s="1">
        <v>58.5</v>
      </c>
      <c r="W863" s="1">
        <v>0.2</v>
      </c>
    </row>
    <row r="864" spans="1:169" x14ac:dyDescent="0.2">
      <c r="A864" s="1" t="s">
        <v>5114</v>
      </c>
      <c r="B864" s="1" t="s">
        <v>55</v>
      </c>
      <c r="C864" s="1" t="s">
        <v>5098</v>
      </c>
      <c r="D864" s="1" t="s">
        <v>4</v>
      </c>
      <c r="E864" s="1">
        <v>32</v>
      </c>
      <c r="F864" s="1" t="s">
        <v>1869</v>
      </c>
      <c r="G864" s="1" t="s">
        <v>5115</v>
      </c>
      <c r="H864" s="1" t="s">
        <v>5116</v>
      </c>
      <c r="I864" s="1" t="s">
        <v>11</v>
      </c>
      <c r="K864" s="1" t="s">
        <v>5112</v>
      </c>
      <c r="L864" s="1" t="s">
        <v>5113</v>
      </c>
      <c r="N864" s="1" t="s">
        <v>5091</v>
      </c>
      <c r="O864" s="1">
        <v>2</v>
      </c>
      <c r="Q864" s="1">
        <v>2011</v>
      </c>
      <c r="R864" s="1" t="s">
        <v>5092</v>
      </c>
      <c r="S864" s="1" t="s">
        <v>27</v>
      </c>
      <c r="T864" s="38">
        <v>1</v>
      </c>
      <c r="U864" s="1">
        <v>80.900000000000006</v>
      </c>
      <c r="W864" s="1">
        <v>0.1</v>
      </c>
    </row>
    <row r="865" spans="1:169" x14ac:dyDescent="0.2">
      <c r="A865" s="1" t="s">
        <v>5117</v>
      </c>
      <c r="B865" s="1" t="s">
        <v>55</v>
      </c>
      <c r="C865" s="1" t="s">
        <v>5098</v>
      </c>
      <c r="D865" s="1" t="s">
        <v>4</v>
      </c>
      <c r="E865" s="1">
        <v>32</v>
      </c>
      <c r="F865" s="1" t="s">
        <v>1869</v>
      </c>
      <c r="G865" s="1" t="s">
        <v>5118</v>
      </c>
      <c r="H865" s="1" t="s">
        <v>5116</v>
      </c>
      <c r="I865" s="1" t="s">
        <v>11</v>
      </c>
      <c r="K865" s="1" t="s">
        <v>5112</v>
      </c>
      <c r="L865" s="1" t="s">
        <v>5113</v>
      </c>
      <c r="N865" s="1" t="s">
        <v>5091</v>
      </c>
      <c r="O865" s="1">
        <v>2</v>
      </c>
      <c r="Q865" s="1">
        <v>2011</v>
      </c>
      <c r="R865" s="1" t="s">
        <v>5092</v>
      </c>
      <c r="S865" s="1" t="s">
        <v>27</v>
      </c>
      <c r="T865" s="38">
        <v>1</v>
      </c>
      <c r="U865" s="1">
        <v>73.599999999999994</v>
      </c>
      <c r="W865" s="1">
        <v>0.2</v>
      </c>
    </row>
    <row r="866" spans="1:169" x14ac:dyDescent="0.2">
      <c r="A866" s="1" t="s">
        <v>5119</v>
      </c>
      <c r="B866" s="1" t="s">
        <v>55</v>
      </c>
      <c r="C866" s="1" t="s">
        <v>5098</v>
      </c>
      <c r="D866" s="1" t="s">
        <v>4</v>
      </c>
      <c r="E866" s="1">
        <v>35</v>
      </c>
      <c r="F866" s="1" t="s">
        <v>5120</v>
      </c>
      <c r="G866" s="1" t="s">
        <v>5121</v>
      </c>
      <c r="H866" s="1" t="s">
        <v>5122</v>
      </c>
      <c r="I866" s="1" t="s">
        <v>11</v>
      </c>
      <c r="K866" s="1" t="s">
        <v>5123</v>
      </c>
      <c r="L866" s="1" t="s">
        <v>5124</v>
      </c>
      <c r="O866" s="1">
        <v>1</v>
      </c>
      <c r="Q866" s="1">
        <v>2011</v>
      </c>
      <c r="R866" s="1" t="s">
        <v>5092</v>
      </c>
      <c r="S866" s="1" t="s">
        <v>27</v>
      </c>
      <c r="T866" s="38">
        <v>1</v>
      </c>
      <c r="U866" s="1">
        <v>55.7</v>
      </c>
      <c r="W866" s="1">
        <v>19.7</v>
      </c>
    </row>
    <row r="867" spans="1:169" x14ac:dyDescent="0.2">
      <c r="A867" s="1" t="s">
        <v>5125</v>
      </c>
      <c r="B867" s="1" t="s">
        <v>55</v>
      </c>
      <c r="C867" s="1" t="s">
        <v>5098</v>
      </c>
      <c r="D867" s="1" t="s">
        <v>4</v>
      </c>
      <c r="E867" s="1">
        <v>32</v>
      </c>
      <c r="F867" s="1" t="s">
        <v>1869</v>
      </c>
      <c r="G867" s="1" t="s">
        <v>5126</v>
      </c>
      <c r="H867" s="1" t="s">
        <v>5127</v>
      </c>
      <c r="I867" s="1" t="s">
        <v>9</v>
      </c>
      <c r="K867" s="1" t="s">
        <v>5112</v>
      </c>
      <c r="L867" s="1" t="s">
        <v>5113</v>
      </c>
      <c r="O867" s="1">
        <v>1</v>
      </c>
      <c r="Q867" s="1">
        <v>2011</v>
      </c>
      <c r="R867" s="1" t="s">
        <v>5092</v>
      </c>
      <c r="S867" s="1" t="s">
        <v>27</v>
      </c>
      <c r="T867" s="38">
        <v>1</v>
      </c>
      <c r="U867" s="1">
        <v>67.7</v>
      </c>
    </row>
    <row r="868" spans="1:169" x14ac:dyDescent="0.2">
      <c r="A868" s="1" t="s">
        <v>5128</v>
      </c>
      <c r="B868" s="1" t="s">
        <v>55</v>
      </c>
      <c r="C868" s="1" t="s">
        <v>5098</v>
      </c>
      <c r="D868" s="1" t="s">
        <v>4</v>
      </c>
      <c r="E868" s="1">
        <v>32</v>
      </c>
      <c r="F868" s="1" t="s">
        <v>1869</v>
      </c>
      <c r="G868" s="1" t="s">
        <v>5129</v>
      </c>
      <c r="H868" s="1" t="s">
        <v>5130</v>
      </c>
      <c r="I868" s="1" t="s">
        <v>11</v>
      </c>
      <c r="K868" s="1" t="s">
        <v>5112</v>
      </c>
      <c r="L868" s="1" t="s">
        <v>5113</v>
      </c>
      <c r="O868" s="1">
        <v>1</v>
      </c>
      <c r="Q868" s="1">
        <v>2011</v>
      </c>
      <c r="R868" s="1" t="s">
        <v>5092</v>
      </c>
      <c r="S868" s="1" t="s">
        <v>27</v>
      </c>
      <c r="T868" s="38">
        <v>1</v>
      </c>
      <c r="U868" s="1">
        <v>75.3</v>
      </c>
    </row>
    <row r="869" spans="1:169" x14ac:dyDescent="0.2">
      <c r="A869" s="1" t="s">
        <v>5131</v>
      </c>
      <c r="B869" s="1" t="s">
        <v>55</v>
      </c>
      <c r="C869" s="1" t="s">
        <v>5088</v>
      </c>
      <c r="D869" s="1" t="s">
        <v>2</v>
      </c>
      <c r="E869" s="1">
        <v>23</v>
      </c>
      <c r="F869" s="1" t="s">
        <v>5012</v>
      </c>
      <c r="G869" s="1" t="s">
        <v>5089</v>
      </c>
      <c r="H869" s="1" t="s">
        <v>5090</v>
      </c>
      <c r="I869" s="1" t="s">
        <v>7</v>
      </c>
      <c r="J869" s="1" t="s">
        <v>5132</v>
      </c>
      <c r="K869" s="1" t="s">
        <v>5015</v>
      </c>
      <c r="L869" s="1" t="s">
        <v>5014</v>
      </c>
      <c r="P869" s="1" t="s">
        <v>1670</v>
      </c>
      <c r="Q869" s="1">
        <v>2011</v>
      </c>
      <c r="R869" s="1" t="s">
        <v>5092</v>
      </c>
      <c r="S869" s="1" t="s">
        <v>27</v>
      </c>
      <c r="T869" s="38">
        <v>1</v>
      </c>
      <c r="V869" s="1">
        <v>11.6</v>
      </c>
      <c r="Y869" s="1">
        <v>1.9464059719468001</v>
      </c>
      <c r="Z869" s="1">
        <v>5.2606024664779296</v>
      </c>
      <c r="AA869" s="1">
        <v>2.5090326904801499</v>
      </c>
      <c r="AB869" s="1">
        <v>0.93549803454126901</v>
      </c>
      <c r="AC869" s="1">
        <v>2.8260836553856299E-2</v>
      </c>
      <c r="AD869" s="1">
        <v>0.92067241379310305</v>
      </c>
      <c r="AF869" s="1">
        <v>2.0604708890813401</v>
      </c>
      <c r="AG869" s="1">
        <v>0.45592552014045901</v>
      </c>
      <c r="AU869" s="1">
        <v>4.9761237178950002E-3</v>
      </c>
      <c r="AW869" s="1">
        <v>0.46378368854323698</v>
      </c>
      <c r="AY869" s="1">
        <v>3.04117212647603E-2</v>
      </c>
      <c r="BA869" s="1">
        <v>1.2335643750768199</v>
      </c>
      <c r="BD869" s="1">
        <v>1.34276868456936E-2</v>
      </c>
      <c r="BG869" s="1">
        <v>0.18353146166570899</v>
      </c>
      <c r="BI869" s="1">
        <v>1.0245343976989001E-2</v>
      </c>
      <c r="BK869" s="1">
        <v>4.5218036131192E-3</v>
      </c>
      <c r="BM869" s="1">
        <v>1.9437672425714799E-3</v>
      </c>
      <c r="BS869" s="1">
        <v>1.1294436763672399E-2</v>
      </c>
      <c r="BX869" s="1">
        <v>2.59222995922135E-2</v>
      </c>
      <c r="BY869" s="1">
        <v>1.32798665943717E-3</v>
      </c>
      <c r="BZ869" s="1">
        <v>0.73761691011777997</v>
      </c>
      <c r="CP869" s="1">
        <v>1.53247988027536E-2</v>
      </c>
      <c r="CQ869" s="1">
        <v>2.2222026194222901</v>
      </c>
      <c r="CY869" s="1">
        <v>2.0377762834336201E-3</v>
      </c>
      <c r="CZ869" s="1">
        <v>1.2296371099771799</v>
      </c>
      <c r="DB869" s="1">
        <v>0.97330649912508405</v>
      </c>
      <c r="DC869" s="1">
        <v>2.2065560665816102E-3</v>
      </c>
      <c r="DF869" s="1">
        <v>6.0622591479714501E-2</v>
      </c>
      <c r="DN869" s="1">
        <v>0.28482784947183998</v>
      </c>
      <c r="ED869" s="1">
        <v>9.0178874444847394E-3</v>
      </c>
      <c r="EG869" s="1">
        <v>7.3637187416502603E-3</v>
      </c>
      <c r="EH869" s="1">
        <v>8.1908030930675002E-2</v>
      </c>
      <c r="ET869" s="1">
        <v>0.16872004273677901</v>
      </c>
      <c r="EX869" s="1">
        <v>0.16207978322413399</v>
      </c>
      <c r="EY869" s="1">
        <v>9.2800722163372207E-2</v>
      </c>
      <c r="FE869" s="1">
        <v>0.54212632589832199</v>
      </c>
      <c r="FJ869" s="1">
        <v>0.11796407393090901</v>
      </c>
      <c r="FM869" s="1">
        <v>1.0495879746796299</v>
      </c>
    </row>
    <row r="870" spans="1:169" x14ac:dyDescent="0.2">
      <c r="A870" s="1" t="s">
        <v>5133</v>
      </c>
      <c r="B870" s="1" t="s">
        <v>55</v>
      </c>
      <c r="C870" s="1" t="s">
        <v>5088</v>
      </c>
      <c r="D870" s="1" t="s">
        <v>2</v>
      </c>
      <c r="E870" s="1">
        <v>23</v>
      </c>
      <c r="F870" s="1" t="s">
        <v>5012</v>
      </c>
      <c r="G870" s="1" t="s">
        <v>5089</v>
      </c>
      <c r="H870" s="1" t="s">
        <v>5090</v>
      </c>
      <c r="I870" s="1" t="s">
        <v>7</v>
      </c>
      <c r="J870" s="1" t="s">
        <v>5132</v>
      </c>
      <c r="K870" s="1" t="s">
        <v>5015</v>
      </c>
      <c r="L870" s="1" t="s">
        <v>5014</v>
      </c>
      <c r="P870" s="1" t="s">
        <v>1670</v>
      </c>
      <c r="Q870" s="1">
        <v>2011</v>
      </c>
      <c r="R870" s="1" t="s">
        <v>5092</v>
      </c>
      <c r="S870" s="1" t="s">
        <v>27</v>
      </c>
      <c r="T870" s="38">
        <v>1</v>
      </c>
      <c r="V870" s="1">
        <v>15.4</v>
      </c>
      <c r="Y870" s="1">
        <v>2.5056640704452802</v>
      </c>
      <c r="Z870" s="1">
        <v>6.99430146542473</v>
      </c>
      <c r="AA870" s="1">
        <v>3.5678061845238398</v>
      </c>
      <c r="AB870" s="1">
        <v>1.1195510104178801</v>
      </c>
      <c r="AC870" s="1">
        <v>3.78772691882635E-2</v>
      </c>
      <c r="AD870" s="1">
        <v>0.92371428571428604</v>
      </c>
      <c r="AF870" s="1">
        <v>2.9330888800752399</v>
      </c>
      <c r="AG870" s="1">
        <v>0.64509466430936202</v>
      </c>
      <c r="AU870" s="1">
        <v>6.5586028489450299E-3</v>
      </c>
      <c r="AW870" s="1">
        <v>0.62002731106109599</v>
      </c>
      <c r="AY870" s="1">
        <v>3.8321707720638899E-2</v>
      </c>
      <c r="BA870" s="1">
        <v>1.5967872462000501</v>
      </c>
      <c r="BD870" s="1">
        <v>1.5969786027842599E-2</v>
      </c>
      <c r="BG870" s="1">
        <v>0.209393668660702</v>
      </c>
      <c r="BI870" s="1">
        <v>1.2575398614353099E-2</v>
      </c>
      <c r="BK870" s="1">
        <v>3.6569456194554301E-3</v>
      </c>
      <c r="BM870" s="1">
        <v>2.3734036921927602E-3</v>
      </c>
      <c r="BS870" s="1">
        <v>1.63100279539155E-2</v>
      </c>
      <c r="BX870" s="1">
        <v>3.60860872911919E-2</v>
      </c>
      <c r="BY870" s="1">
        <v>1.8396828815117499E-3</v>
      </c>
      <c r="BZ870" s="1">
        <v>1.08965832212619</v>
      </c>
      <c r="CP870" s="1">
        <v>1.7852643055919999E-2</v>
      </c>
      <c r="CQ870" s="1">
        <v>3.0744242872197001</v>
      </c>
      <c r="CY870" s="1">
        <v>1.7857836036144E-3</v>
      </c>
      <c r="CZ870" s="1">
        <v>1.5276307258759001</v>
      </c>
      <c r="DB870" s="1">
        <v>1.1953989457055301</v>
      </c>
      <c r="DC870" s="1">
        <v>6.0217997864626602E-3</v>
      </c>
      <c r="DF870" s="1">
        <v>5.47930692523051E-2</v>
      </c>
      <c r="DN870" s="1">
        <v>0.443677224317723</v>
      </c>
      <c r="ED870" s="1">
        <v>1.49974173330085E-2</v>
      </c>
      <c r="EG870" s="1">
        <v>1.0377359860754699E-2</v>
      </c>
      <c r="EH870" s="1">
        <v>0.13305765520091001</v>
      </c>
      <c r="ET870" s="1">
        <v>0.293165340236199</v>
      </c>
      <c r="EX870" s="1">
        <v>0.186420022658631</v>
      </c>
      <c r="EY870" s="1">
        <v>0.14002912881172799</v>
      </c>
      <c r="FE870" s="1">
        <v>0.76865179899089497</v>
      </c>
      <c r="FJ870" s="1">
        <v>0.18850155623011899</v>
      </c>
      <c r="FM870" s="1">
        <v>1.3993060407446301</v>
      </c>
    </row>
    <row r="871" spans="1:169" x14ac:dyDescent="0.2">
      <c r="A871" s="1" t="s">
        <v>5134</v>
      </c>
      <c r="B871" s="1" t="s">
        <v>55</v>
      </c>
      <c r="C871" s="1" t="s">
        <v>5088</v>
      </c>
      <c r="D871" s="1" t="s">
        <v>2</v>
      </c>
      <c r="E871" s="1">
        <v>23</v>
      </c>
      <c r="F871" s="1" t="s">
        <v>5012</v>
      </c>
      <c r="G871" s="1" t="s">
        <v>5089</v>
      </c>
      <c r="H871" s="1" t="s">
        <v>5090</v>
      </c>
      <c r="I871" s="1" t="s">
        <v>7</v>
      </c>
      <c r="J871" s="1" t="s">
        <v>5132</v>
      </c>
      <c r="K871" s="1" t="s">
        <v>5015</v>
      </c>
      <c r="L871" s="1" t="s">
        <v>5014</v>
      </c>
      <c r="P871" s="1" t="s">
        <v>1670</v>
      </c>
      <c r="Q871" s="1">
        <v>2011</v>
      </c>
      <c r="R871" s="1" t="s">
        <v>5092</v>
      </c>
      <c r="S871" s="1" t="s">
        <v>27</v>
      </c>
      <c r="T871" s="38">
        <v>1</v>
      </c>
      <c r="V871" s="1">
        <v>8.6999999999999993</v>
      </c>
      <c r="Y871" s="1">
        <v>1.4412888491028599</v>
      </c>
      <c r="Z871" s="1">
        <v>3.9573944862748101</v>
      </c>
      <c r="AA871" s="1">
        <v>1.84827497115055</v>
      </c>
      <c r="AB871" s="1">
        <v>0.70404566976911098</v>
      </c>
      <c r="AC871" s="1">
        <v>2.30960237026685E-2</v>
      </c>
      <c r="AD871" s="1">
        <v>0.91656321839080501</v>
      </c>
      <c r="AF871" s="1">
        <v>1.52417985553935</v>
      </c>
      <c r="AG871" s="1">
        <v>0.32927435868274801</v>
      </c>
      <c r="AU871" s="1">
        <v>3.1677975501472099E-3</v>
      </c>
      <c r="AW871" s="1">
        <v>0.33066183091926499</v>
      </c>
      <c r="AY871" s="1">
        <v>2.2429366295507999E-2</v>
      </c>
      <c r="BA871" s="1">
        <v>0.91625369365225895</v>
      </c>
      <c r="BD871" s="1">
        <v>1.0383553537739501E-2</v>
      </c>
      <c r="BG871" s="1">
        <v>0.14703994834546999</v>
      </c>
      <c r="BI871" s="1">
        <v>7.4892722596123697E-3</v>
      </c>
      <c r="BK871" s="1">
        <v>2.2105479285218599E-3</v>
      </c>
      <c r="BM871" s="1">
        <v>1.6528386143407499E-3</v>
      </c>
      <c r="BS871" s="1">
        <v>7.9598889697313907E-3</v>
      </c>
      <c r="BX871" s="1">
        <v>1.9631963509945199E-2</v>
      </c>
      <c r="BY871" s="1">
        <v>8.7253171155311999E-4</v>
      </c>
      <c r="BZ871" s="1">
        <v>0.55124173903985596</v>
      </c>
      <c r="CP871" s="1">
        <v>1.36346447339459E-2</v>
      </c>
      <c r="CQ871" s="1">
        <v>1.70759971708881</v>
      </c>
      <c r="CY871" s="1">
        <v>1.64157828722438E-3</v>
      </c>
      <c r="CZ871" s="1">
        <v>0.91684149266222104</v>
      </c>
      <c r="DB871" s="1">
        <v>0.70909893247446998</v>
      </c>
      <c r="DC871" s="1">
        <v>1.76802589838934E-3</v>
      </c>
      <c r="DF871" s="1">
        <v>4.5020752529779703E-2</v>
      </c>
      <c r="DN871" s="1">
        <v>0.19528439724868901</v>
      </c>
      <c r="ED871" s="1">
        <v>6.0557303605882897E-3</v>
      </c>
      <c r="EG871" s="1">
        <v>5.1792430715557796E-3</v>
      </c>
      <c r="EH871" s="1">
        <v>5.5059337883769897E-2</v>
      </c>
      <c r="ET871" s="1">
        <v>0.103787901702587</v>
      </c>
      <c r="EX871" s="1">
        <v>0.12793423107347099</v>
      </c>
      <c r="EY871" s="1">
        <v>6.3207030986892995E-2</v>
      </c>
      <c r="FE871" s="1">
        <v>0.38737034716065299</v>
      </c>
      <c r="FJ871" s="1">
        <v>9.4658970279399499E-2</v>
      </c>
      <c r="FM871" s="1">
        <v>0.81491702445449599</v>
      </c>
    </row>
    <row r="872" spans="1:169" x14ac:dyDescent="0.2">
      <c r="A872" s="1" t="s">
        <v>5135</v>
      </c>
      <c r="B872" s="1" t="s">
        <v>55</v>
      </c>
      <c r="C872" s="1" t="s">
        <v>5088</v>
      </c>
      <c r="D872" s="1" t="s">
        <v>2</v>
      </c>
      <c r="E872" s="1">
        <v>23</v>
      </c>
      <c r="F872" s="1" t="s">
        <v>5012</v>
      </c>
      <c r="G872" s="1" t="s">
        <v>5089</v>
      </c>
      <c r="H872" s="1" t="s">
        <v>5090</v>
      </c>
      <c r="I872" s="1" t="s">
        <v>7</v>
      </c>
      <c r="J872" s="1" t="s">
        <v>5132</v>
      </c>
      <c r="K872" s="1" t="s">
        <v>5015</v>
      </c>
      <c r="L872" s="1" t="s">
        <v>5014</v>
      </c>
      <c r="P872" s="1" t="s">
        <v>1670</v>
      </c>
      <c r="Q872" s="1">
        <v>2011</v>
      </c>
      <c r="R872" s="1" t="s">
        <v>5092</v>
      </c>
      <c r="S872" s="1" t="s">
        <v>27</v>
      </c>
      <c r="T872" s="38">
        <v>1</v>
      </c>
      <c r="V872" s="1">
        <v>13.9</v>
      </c>
      <c r="Y872" s="1">
        <v>2.3120390538451301</v>
      </c>
      <c r="Z872" s="1">
        <v>6.2651563668271004</v>
      </c>
      <c r="AA872" s="1">
        <v>3.3239222234294101</v>
      </c>
      <c r="AB872" s="1">
        <v>0.89210874529956696</v>
      </c>
      <c r="AC872" s="1">
        <v>3.2473610598795999E-2</v>
      </c>
      <c r="AD872" s="1">
        <v>0.92271223021582705</v>
      </c>
      <c r="AF872" s="1">
        <v>2.59714803080429</v>
      </c>
      <c r="AG872" s="1">
        <v>0.73606449259905804</v>
      </c>
      <c r="AU872" s="1">
        <v>5.5975914793726898E-3</v>
      </c>
      <c r="AW872" s="1">
        <v>0.57754644993248005</v>
      </c>
      <c r="AY872" s="1">
        <v>3.5434632521119898E-2</v>
      </c>
      <c r="BA872" s="1">
        <v>1.4569248569167601</v>
      </c>
      <c r="BD872" s="1">
        <v>1.43955018840297E-2</v>
      </c>
      <c r="BG872" s="1">
        <v>0.20401620576985599</v>
      </c>
      <c r="BI872" s="1">
        <v>1.26238805698413E-2</v>
      </c>
      <c r="BK872" s="1">
        <v>3.55499282926357E-3</v>
      </c>
      <c r="BM872" s="1">
        <v>1.94494194240847E-3</v>
      </c>
      <c r="BS872" s="1">
        <v>1.2801056174362601E-2</v>
      </c>
      <c r="BX872" s="1">
        <v>2.6724608738630602E-2</v>
      </c>
      <c r="BY872" s="1">
        <v>1.1480738837597901E-3</v>
      </c>
      <c r="BZ872" s="1">
        <v>0.830184981723189</v>
      </c>
      <c r="CP872" s="1">
        <v>1.5579832613347701E-2</v>
      </c>
      <c r="CQ872" s="1">
        <v>2.6588939848071802</v>
      </c>
      <c r="CY872" s="1">
        <v>1.8673018771295899E-3</v>
      </c>
      <c r="CZ872" s="1">
        <v>1.47349435021495</v>
      </c>
      <c r="DB872" s="1">
        <v>1.2084802843487701</v>
      </c>
      <c r="DC872" s="1">
        <v>4.58810225061563E-3</v>
      </c>
      <c r="DF872" s="1">
        <v>5.4577100820013998E-2</v>
      </c>
      <c r="DN872" s="1">
        <v>0.54331593432861403</v>
      </c>
      <c r="ED872" s="1">
        <v>1.5377048232733699E-2</v>
      </c>
      <c r="EG872" s="1">
        <v>9.2902999739432595E-3</v>
      </c>
      <c r="EH872" s="1">
        <v>0.13967485478066399</v>
      </c>
      <c r="ET872" s="1">
        <v>0.24678009264015299</v>
      </c>
      <c r="EX872" s="1">
        <v>0.17737151003771001</v>
      </c>
      <c r="EY872" s="1">
        <v>0.12320146598557</v>
      </c>
      <c r="FE872" s="1">
        <v>0.65814816639454898</v>
      </c>
      <c r="FJ872" s="1">
        <v>0.171468693667918</v>
      </c>
      <c r="FM872" s="1">
        <v>1.2485844573614999</v>
      </c>
    </row>
    <row r="873" spans="1:169" x14ac:dyDescent="0.2">
      <c r="A873" s="1" t="s">
        <v>5136</v>
      </c>
      <c r="B873" s="1" t="s">
        <v>55</v>
      </c>
      <c r="C873" s="1" t="s">
        <v>5088</v>
      </c>
      <c r="D873" s="1" t="s">
        <v>2</v>
      </c>
      <c r="E873" s="1">
        <v>23</v>
      </c>
      <c r="F873" s="1" t="s">
        <v>1273</v>
      </c>
      <c r="G873" s="1" t="s">
        <v>5094</v>
      </c>
      <c r="H873" s="1" t="s">
        <v>5095</v>
      </c>
      <c r="I873" s="1" t="s">
        <v>7</v>
      </c>
      <c r="J873" s="1" t="s">
        <v>5096</v>
      </c>
      <c r="K873" s="1" t="s">
        <v>1276</v>
      </c>
      <c r="L873" s="1" t="s">
        <v>1275</v>
      </c>
      <c r="P873" s="1" t="s">
        <v>1670</v>
      </c>
      <c r="Q873" s="1">
        <v>2011</v>
      </c>
      <c r="R873" s="1" t="s">
        <v>5092</v>
      </c>
      <c r="S873" s="1" t="s">
        <v>27</v>
      </c>
      <c r="T873" s="38">
        <v>1</v>
      </c>
      <c r="V873" s="1">
        <v>8.3000000000000007</v>
      </c>
      <c r="Y873" s="1">
        <v>1.4342567324947</v>
      </c>
      <c r="Z873" s="1">
        <v>3.5229601462404898</v>
      </c>
      <c r="AA873" s="1">
        <v>2.0082907040640001</v>
      </c>
      <c r="AB873" s="1">
        <v>0.61397831654413604</v>
      </c>
      <c r="AC873" s="1">
        <v>2.14141006566817E-2</v>
      </c>
      <c r="AD873" s="1">
        <v>0.915771084337349</v>
      </c>
      <c r="AF873" s="1">
        <v>1.56074633546109</v>
      </c>
      <c r="AG873" s="1">
        <v>0.45433939886533897</v>
      </c>
      <c r="AU873" s="1">
        <v>3.6518581370838499E-3</v>
      </c>
      <c r="AW873" s="1">
        <v>0.36269796935390702</v>
      </c>
      <c r="AY873" s="1">
        <v>2.34444339856823E-2</v>
      </c>
      <c r="BA873" s="1">
        <v>0.87530231571488604</v>
      </c>
      <c r="BD873" s="1">
        <v>1.10688824013259E-2</v>
      </c>
      <c r="BG873" s="1">
        <v>0.14268803856264001</v>
      </c>
      <c r="BI873" s="1">
        <v>1.01506784798901E-2</v>
      </c>
      <c r="BK873" s="1">
        <v>3.2551544120178002E-3</v>
      </c>
      <c r="BM873" s="1">
        <v>1.99740144726241E-3</v>
      </c>
      <c r="BS873" s="1">
        <v>4.3178634476981302E-3</v>
      </c>
      <c r="BX873" s="1">
        <v>1.20549286740891E-2</v>
      </c>
      <c r="BY873" s="1">
        <v>1.02032311661569E-3</v>
      </c>
      <c r="BZ873" s="1">
        <v>0.34796797251101103</v>
      </c>
      <c r="CP873" s="1">
        <v>8.3191174932994091E-3</v>
      </c>
      <c r="CQ873" s="1">
        <v>1.29835213152274</v>
      </c>
      <c r="CY873" s="1">
        <v>1.1063464920891401E-3</v>
      </c>
      <c r="CZ873" s="1">
        <v>0.933641989686123</v>
      </c>
      <c r="DB873" s="1">
        <v>0.87524088129217803</v>
      </c>
      <c r="DC873" s="1">
        <v>4.1732832922505396E-3</v>
      </c>
      <c r="DF873" s="1">
        <v>5.1384379106647698E-2</v>
      </c>
      <c r="DN873" s="1">
        <v>0.33117166756078198</v>
      </c>
      <c r="ED873" s="1">
        <v>6.7570691995082997E-3</v>
      </c>
      <c r="EG873" s="1">
        <v>6.7950302624268898E-3</v>
      </c>
      <c r="EH873" s="1">
        <v>8.6247534951027299E-2</v>
      </c>
      <c r="ET873" s="1">
        <v>0.123254778016372</v>
      </c>
      <c r="EX873" s="1">
        <v>0.116410662105049</v>
      </c>
      <c r="EY873" s="1">
        <v>0.10341261502652201</v>
      </c>
      <c r="FE873" s="1">
        <v>0.36502070889856503</v>
      </c>
      <c r="FJ873" s="1">
        <v>0.14527415509238201</v>
      </c>
      <c r="FM873" s="1">
        <v>0.73074151321379199</v>
      </c>
    </row>
    <row r="874" spans="1:169" x14ac:dyDescent="0.2">
      <c r="A874" s="1" t="s">
        <v>5137</v>
      </c>
      <c r="B874" s="1" t="s">
        <v>55</v>
      </c>
      <c r="C874" s="1" t="s">
        <v>5088</v>
      </c>
      <c r="D874" s="1" t="s">
        <v>2</v>
      </c>
      <c r="E874" s="1">
        <v>23</v>
      </c>
      <c r="F874" s="1" t="s">
        <v>1273</v>
      </c>
      <c r="G874" s="1" t="s">
        <v>5094</v>
      </c>
      <c r="H874" s="1" t="s">
        <v>5095</v>
      </c>
      <c r="I874" s="1" t="s">
        <v>7</v>
      </c>
      <c r="J874" s="1" t="s">
        <v>5096</v>
      </c>
      <c r="K874" s="1" t="s">
        <v>1276</v>
      </c>
      <c r="L874" s="1" t="s">
        <v>1275</v>
      </c>
      <c r="P874" s="1" t="s">
        <v>1670</v>
      </c>
      <c r="Q874" s="1">
        <v>2011</v>
      </c>
      <c r="R874" s="1" t="s">
        <v>5092</v>
      </c>
      <c r="S874" s="1" t="s">
        <v>27</v>
      </c>
      <c r="T874" s="38">
        <v>1</v>
      </c>
      <c r="V874" s="1">
        <v>14.9</v>
      </c>
      <c r="Y874" s="1">
        <v>3.0112956050610702</v>
      </c>
      <c r="Z874" s="1">
        <v>6.5474023364034704</v>
      </c>
      <c r="AA874" s="1">
        <v>3.1600220597223099</v>
      </c>
      <c r="AB874" s="1">
        <v>0.99844569799735805</v>
      </c>
      <c r="AC874" s="1">
        <v>4.1534300815801901E-2</v>
      </c>
      <c r="AD874" s="1">
        <v>0.92340268456375796</v>
      </c>
      <c r="AF874" s="1">
        <v>2.5111302598846099</v>
      </c>
      <c r="AG874" s="1">
        <v>0.664012239707089</v>
      </c>
      <c r="AU874" s="1">
        <v>7.8261684630466493E-3</v>
      </c>
      <c r="AW874" s="1">
        <v>0.73758560780583804</v>
      </c>
      <c r="AY874" s="1">
        <v>4.6723130395110599E-2</v>
      </c>
      <c r="BA874" s="1">
        <v>1.82785334309522</v>
      </c>
      <c r="BD874" s="1">
        <v>2.4890403838139799E-2</v>
      </c>
      <c r="BG874" s="1">
        <v>0.33550892573466601</v>
      </c>
      <c r="BI874" s="1">
        <v>2.0174355386292499E-2</v>
      </c>
      <c r="BK874" s="1">
        <v>7.4882408545296599E-3</v>
      </c>
      <c r="BM874" s="1">
        <v>3.2454294882245101E-3</v>
      </c>
      <c r="BS874" s="1">
        <v>9.1998177187172896E-3</v>
      </c>
      <c r="BX874" s="1">
        <v>2.3946684189969099E-2</v>
      </c>
      <c r="BY874" s="1">
        <v>1.4596074172933599E-3</v>
      </c>
      <c r="BZ874" s="1">
        <v>0.67287901937223804</v>
      </c>
      <c r="CP874" s="1">
        <v>1.6506225168598201E-2</v>
      </c>
      <c r="CQ874" s="1">
        <v>2.51770369509138</v>
      </c>
      <c r="CY874" s="1">
        <v>2.48656059128099E-3</v>
      </c>
      <c r="CZ874" s="1">
        <v>1.6464714907748701</v>
      </c>
      <c r="DB874" s="1">
        <v>1.5874603049698901</v>
      </c>
      <c r="DC874" s="1">
        <v>5.9614677692386301E-3</v>
      </c>
      <c r="DF874" s="1">
        <v>8.9741324286411406E-2</v>
      </c>
      <c r="DN874" s="1">
        <v>0.44739726250828199</v>
      </c>
      <c r="ED874" s="1">
        <v>9.2097224659016593E-3</v>
      </c>
      <c r="EG874" s="1">
        <v>1.51204398693908E-2</v>
      </c>
      <c r="EH874" s="1">
        <v>0.13296823182112699</v>
      </c>
      <c r="ET874" s="1">
        <v>0.18307709510319201</v>
      </c>
      <c r="EX874" s="1">
        <v>0.207405254732905</v>
      </c>
      <c r="EY874" s="1">
        <v>0.17883412270337201</v>
      </c>
      <c r="FE874" s="1">
        <v>0.57167031361818399</v>
      </c>
      <c r="FJ874" s="1">
        <v>0.27807271829089802</v>
      </c>
      <c r="FM874" s="1">
        <v>1.1513873384784401</v>
      </c>
    </row>
    <row r="875" spans="1:169" x14ac:dyDescent="0.2">
      <c r="A875" s="1" t="s">
        <v>5138</v>
      </c>
      <c r="B875" s="1" t="s">
        <v>55</v>
      </c>
      <c r="C875" s="1" t="s">
        <v>5088</v>
      </c>
      <c r="D875" s="1" t="s">
        <v>2</v>
      </c>
      <c r="E875" s="1">
        <v>23</v>
      </c>
      <c r="F875" s="1" t="s">
        <v>1273</v>
      </c>
      <c r="G875" s="1" t="s">
        <v>5094</v>
      </c>
      <c r="H875" s="1" t="s">
        <v>5095</v>
      </c>
      <c r="I875" s="1" t="s">
        <v>7</v>
      </c>
      <c r="J875" s="1" t="s">
        <v>5096</v>
      </c>
      <c r="K875" s="1" t="s">
        <v>1276</v>
      </c>
      <c r="L875" s="1" t="s">
        <v>1275</v>
      </c>
      <c r="P875" s="1" t="s">
        <v>1670</v>
      </c>
      <c r="Q875" s="1">
        <v>2011</v>
      </c>
      <c r="R875" s="1" t="s">
        <v>5092</v>
      </c>
      <c r="S875" s="1" t="s">
        <v>27</v>
      </c>
      <c r="T875" s="38">
        <v>1</v>
      </c>
      <c r="V875" s="1">
        <v>12</v>
      </c>
      <c r="Y875" s="1">
        <v>2.50363199538607</v>
      </c>
      <c r="Z875" s="1">
        <v>4.8078242939039901</v>
      </c>
      <c r="AA875" s="1">
        <v>2.79955051563977</v>
      </c>
      <c r="AB875" s="1">
        <v>0.90881098942272698</v>
      </c>
      <c r="AC875" s="1">
        <v>3.3182205647444001E-2</v>
      </c>
      <c r="AD875" s="1">
        <v>0.92108333333333303</v>
      </c>
      <c r="AF875" s="1">
        <v>2.2233036290863</v>
      </c>
      <c r="AG875" s="1">
        <v>0.58729548675815701</v>
      </c>
      <c r="AU875" s="1">
        <v>5.42098489718043E-3</v>
      </c>
      <c r="AW875" s="1">
        <v>0.57709477064492498</v>
      </c>
      <c r="AY875" s="1">
        <v>4.27695169155295E-2</v>
      </c>
      <c r="BA875" s="1">
        <v>1.5377238402178901</v>
      </c>
      <c r="BD875" s="1">
        <v>2.75728273266274E-2</v>
      </c>
      <c r="BG875" s="1">
        <v>0.28635037832035298</v>
      </c>
      <c r="BI875" s="1">
        <v>1.55439661317957E-2</v>
      </c>
      <c r="BK875" s="1">
        <v>6.6853521680093099E-3</v>
      </c>
      <c r="BM875" s="1">
        <v>4.4703587637611904E-3</v>
      </c>
      <c r="BS875" s="1">
        <v>5.4621225274590398E-3</v>
      </c>
      <c r="BX875" s="1">
        <v>2.1989954369175502E-2</v>
      </c>
      <c r="BY875" s="1">
        <v>2.1989954369175499E-3</v>
      </c>
      <c r="BZ875" s="1">
        <v>0.47938100524802602</v>
      </c>
      <c r="CP875" s="1">
        <v>1.32627859231862E-2</v>
      </c>
      <c r="CQ875" s="1">
        <v>2.0822573899402399</v>
      </c>
      <c r="CY875" s="1">
        <v>3.3299275950274499E-3</v>
      </c>
      <c r="CZ875" s="1">
        <v>1.07445663732886</v>
      </c>
      <c r="DB875" s="1">
        <v>1.06717894504893</v>
      </c>
      <c r="DC875" s="1">
        <v>3.3418964876271301E-3</v>
      </c>
      <c r="DF875" s="1">
        <v>7.7098239441309793E-2</v>
      </c>
      <c r="DM875" s="1">
        <v>1.1048600204685699E-2</v>
      </c>
      <c r="DN875" s="1">
        <v>0.40437876749149598</v>
      </c>
      <c r="ED875" s="1">
        <v>7.7313756423108299E-3</v>
      </c>
      <c r="EH875" s="1">
        <v>0.13253786815390001</v>
      </c>
      <c r="ET875" s="1">
        <v>0.143532902126285</v>
      </c>
      <c r="EX875" s="1">
        <v>0.164136743419664</v>
      </c>
      <c r="EY875" s="1">
        <v>0.15304642291833601</v>
      </c>
      <c r="FE875" s="1">
        <v>0.46565791771173698</v>
      </c>
      <c r="FJ875" s="1">
        <v>0.25151402508770199</v>
      </c>
      <c r="FM875" s="1">
        <v>1.0770144930883401</v>
      </c>
    </row>
    <row r="876" spans="1:169" x14ac:dyDescent="0.2">
      <c r="A876" s="1" t="s">
        <v>5139</v>
      </c>
      <c r="B876" s="1" t="s">
        <v>55</v>
      </c>
      <c r="C876" s="1" t="s">
        <v>5088</v>
      </c>
      <c r="D876" s="1" t="s">
        <v>2</v>
      </c>
      <c r="E876" s="1">
        <v>23</v>
      </c>
      <c r="F876" s="1" t="s">
        <v>1273</v>
      </c>
      <c r="G876" s="1" t="s">
        <v>5094</v>
      </c>
      <c r="H876" s="1" t="s">
        <v>5095</v>
      </c>
      <c r="I876" s="1" t="s">
        <v>7</v>
      </c>
      <c r="J876" s="1" t="s">
        <v>5096</v>
      </c>
      <c r="K876" s="1" t="s">
        <v>1276</v>
      </c>
      <c r="L876" s="1" t="s">
        <v>1275</v>
      </c>
      <c r="Q876" s="1">
        <v>2011</v>
      </c>
      <c r="R876" s="1" t="s">
        <v>5092</v>
      </c>
      <c r="S876" s="1" t="s">
        <v>27</v>
      </c>
      <c r="T876" s="38">
        <v>1</v>
      </c>
    </row>
    <row r="877" spans="1:169" x14ac:dyDescent="0.2">
      <c r="A877" s="1" t="s">
        <v>5140</v>
      </c>
      <c r="B877" s="1" t="s">
        <v>55</v>
      </c>
      <c r="C877" s="1" t="s">
        <v>5088</v>
      </c>
      <c r="D877" s="1" t="s">
        <v>2</v>
      </c>
      <c r="E877" s="1">
        <v>23</v>
      </c>
      <c r="F877" s="1" t="s">
        <v>1273</v>
      </c>
      <c r="G877" s="1" t="s">
        <v>5094</v>
      </c>
      <c r="H877" s="1" t="s">
        <v>5095</v>
      </c>
      <c r="I877" s="1" t="s">
        <v>7</v>
      </c>
      <c r="J877" s="1" t="s">
        <v>5096</v>
      </c>
      <c r="K877" s="1" t="s">
        <v>1276</v>
      </c>
      <c r="L877" s="1" t="s">
        <v>1275</v>
      </c>
      <c r="Q877" s="1">
        <v>2011</v>
      </c>
      <c r="R877" s="1" t="s">
        <v>5092</v>
      </c>
      <c r="S877" s="1" t="s">
        <v>27</v>
      </c>
      <c r="T877" s="38">
        <v>1</v>
      </c>
    </row>
    <row r="878" spans="1:169" x14ac:dyDescent="0.2">
      <c r="A878" s="1" t="s">
        <v>5141</v>
      </c>
      <c r="B878" s="1" t="s">
        <v>55</v>
      </c>
      <c r="C878" s="1" t="s">
        <v>5088</v>
      </c>
      <c r="D878" s="1" t="s">
        <v>2</v>
      </c>
      <c r="E878" s="1">
        <v>23</v>
      </c>
      <c r="F878" s="1" t="s">
        <v>5012</v>
      </c>
      <c r="G878" s="1" t="s">
        <v>5089</v>
      </c>
      <c r="H878" s="1" t="s">
        <v>5090</v>
      </c>
      <c r="I878" s="1" t="s">
        <v>7</v>
      </c>
      <c r="J878" s="1" t="s">
        <v>5132</v>
      </c>
      <c r="K878" s="1" t="s">
        <v>5015</v>
      </c>
      <c r="L878" s="1" t="s">
        <v>5014</v>
      </c>
      <c r="Q878" s="1">
        <v>2011</v>
      </c>
      <c r="R878" s="1" t="s">
        <v>5092</v>
      </c>
      <c r="S878" s="1" t="s">
        <v>27</v>
      </c>
      <c r="T878" s="38">
        <v>1</v>
      </c>
    </row>
    <row r="879" spans="1:169" x14ac:dyDescent="0.2">
      <c r="A879" s="1" t="s">
        <v>5142</v>
      </c>
      <c r="B879" s="1" t="s">
        <v>55</v>
      </c>
      <c r="C879" s="1" t="s">
        <v>5088</v>
      </c>
      <c r="D879" s="1" t="s">
        <v>2</v>
      </c>
      <c r="E879" s="1">
        <v>23</v>
      </c>
      <c r="F879" s="1" t="s">
        <v>1273</v>
      </c>
      <c r="G879" s="1" t="s">
        <v>5094</v>
      </c>
      <c r="H879" s="1" t="s">
        <v>5095</v>
      </c>
      <c r="I879" s="1" t="s">
        <v>7</v>
      </c>
      <c r="J879" s="1" t="s">
        <v>5096</v>
      </c>
      <c r="K879" s="1" t="s">
        <v>1276</v>
      </c>
      <c r="L879" s="1" t="s">
        <v>1275</v>
      </c>
      <c r="Q879" s="1">
        <v>2011</v>
      </c>
      <c r="R879" s="1" t="s">
        <v>5092</v>
      </c>
      <c r="S879" s="1" t="s">
        <v>27</v>
      </c>
      <c r="T879" s="38">
        <v>1</v>
      </c>
    </row>
    <row r="880" spans="1:169" x14ac:dyDescent="0.2">
      <c r="A880" s="1" t="s">
        <v>5143</v>
      </c>
      <c r="B880" s="1" t="s">
        <v>55</v>
      </c>
      <c r="C880" s="1" t="s">
        <v>5144</v>
      </c>
      <c r="E880" s="1">
        <v>11</v>
      </c>
      <c r="F880" s="1" t="s">
        <v>2131</v>
      </c>
      <c r="G880" s="1" t="s">
        <v>5145</v>
      </c>
      <c r="H880" s="1" t="s">
        <v>5146</v>
      </c>
      <c r="I880" s="1" t="s">
        <v>7</v>
      </c>
      <c r="J880" s="1" t="s">
        <v>2134</v>
      </c>
      <c r="K880" s="1" t="s">
        <v>2135</v>
      </c>
      <c r="L880" s="1" t="s">
        <v>2134</v>
      </c>
      <c r="M880" s="1" t="s">
        <v>5147</v>
      </c>
      <c r="N880" s="1" t="s">
        <v>5148</v>
      </c>
      <c r="P880" s="1" t="s">
        <v>5149</v>
      </c>
      <c r="Q880" s="1">
        <v>2002</v>
      </c>
      <c r="R880" s="1" t="s">
        <v>5150</v>
      </c>
      <c r="S880" s="1" t="s">
        <v>27</v>
      </c>
      <c r="T880" s="38">
        <v>1</v>
      </c>
    </row>
    <row r="881" spans="1:177" x14ac:dyDescent="0.2">
      <c r="A881" s="1" t="s">
        <v>5151</v>
      </c>
      <c r="B881" s="1" t="s">
        <v>55</v>
      </c>
      <c r="C881" s="1" t="s">
        <v>5144</v>
      </c>
      <c r="E881" s="1">
        <v>11</v>
      </c>
      <c r="F881" s="1" t="s">
        <v>2123</v>
      </c>
      <c r="G881" s="1" t="s">
        <v>5152</v>
      </c>
      <c r="H881" s="1" t="s">
        <v>5153</v>
      </c>
      <c r="I881" s="1" t="s">
        <v>7</v>
      </c>
      <c r="J881" s="1" t="s">
        <v>2164</v>
      </c>
      <c r="K881" s="1" t="s">
        <v>2127</v>
      </c>
      <c r="L881" s="1" t="s">
        <v>2164</v>
      </c>
      <c r="M881" s="1" t="s">
        <v>5147</v>
      </c>
      <c r="N881" s="1" t="s">
        <v>5148</v>
      </c>
      <c r="P881" s="1" t="s">
        <v>5149</v>
      </c>
      <c r="Q881" s="1">
        <v>2002</v>
      </c>
      <c r="R881" s="1" t="s">
        <v>5150</v>
      </c>
      <c r="S881" s="1" t="s">
        <v>27</v>
      </c>
      <c r="T881" s="38">
        <v>1</v>
      </c>
    </row>
    <row r="882" spans="1:177" x14ac:dyDescent="0.2">
      <c r="A882" s="15" t="s">
        <v>6509</v>
      </c>
      <c r="B882" s="1" t="s">
        <v>1911</v>
      </c>
      <c r="C882" s="1" t="s">
        <v>6176</v>
      </c>
      <c r="H882" s="1" t="s">
        <v>6361</v>
      </c>
      <c r="I882" s="1" t="s">
        <v>11</v>
      </c>
      <c r="M882" s="1" t="s">
        <v>6179</v>
      </c>
      <c r="P882" s="1" t="s">
        <v>6180</v>
      </c>
      <c r="Q882" s="1">
        <v>1989</v>
      </c>
      <c r="R882" s="1" t="s">
        <v>6181</v>
      </c>
      <c r="S882" s="1" t="s">
        <v>6182</v>
      </c>
      <c r="T882" s="17" t="str">
        <f>"1.1"</f>
        <v>1.1</v>
      </c>
      <c r="Z882" s="1">
        <v>51</v>
      </c>
      <c r="AY882" s="17">
        <v>3292</v>
      </c>
      <c r="BH882" s="1">
        <v>304</v>
      </c>
      <c r="BJ882" s="44">
        <v>259</v>
      </c>
      <c r="BM882" s="1">
        <v>578</v>
      </c>
      <c r="BP882" s="1">
        <v>553</v>
      </c>
    </row>
    <row r="883" spans="1:177" x14ac:dyDescent="0.2">
      <c r="A883" s="15" t="s">
        <v>6510</v>
      </c>
      <c r="B883" s="1" t="s">
        <v>55</v>
      </c>
      <c r="C883" s="1" t="s">
        <v>6176</v>
      </c>
      <c r="H883" s="1" t="s">
        <v>6362</v>
      </c>
      <c r="I883" s="1" t="s">
        <v>11</v>
      </c>
      <c r="J883" s="1" t="s">
        <v>6363</v>
      </c>
      <c r="M883" s="1" t="s">
        <v>6179</v>
      </c>
      <c r="P883" s="1" t="s">
        <v>6180</v>
      </c>
      <c r="Q883" s="1">
        <v>1989</v>
      </c>
      <c r="R883" s="1" t="s">
        <v>6181</v>
      </c>
      <c r="S883" s="1" t="s">
        <v>6182</v>
      </c>
      <c r="T883" s="17" t="str">
        <f t="shared" ref="T883:T888" si="4">"1.1"</f>
        <v>1.1</v>
      </c>
      <c r="Z883" s="1">
        <v>9</v>
      </c>
      <c r="AY883" s="17">
        <v>1565</v>
      </c>
      <c r="BD883" s="1">
        <v>0.1</v>
      </c>
      <c r="BH883" s="1">
        <v>1274</v>
      </c>
      <c r="BJ883" s="44">
        <v>172</v>
      </c>
      <c r="BK883" s="1">
        <v>1.23</v>
      </c>
      <c r="BM883" s="1">
        <v>364</v>
      </c>
      <c r="BP883" s="1">
        <v>1278</v>
      </c>
      <c r="BW883" s="1">
        <v>3.2</v>
      </c>
    </row>
    <row r="884" spans="1:177" x14ac:dyDescent="0.2">
      <c r="A884" s="15" t="s">
        <v>6511</v>
      </c>
      <c r="B884" s="1" t="s">
        <v>55</v>
      </c>
      <c r="C884" s="1" t="s">
        <v>6176</v>
      </c>
      <c r="H884" s="1" t="s">
        <v>6364</v>
      </c>
      <c r="I884" s="1" t="s">
        <v>11</v>
      </c>
      <c r="J884" s="1" t="s">
        <v>6363</v>
      </c>
      <c r="M884" s="1" t="s">
        <v>6179</v>
      </c>
      <c r="P884" s="1" t="s">
        <v>6180</v>
      </c>
      <c r="Q884" s="1">
        <v>1989</v>
      </c>
      <c r="R884" s="1" t="s">
        <v>6181</v>
      </c>
      <c r="S884" s="1" t="s">
        <v>6182</v>
      </c>
      <c r="T884" s="17" t="str">
        <f t="shared" si="4"/>
        <v>1.1</v>
      </c>
      <c r="Z884" s="1">
        <v>6</v>
      </c>
      <c r="AY884" s="17">
        <v>1664</v>
      </c>
      <c r="BD884" s="1">
        <v>0.6</v>
      </c>
      <c r="BH884" s="1">
        <v>1184</v>
      </c>
      <c r="BJ884" s="44">
        <v>161</v>
      </c>
      <c r="BK884" s="1">
        <v>2.79</v>
      </c>
      <c r="BM884" s="1">
        <v>263</v>
      </c>
      <c r="BP884" s="1">
        <v>1369</v>
      </c>
      <c r="BW884" s="1">
        <v>3.7</v>
      </c>
    </row>
    <row r="885" spans="1:177" x14ac:dyDescent="0.2">
      <c r="A885" s="15" t="s">
        <v>6512</v>
      </c>
      <c r="B885" s="1" t="s">
        <v>55</v>
      </c>
      <c r="C885" s="1" t="s">
        <v>6176</v>
      </c>
      <c r="H885" s="1" t="s">
        <v>6365</v>
      </c>
      <c r="I885" s="1" t="s">
        <v>11</v>
      </c>
      <c r="J885" s="1" t="s">
        <v>1211</v>
      </c>
      <c r="M885" s="1" t="s">
        <v>6179</v>
      </c>
      <c r="P885" s="1" t="s">
        <v>6180</v>
      </c>
      <c r="Q885" s="1">
        <v>1989</v>
      </c>
      <c r="R885" s="1" t="s">
        <v>6181</v>
      </c>
      <c r="S885" s="1" t="s">
        <v>6182</v>
      </c>
      <c r="T885" s="17" t="str">
        <f t="shared" si="4"/>
        <v>1.1</v>
      </c>
      <c r="Z885" s="1">
        <v>14</v>
      </c>
      <c r="AY885" s="17">
        <v>929</v>
      </c>
      <c r="BD885" s="1">
        <v>0.1</v>
      </c>
      <c r="BH885" s="1">
        <v>1273</v>
      </c>
      <c r="BJ885" s="44">
        <v>139</v>
      </c>
      <c r="BK885" s="1">
        <v>3.08</v>
      </c>
      <c r="BM885" s="1">
        <v>258</v>
      </c>
      <c r="BP885" s="1">
        <v>1016</v>
      </c>
      <c r="BW885" s="1">
        <v>5.8</v>
      </c>
    </row>
    <row r="886" spans="1:177" x14ac:dyDescent="0.2">
      <c r="A886" s="15" t="s">
        <v>6513</v>
      </c>
      <c r="B886" s="1" t="s">
        <v>55</v>
      </c>
      <c r="C886" s="1" t="s">
        <v>6176</v>
      </c>
      <c r="H886" s="1" t="s">
        <v>6366</v>
      </c>
      <c r="I886" s="1" t="s">
        <v>11</v>
      </c>
      <c r="J886" s="1" t="s">
        <v>1211</v>
      </c>
      <c r="M886" s="1" t="s">
        <v>6179</v>
      </c>
      <c r="P886" s="1" t="s">
        <v>6180</v>
      </c>
      <c r="Q886" s="1">
        <v>1989</v>
      </c>
      <c r="R886" s="1" t="s">
        <v>6181</v>
      </c>
      <c r="S886" s="1" t="s">
        <v>6182</v>
      </c>
      <c r="T886" s="17" t="str">
        <f t="shared" si="4"/>
        <v>1.1</v>
      </c>
      <c r="Z886" s="1">
        <v>17</v>
      </c>
      <c r="AY886" s="17">
        <v>1145</v>
      </c>
      <c r="BD886" s="1">
        <v>0.2</v>
      </c>
      <c r="BH886" s="1">
        <v>1328</v>
      </c>
      <c r="BJ886" s="44">
        <v>143</v>
      </c>
      <c r="BK886" s="1">
        <v>3.4</v>
      </c>
      <c r="BM886" s="1">
        <v>340</v>
      </c>
      <c r="BP886" s="1">
        <v>1345</v>
      </c>
      <c r="BW886" s="1">
        <v>5.5</v>
      </c>
    </row>
    <row r="887" spans="1:177" x14ac:dyDescent="0.2">
      <c r="A887" s="15" t="s">
        <v>6514</v>
      </c>
      <c r="B887" s="1" t="s">
        <v>55</v>
      </c>
      <c r="C887" s="1" t="s">
        <v>6176</v>
      </c>
      <c r="H887" s="1" t="s">
        <v>6367</v>
      </c>
      <c r="I887" s="1" t="s">
        <v>11</v>
      </c>
      <c r="J887" s="1" t="s">
        <v>6368</v>
      </c>
      <c r="M887" s="1" t="s">
        <v>6179</v>
      </c>
      <c r="P887" s="1" t="s">
        <v>6180</v>
      </c>
      <c r="Q887" s="1">
        <v>1989</v>
      </c>
      <c r="R887" s="1" t="s">
        <v>6181</v>
      </c>
      <c r="S887" s="1" t="s">
        <v>6182</v>
      </c>
      <c r="T887" s="17" t="str">
        <f t="shared" si="4"/>
        <v>1.1</v>
      </c>
      <c r="Z887" s="1">
        <v>8</v>
      </c>
      <c r="AY887" s="17">
        <v>2263</v>
      </c>
      <c r="BD887" s="1">
        <v>0.3</v>
      </c>
      <c r="BH887" s="1">
        <v>1205</v>
      </c>
      <c r="BJ887" s="44">
        <v>172</v>
      </c>
      <c r="BK887" s="1">
        <v>2.4900000000000002</v>
      </c>
      <c r="BM887" s="1">
        <v>359</v>
      </c>
      <c r="BP887" s="1">
        <v>1702</v>
      </c>
      <c r="BW887" s="1">
        <v>11.6</v>
      </c>
    </row>
    <row r="888" spans="1:177" x14ac:dyDescent="0.2">
      <c r="A888" s="15" t="s">
        <v>6515</v>
      </c>
      <c r="B888" s="1" t="s">
        <v>55</v>
      </c>
      <c r="C888" s="1" t="s">
        <v>6176</v>
      </c>
      <c r="H888" s="1" t="s">
        <v>6369</v>
      </c>
      <c r="I888" s="1" t="s">
        <v>11</v>
      </c>
      <c r="J888" s="1" t="s">
        <v>6370</v>
      </c>
      <c r="M888" s="1" t="s">
        <v>6179</v>
      </c>
      <c r="P888" s="1" t="s">
        <v>6180</v>
      </c>
      <c r="Q888" s="1">
        <v>1989</v>
      </c>
      <c r="R888" s="1" t="s">
        <v>6181</v>
      </c>
      <c r="S888" s="1" t="s">
        <v>6182</v>
      </c>
      <c r="T888" s="17" t="str">
        <f t="shared" si="4"/>
        <v>1.1</v>
      </c>
      <c r="Z888" s="1">
        <v>13</v>
      </c>
      <c r="AY888" s="17">
        <v>1453</v>
      </c>
      <c r="BD888" s="1">
        <v>0.4</v>
      </c>
      <c r="BH888" s="1">
        <v>1235</v>
      </c>
      <c r="BJ888" s="44">
        <v>155</v>
      </c>
      <c r="BK888" s="1">
        <v>0.97</v>
      </c>
      <c r="BM888" s="1">
        <v>235</v>
      </c>
      <c r="BP888" s="1">
        <v>1630</v>
      </c>
      <c r="BW888" s="1">
        <v>25.4</v>
      </c>
    </row>
    <row r="889" spans="1:177" x14ac:dyDescent="0.2">
      <c r="A889" s="39" t="str">
        <f>"0902331"</f>
        <v>0902331</v>
      </c>
      <c r="B889" s="1" t="s">
        <v>55</v>
      </c>
      <c r="C889" s="1" t="s">
        <v>6524</v>
      </c>
      <c r="D889" s="1" t="s">
        <v>2</v>
      </c>
      <c r="E889" s="1">
        <v>11</v>
      </c>
      <c r="F889" s="1" t="s">
        <v>2138</v>
      </c>
      <c r="G889" s="1" t="s">
        <v>2142</v>
      </c>
      <c r="H889" s="1" t="s">
        <v>6541</v>
      </c>
      <c r="I889" s="1" t="s">
        <v>7</v>
      </c>
      <c r="J889" s="1" t="s">
        <v>2141</v>
      </c>
      <c r="K889" s="19" t="s">
        <v>2142</v>
      </c>
      <c r="L889" s="1" t="s">
        <v>2141</v>
      </c>
      <c r="M889" s="1" t="s">
        <v>6563</v>
      </c>
      <c r="N889" s="1" t="s">
        <v>6568</v>
      </c>
      <c r="Q889" s="1">
        <v>2015</v>
      </c>
      <c r="R889" s="1" t="str">
        <f>"fi367"</f>
        <v>fi367</v>
      </c>
      <c r="S889" s="1" t="s">
        <v>27</v>
      </c>
      <c r="T889" s="17" t="str">
        <f t="shared" ref="T889:T903" si="5">"1.1"</f>
        <v>1.1</v>
      </c>
      <c r="U889" s="1">
        <v>84.1</v>
      </c>
      <c r="AU889" s="17"/>
      <c r="AV889" s="17"/>
      <c r="AW889" s="17"/>
      <c r="AX889" s="17"/>
      <c r="AY889" s="17"/>
      <c r="BK889" s="17"/>
      <c r="BM889" s="17"/>
      <c r="BV889" s="17"/>
      <c r="CF889" s="17"/>
      <c r="CN889" s="17"/>
      <c r="CV889" s="17"/>
      <c r="DB889" s="17"/>
      <c r="DT889" s="17"/>
      <c r="ED889" s="17"/>
      <c r="EL889" s="17"/>
      <c r="FT889" s="17"/>
      <c r="FU889" s="17"/>
    </row>
    <row r="890" spans="1:177" x14ac:dyDescent="0.2">
      <c r="A890" s="39" t="str">
        <f>"0902332"</f>
        <v>0902332</v>
      </c>
      <c r="B890" s="1" t="s">
        <v>55</v>
      </c>
      <c r="C890" s="1" t="s">
        <v>6524</v>
      </c>
      <c r="D890" s="1" t="s">
        <v>2</v>
      </c>
      <c r="E890" s="1">
        <v>11</v>
      </c>
      <c r="F890" s="1" t="s">
        <v>2131</v>
      </c>
      <c r="G890" s="1" t="s">
        <v>5145</v>
      </c>
      <c r="H890" s="1" t="s">
        <v>6542</v>
      </c>
      <c r="I890" s="1" t="s">
        <v>7</v>
      </c>
      <c r="J890" s="1" t="s">
        <v>2134</v>
      </c>
      <c r="K890" s="19" t="s">
        <v>2135</v>
      </c>
      <c r="L890" s="1" t="s">
        <v>2134</v>
      </c>
      <c r="M890" s="1" t="s">
        <v>6563</v>
      </c>
      <c r="N890" s="1" t="s">
        <v>6568</v>
      </c>
      <c r="Q890" s="1">
        <v>2015</v>
      </c>
      <c r="R890" s="1" t="str">
        <f t="shared" ref="R890:R899" si="6">"fi367"</f>
        <v>fi367</v>
      </c>
      <c r="S890" s="1" t="s">
        <v>27</v>
      </c>
      <c r="T890" s="17" t="str">
        <f t="shared" si="5"/>
        <v>1.1</v>
      </c>
      <c r="U890" s="1">
        <v>78.900000000000006</v>
      </c>
      <c r="AU890" s="17"/>
      <c r="AV890" s="17"/>
      <c r="AW890" s="17"/>
      <c r="AX890" s="17"/>
      <c r="AY890" s="17"/>
      <c r="BK890" s="17"/>
      <c r="BM890" s="17"/>
      <c r="BV890" s="17"/>
      <c r="CF890" s="17"/>
      <c r="CN890" s="17"/>
      <c r="CV890" s="17"/>
      <c r="DB890" s="17"/>
      <c r="DT890" s="17"/>
      <c r="ED890" s="17"/>
      <c r="EL890" s="17"/>
      <c r="FT890" s="17"/>
      <c r="FU890" s="17"/>
    </row>
    <row r="891" spans="1:177" x14ac:dyDescent="0.2">
      <c r="A891" s="39" t="str">
        <f>"0902333"</f>
        <v>0902333</v>
      </c>
      <c r="B891" s="1" t="s">
        <v>55</v>
      </c>
      <c r="C891" s="1" t="s">
        <v>6524</v>
      </c>
      <c r="D891" s="1" t="s">
        <v>2</v>
      </c>
      <c r="E891" s="1">
        <v>11</v>
      </c>
      <c r="F891" s="1" t="s">
        <v>2123</v>
      </c>
      <c r="G891" s="1" t="s">
        <v>5152</v>
      </c>
      <c r="H891" s="1" t="s">
        <v>6543</v>
      </c>
      <c r="I891" s="1" t="s">
        <v>7</v>
      </c>
      <c r="J891" s="1" t="s">
        <v>2164</v>
      </c>
      <c r="K891" s="19" t="s">
        <v>2127</v>
      </c>
      <c r="L891" s="1" t="s">
        <v>2164</v>
      </c>
      <c r="M891" s="1" t="s">
        <v>6563</v>
      </c>
      <c r="N891" s="1" t="s">
        <v>6569</v>
      </c>
      <c r="Q891" s="1">
        <v>2015</v>
      </c>
      <c r="R891" s="1" t="str">
        <f t="shared" si="6"/>
        <v>fi367</v>
      </c>
      <c r="S891" s="1" t="s">
        <v>27</v>
      </c>
      <c r="T891" s="17" t="str">
        <f t="shared" si="5"/>
        <v>1.1</v>
      </c>
      <c r="U891" s="1">
        <v>77.7</v>
      </c>
      <c r="AU891" s="17"/>
      <c r="AV891" s="17"/>
      <c r="AW891" s="17"/>
      <c r="AX891" s="17"/>
      <c r="AY891" s="17"/>
      <c r="BK891" s="17"/>
      <c r="BM891" s="17"/>
      <c r="BV891" s="17"/>
      <c r="CF891" s="17"/>
      <c r="CN891" s="17"/>
      <c r="CV891" s="17"/>
      <c r="DB891" s="17"/>
      <c r="DT891" s="17"/>
      <c r="ED891" s="17"/>
      <c r="EL891" s="17"/>
      <c r="FT891" s="17"/>
      <c r="FU891" s="17"/>
    </row>
    <row r="892" spans="1:177" x14ac:dyDescent="0.2">
      <c r="A892" s="39" t="str">
        <f>"0902334"</f>
        <v>0902334</v>
      </c>
      <c r="B892" s="1" t="s">
        <v>55</v>
      </c>
      <c r="C892" s="1" t="s">
        <v>6525</v>
      </c>
      <c r="D892" s="1" t="s">
        <v>2</v>
      </c>
      <c r="E892" s="1">
        <v>11</v>
      </c>
      <c r="F892" s="1" t="s">
        <v>1389</v>
      </c>
      <c r="G892" s="1" t="s">
        <v>6531</v>
      </c>
      <c r="H892" s="1" t="s">
        <v>6544</v>
      </c>
      <c r="I892" s="1" t="s">
        <v>7</v>
      </c>
      <c r="J892" s="1" t="s">
        <v>1392</v>
      </c>
      <c r="K892" s="19" t="s">
        <v>1393</v>
      </c>
      <c r="L892" s="1" t="s">
        <v>1392</v>
      </c>
      <c r="M892" s="1" t="s">
        <v>6563</v>
      </c>
      <c r="N892" s="1" t="s">
        <v>6570</v>
      </c>
      <c r="Q892" s="1">
        <v>2015</v>
      </c>
      <c r="R892" s="1" t="str">
        <f t="shared" si="6"/>
        <v>fi367</v>
      </c>
      <c r="S892" s="1" t="s">
        <v>27</v>
      </c>
      <c r="T892" s="17" t="str">
        <f t="shared" si="5"/>
        <v>1.1</v>
      </c>
      <c r="U892" s="1">
        <v>80</v>
      </c>
      <c r="AU892" s="17"/>
      <c r="AV892" s="17"/>
      <c r="AW892" s="17"/>
      <c r="AX892" s="17"/>
      <c r="AY892" s="17"/>
      <c r="BK892" s="17"/>
      <c r="BM892" s="17"/>
      <c r="BV892" s="17"/>
      <c r="CF892" s="17"/>
      <c r="CN892" s="17"/>
      <c r="CV892" s="17"/>
      <c r="DB892" s="17"/>
      <c r="DT892" s="17"/>
      <c r="ED892" s="17"/>
      <c r="EL892" s="17"/>
      <c r="FT892" s="17"/>
      <c r="FU892" s="17"/>
    </row>
    <row r="893" spans="1:177" x14ac:dyDescent="0.2">
      <c r="A893" s="39" t="str">
        <f>"0902335"</f>
        <v>0902335</v>
      </c>
      <c r="B893" s="1" t="s">
        <v>55</v>
      </c>
      <c r="C893" s="1" t="s">
        <v>6524</v>
      </c>
      <c r="D893" s="1" t="s">
        <v>2</v>
      </c>
      <c r="E893" s="1">
        <v>11</v>
      </c>
      <c r="F893" s="1" t="s">
        <v>2895</v>
      </c>
      <c r="G893" s="1" t="s">
        <v>6532</v>
      </c>
      <c r="H893" s="1" t="s">
        <v>6545</v>
      </c>
      <c r="I893" s="1" t="s">
        <v>7</v>
      </c>
      <c r="J893" s="1" t="s">
        <v>6554</v>
      </c>
      <c r="K893" s="19" t="s">
        <v>6560</v>
      </c>
      <c r="L893" s="1" t="s">
        <v>2897</v>
      </c>
      <c r="M893" s="1" t="s">
        <v>6563</v>
      </c>
      <c r="N893" s="1" t="s">
        <v>6570</v>
      </c>
      <c r="Q893" s="1">
        <v>2015</v>
      </c>
      <c r="R893" s="1" t="str">
        <f t="shared" si="6"/>
        <v>fi367</v>
      </c>
      <c r="S893" s="1" t="s">
        <v>27</v>
      </c>
      <c r="T893" s="17" t="str">
        <f t="shared" si="5"/>
        <v>1.1</v>
      </c>
      <c r="U893" s="1">
        <v>80.2</v>
      </c>
      <c r="AU893" s="17"/>
      <c r="AV893" s="17"/>
      <c r="AW893" s="17"/>
      <c r="AX893" s="17"/>
      <c r="AY893" s="17"/>
      <c r="BK893" s="17"/>
      <c r="BM893" s="17"/>
      <c r="BV893" s="17"/>
      <c r="CF893" s="17"/>
      <c r="CN893" s="17"/>
      <c r="CV893" s="17"/>
      <c r="DB893" s="17"/>
      <c r="DT893" s="17"/>
      <c r="ED893" s="17"/>
      <c r="EL893" s="17"/>
      <c r="FT893" s="17"/>
      <c r="FU893" s="17"/>
    </row>
    <row r="894" spans="1:177" x14ac:dyDescent="0.2">
      <c r="A894" s="39" t="str">
        <f>"0902336"</f>
        <v>0902336</v>
      </c>
      <c r="B894" s="1" t="s">
        <v>55</v>
      </c>
      <c r="C894" s="1" t="s">
        <v>6524</v>
      </c>
      <c r="D894" s="1" t="s">
        <v>2</v>
      </c>
      <c r="E894" s="1">
        <v>11</v>
      </c>
      <c r="F894" s="1" t="s">
        <v>1312</v>
      </c>
      <c r="G894" s="1" t="s">
        <v>6533</v>
      </c>
      <c r="H894" s="1" t="s">
        <v>6546</v>
      </c>
      <c r="I894" s="1" t="s">
        <v>7</v>
      </c>
      <c r="J894" s="1" t="s">
        <v>1314</v>
      </c>
      <c r="K894" s="19" t="s">
        <v>1315</v>
      </c>
      <c r="L894" s="1" t="s">
        <v>1314</v>
      </c>
      <c r="M894" s="1" t="s">
        <v>6563</v>
      </c>
      <c r="N894" s="1" t="s">
        <v>6571</v>
      </c>
      <c r="Q894" s="1">
        <v>2015</v>
      </c>
      <c r="R894" s="1" t="str">
        <f t="shared" si="6"/>
        <v>fi367</v>
      </c>
      <c r="S894" s="1" t="s">
        <v>27</v>
      </c>
      <c r="T894" s="17" t="str">
        <f t="shared" si="5"/>
        <v>1.1</v>
      </c>
      <c r="U894" s="1">
        <v>77.8</v>
      </c>
      <c r="AU894" s="17"/>
      <c r="AV894" s="17"/>
      <c r="AW894" s="17"/>
      <c r="AX894" s="17"/>
      <c r="AY894" s="17"/>
      <c r="BK894" s="17"/>
      <c r="BM894" s="17"/>
      <c r="BV894" s="17"/>
      <c r="CF894" s="17"/>
      <c r="CN894" s="17"/>
      <c r="CV894" s="17"/>
      <c r="DB894" s="17"/>
      <c r="DT894" s="17"/>
      <c r="ED894" s="17"/>
      <c r="EL894" s="17"/>
      <c r="FT894" s="17"/>
      <c r="FU894" s="17"/>
    </row>
    <row r="895" spans="1:177" x14ac:dyDescent="0.2">
      <c r="A895" s="39" t="str">
        <f>"0902337"</f>
        <v>0902337</v>
      </c>
      <c r="B895" s="1" t="s">
        <v>55</v>
      </c>
      <c r="C895" s="1" t="s">
        <v>6524</v>
      </c>
      <c r="D895" s="1" t="s">
        <v>2</v>
      </c>
      <c r="E895" s="1">
        <v>13</v>
      </c>
      <c r="F895" s="1" t="s">
        <v>1265</v>
      </c>
      <c r="G895" s="1" t="s">
        <v>6534</v>
      </c>
      <c r="H895" s="1" t="s">
        <v>6547</v>
      </c>
      <c r="I895" s="1" t="s">
        <v>7</v>
      </c>
      <c r="J895" s="1" t="s">
        <v>6555</v>
      </c>
      <c r="K895" s="1" t="s">
        <v>1268</v>
      </c>
      <c r="L895" s="1" t="s">
        <v>1267</v>
      </c>
      <c r="M895" s="1" t="s">
        <v>6563</v>
      </c>
      <c r="N895" s="1" t="s">
        <v>6571</v>
      </c>
      <c r="Q895" s="1">
        <v>2015</v>
      </c>
      <c r="R895" s="1" t="str">
        <f t="shared" si="6"/>
        <v>fi367</v>
      </c>
      <c r="S895" s="1" t="s">
        <v>27</v>
      </c>
      <c r="T895" s="17" t="str">
        <f t="shared" si="5"/>
        <v>1.1</v>
      </c>
      <c r="U895" s="1">
        <v>65.5</v>
      </c>
      <c r="V895" s="1">
        <v>17.7</v>
      </c>
      <c r="Y895" s="1">
        <v>7.5</v>
      </c>
      <c r="Z895" s="1">
        <v>7.7</v>
      </c>
      <c r="AA895" s="1">
        <v>2.6</v>
      </c>
      <c r="AF895" s="1">
        <v>0.24399999999999999</v>
      </c>
      <c r="AG895" s="1">
        <v>2.157</v>
      </c>
      <c r="AU895" s="17" t="s">
        <v>17</v>
      </c>
      <c r="AV895" s="17" t="s">
        <v>17</v>
      </c>
      <c r="AW895" s="17">
        <v>0.62</v>
      </c>
      <c r="AX895" s="17"/>
      <c r="AY895" s="17">
        <v>2.9000000000000001E-2</v>
      </c>
      <c r="BA895" s="1">
        <v>5.18</v>
      </c>
      <c r="BD895" s="1">
        <v>3.1E-2</v>
      </c>
      <c r="BG895" s="1">
        <v>1.56</v>
      </c>
      <c r="BI895" s="1">
        <v>3.5000000000000003E-2</v>
      </c>
      <c r="BK895" s="17">
        <v>1.9E-2</v>
      </c>
      <c r="BM895" s="17" t="s">
        <v>17</v>
      </c>
      <c r="BS895" s="1">
        <v>1.0999999999999999E-2</v>
      </c>
      <c r="BV895" s="17" t="s">
        <v>17</v>
      </c>
      <c r="CA895" s="1">
        <v>0.16</v>
      </c>
      <c r="CF895" s="17">
        <v>1.6E-2</v>
      </c>
      <c r="CK895" s="1">
        <v>7.01</v>
      </c>
      <c r="CM895" s="1">
        <v>0.21</v>
      </c>
      <c r="CN895" s="17" t="s">
        <v>17</v>
      </c>
      <c r="CV895" s="17">
        <v>0.21</v>
      </c>
      <c r="DB895" s="17">
        <v>2.3E-2</v>
      </c>
      <c r="DN895" s="1">
        <v>1.82</v>
      </c>
      <c r="DT895" s="17">
        <v>7.6999999999999999E-2</v>
      </c>
      <c r="ED895" s="17">
        <v>4.2000000000000003E-2</v>
      </c>
      <c r="EH895" s="1">
        <v>0.14000000000000001</v>
      </c>
      <c r="EK895" s="1">
        <v>0.11</v>
      </c>
      <c r="EL895" s="17">
        <v>1.2999999999999999E-2</v>
      </c>
      <c r="ET895" s="1">
        <v>0.14000000000000001</v>
      </c>
      <c r="EX895" s="1">
        <v>7.0000000000000007E-2</v>
      </c>
      <c r="EY895" s="1">
        <v>1.0999999999999999E-2</v>
      </c>
      <c r="FA895" s="1">
        <v>3.7999999999999999E-2</v>
      </c>
      <c r="FE895" s="1">
        <v>1.2999999999999999E-2</v>
      </c>
      <c r="FJ895" s="1">
        <v>1.9E-2</v>
      </c>
      <c r="FM895" s="1">
        <v>1.9E-2</v>
      </c>
      <c r="FT895" s="17">
        <v>1.4E-2</v>
      </c>
      <c r="FU895" s="17" t="s">
        <v>17</v>
      </c>
    </row>
    <row r="896" spans="1:177" x14ac:dyDescent="0.2">
      <c r="A896" s="39" t="str">
        <f>"0902338"</f>
        <v>0902338</v>
      </c>
      <c r="B896" s="1" t="s">
        <v>55</v>
      </c>
      <c r="C896" s="1" t="s">
        <v>6526</v>
      </c>
      <c r="D896" s="1" t="s">
        <v>2</v>
      </c>
      <c r="E896" s="1">
        <v>13</v>
      </c>
      <c r="F896" s="1" t="s">
        <v>1265</v>
      </c>
      <c r="G896" s="1" t="s">
        <v>6535</v>
      </c>
      <c r="H896" s="1" t="s">
        <v>6547</v>
      </c>
      <c r="I896" s="1" t="s">
        <v>7</v>
      </c>
      <c r="J896" s="1" t="s">
        <v>6556</v>
      </c>
      <c r="K896" s="1" t="s">
        <v>1268</v>
      </c>
      <c r="L896" s="1" t="s">
        <v>1267</v>
      </c>
      <c r="M896" s="1" t="s">
        <v>6563</v>
      </c>
      <c r="N896" s="1" t="s">
        <v>6572</v>
      </c>
      <c r="Q896" s="1">
        <v>2015</v>
      </c>
      <c r="R896" s="1" t="str">
        <f t="shared" si="6"/>
        <v>fi367</v>
      </c>
      <c r="S896" s="1" t="s">
        <v>27</v>
      </c>
      <c r="T896" s="17" t="str">
        <f t="shared" si="5"/>
        <v>1.1</v>
      </c>
      <c r="U896" s="1">
        <v>79.2</v>
      </c>
      <c r="V896" s="1">
        <v>1.4</v>
      </c>
      <c r="Y896" s="1">
        <v>0.5</v>
      </c>
      <c r="Z896" s="1">
        <v>0.4</v>
      </c>
      <c r="AA896" s="1">
        <v>0.5</v>
      </c>
      <c r="AF896" s="1">
        <v>0.21099999999999999</v>
      </c>
      <c r="AG896" s="1">
        <v>0.17799999999999999</v>
      </c>
      <c r="AU896" s="17" t="s">
        <v>17</v>
      </c>
      <c r="AV896" s="17" t="s">
        <v>17</v>
      </c>
      <c r="AW896" s="17">
        <v>5.1999999999999998E-2</v>
      </c>
      <c r="AX896" s="17"/>
      <c r="AY896" s="17" t="s">
        <v>17</v>
      </c>
      <c r="BA896" s="1">
        <v>0.31</v>
      </c>
      <c r="BD896" s="1">
        <v>2.1999999999999999E-2</v>
      </c>
      <c r="BG896" s="1">
        <v>0.13</v>
      </c>
      <c r="BI896" s="17" t="s">
        <v>17</v>
      </c>
      <c r="BK896" s="17" t="s">
        <v>17</v>
      </c>
      <c r="BM896" s="17" t="s">
        <v>17</v>
      </c>
      <c r="BS896" s="1">
        <v>1.7999999999999999E-2</v>
      </c>
      <c r="BV896" s="17" t="s">
        <v>17</v>
      </c>
      <c r="CA896" s="1">
        <v>5.0999999999999997E-2</v>
      </c>
      <c r="CF896" s="17" t="s">
        <v>17</v>
      </c>
      <c r="CK896" s="1">
        <v>0.18</v>
      </c>
      <c r="CM896" s="1">
        <v>4.8000000000000001E-2</v>
      </c>
      <c r="CN896" s="17" t="s">
        <v>17</v>
      </c>
      <c r="CV896" s="17" t="s">
        <v>17</v>
      </c>
      <c r="DB896" s="17" t="s">
        <v>17</v>
      </c>
      <c r="DN896" s="1">
        <v>7.6999999999999999E-2</v>
      </c>
      <c r="DT896" s="17" t="s">
        <v>17</v>
      </c>
      <c r="ED896" s="17" t="s">
        <v>17</v>
      </c>
      <c r="EH896" s="1">
        <v>6.9000000000000006E-2</v>
      </c>
      <c r="EK896" s="1">
        <v>1.4999999999999999E-2</v>
      </c>
      <c r="EL896" s="17" t="s">
        <v>17</v>
      </c>
      <c r="ET896" s="1">
        <v>6.9000000000000006E-2</v>
      </c>
      <c r="EX896" s="1">
        <v>5.7000000000000002E-2</v>
      </c>
      <c r="EY896" s="1">
        <v>0.02</v>
      </c>
      <c r="FA896" s="1">
        <v>2.9000000000000001E-2</v>
      </c>
      <c r="FE896" s="1">
        <v>3.7999999999999999E-2</v>
      </c>
      <c r="FJ896" s="1">
        <v>2.4E-2</v>
      </c>
      <c r="FM896" s="1">
        <v>2.4E-2</v>
      </c>
      <c r="FT896" s="17" t="s">
        <v>17</v>
      </c>
      <c r="FU896" s="17" t="s">
        <v>17</v>
      </c>
    </row>
    <row r="897" spans="1:177" x14ac:dyDescent="0.2">
      <c r="A897" s="39" t="str">
        <f>"0902339"</f>
        <v>0902339</v>
      </c>
      <c r="B897" s="1" t="s">
        <v>55</v>
      </c>
      <c r="C897" s="1" t="s">
        <v>6524</v>
      </c>
      <c r="D897" s="1" t="s">
        <v>2</v>
      </c>
      <c r="E897" s="1">
        <v>11</v>
      </c>
      <c r="F897" s="1" t="s">
        <v>6530</v>
      </c>
      <c r="G897" s="1" t="s">
        <v>6536</v>
      </c>
      <c r="H897" s="1" t="s">
        <v>6548</v>
      </c>
      <c r="I897" s="1" t="s">
        <v>7</v>
      </c>
      <c r="J897" s="1" t="s">
        <v>6557</v>
      </c>
      <c r="K897" s="19" t="s">
        <v>6561</v>
      </c>
      <c r="L897" s="1" t="s">
        <v>6557</v>
      </c>
      <c r="M897" s="1" t="s">
        <v>6563</v>
      </c>
      <c r="N897" s="1" t="s">
        <v>6570</v>
      </c>
      <c r="Q897" s="1">
        <v>2015</v>
      </c>
      <c r="R897" s="1" t="str">
        <f t="shared" si="6"/>
        <v>fi367</v>
      </c>
      <c r="S897" s="1" t="s">
        <v>27</v>
      </c>
      <c r="T897" s="17" t="str">
        <f t="shared" si="5"/>
        <v>1.1</v>
      </c>
      <c r="U897" s="1">
        <v>76.2</v>
      </c>
      <c r="AU897" s="17"/>
      <c r="AV897" s="17"/>
      <c r="AW897" s="17"/>
      <c r="AX897" s="17"/>
      <c r="AY897" s="17"/>
      <c r="BK897" s="17"/>
      <c r="BM897" s="17"/>
      <c r="BV897" s="17"/>
      <c r="CF897" s="17"/>
      <c r="CN897" s="17"/>
      <c r="CV897" s="17"/>
      <c r="DB897" s="17"/>
      <c r="DT897" s="17"/>
      <c r="ED897" s="17"/>
      <c r="EL897" s="17"/>
      <c r="FT897" s="17"/>
      <c r="FU897" s="17"/>
    </row>
    <row r="898" spans="1:177" x14ac:dyDescent="0.2">
      <c r="A898" s="39" t="str">
        <f>"0902340"</f>
        <v>0902340</v>
      </c>
      <c r="B898" s="1" t="s">
        <v>55</v>
      </c>
      <c r="C898" s="1" t="s">
        <v>6524</v>
      </c>
      <c r="D898" s="1" t="s">
        <v>2</v>
      </c>
      <c r="E898" s="1">
        <v>12</v>
      </c>
      <c r="F898" s="1" t="s">
        <v>1373</v>
      </c>
      <c r="G898" s="1" t="s">
        <v>2516</v>
      </c>
      <c r="H898" s="1" t="s">
        <v>6549</v>
      </c>
      <c r="I898" s="1" t="s">
        <v>7</v>
      </c>
      <c r="J898" s="1" t="s">
        <v>1375</v>
      </c>
      <c r="K898" s="19" t="s">
        <v>1376</v>
      </c>
      <c r="L898" s="1" t="s">
        <v>1375</v>
      </c>
      <c r="M898" s="1" t="s">
        <v>6563</v>
      </c>
      <c r="N898" s="1" t="s">
        <v>6568</v>
      </c>
      <c r="Q898" s="1">
        <v>2015</v>
      </c>
      <c r="R898" s="1" t="str">
        <f t="shared" si="6"/>
        <v>fi367</v>
      </c>
      <c r="S898" s="1" t="s">
        <v>27</v>
      </c>
      <c r="T898" s="17" t="str">
        <f t="shared" si="5"/>
        <v>1.1</v>
      </c>
      <c r="U898" s="1">
        <v>77.599999999999994</v>
      </c>
      <c r="AU898" s="17"/>
      <c r="AV898" s="17"/>
      <c r="AW898" s="17"/>
      <c r="AX898" s="17"/>
      <c r="AY898" s="17"/>
      <c r="BK898" s="17"/>
      <c r="BM898" s="17"/>
      <c r="BV898" s="17"/>
      <c r="CF898" s="17"/>
      <c r="CN898" s="17"/>
      <c r="CV898" s="17"/>
      <c r="DB898" s="17"/>
      <c r="DT898" s="17"/>
      <c r="ED898" s="17"/>
      <c r="EL898" s="17"/>
      <c r="FT898" s="17"/>
      <c r="FU898" s="17"/>
    </row>
    <row r="899" spans="1:177" x14ac:dyDescent="0.2">
      <c r="A899" s="39" t="str">
        <f>"0902341"</f>
        <v>0902341</v>
      </c>
      <c r="B899" s="1" t="s">
        <v>55</v>
      </c>
      <c r="C899" s="1" t="s">
        <v>6524</v>
      </c>
      <c r="D899" s="1" t="s">
        <v>2</v>
      </c>
      <c r="E899" s="1">
        <v>12</v>
      </c>
      <c r="F899" s="1" t="s">
        <v>1373</v>
      </c>
      <c r="G899" s="1" t="s">
        <v>6537</v>
      </c>
      <c r="H899" s="1" t="s">
        <v>6549</v>
      </c>
      <c r="I899" s="1" t="s">
        <v>7</v>
      </c>
      <c r="J899" s="1" t="s">
        <v>6558</v>
      </c>
      <c r="K899" s="19" t="s">
        <v>1376</v>
      </c>
      <c r="L899" s="1" t="s">
        <v>1375</v>
      </c>
      <c r="M899" s="1" t="s">
        <v>6563</v>
      </c>
      <c r="N899" s="1" t="s">
        <v>6568</v>
      </c>
      <c r="Q899" s="1">
        <v>2015</v>
      </c>
      <c r="R899" s="1" t="str">
        <f t="shared" si="6"/>
        <v>fi367</v>
      </c>
      <c r="S899" s="1" t="s">
        <v>27</v>
      </c>
      <c r="T899" s="17" t="str">
        <f t="shared" si="5"/>
        <v>1.1</v>
      </c>
      <c r="U899" s="1">
        <v>77.5</v>
      </c>
      <c r="AU899" s="17"/>
      <c r="AV899" s="17"/>
      <c r="AW899" s="17"/>
      <c r="AX899" s="17"/>
      <c r="AY899" s="17"/>
      <c r="BK899" s="17"/>
      <c r="BM899" s="17"/>
      <c r="BV899" s="17"/>
      <c r="CF899" s="17"/>
      <c r="CN899" s="17"/>
      <c r="CV899" s="17"/>
      <c r="DB899" s="17"/>
      <c r="DT899" s="17"/>
      <c r="ED899" s="17"/>
      <c r="EL899" s="17"/>
      <c r="FT899" s="17"/>
      <c r="FU899" s="17"/>
    </row>
    <row r="900" spans="1:177" x14ac:dyDescent="0.2">
      <c r="A900" s="39" t="str">
        <f>"0902342"</f>
        <v>0902342</v>
      </c>
      <c r="B900" s="1" t="s">
        <v>55</v>
      </c>
      <c r="C900" s="1" t="s">
        <v>6527</v>
      </c>
      <c r="D900" s="1" t="s">
        <v>2</v>
      </c>
      <c r="E900" s="1">
        <v>31</v>
      </c>
      <c r="F900" s="1" t="s">
        <v>2189</v>
      </c>
      <c r="G900" s="1" t="s">
        <v>6538</v>
      </c>
      <c r="H900" s="1" t="s">
        <v>6550</v>
      </c>
      <c r="I900" s="1" t="s">
        <v>7</v>
      </c>
      <c r="J900" s="1" t="s">
        <v>6559</v>
      </c>
      <c r="K900" s="19" t="s">
        <v>6562</v>
      </c>
      <c r="L900" s="1" t="s">
        <v>6559</v>
      </c>
      <c r="M900" s="1" t="s">
        <v>6564</v>
      </c>
      <c r="N900" s="1" t="s">
        <v>6573</v>
      </c>
      <c r="Q900" s="17" t="s">
        <v>6576</v>
      </c>
      <c r="R900" s="1" t="str">
        <f>"fi361"</f>
        <v>fi361</v>
      </c>
      <c r="S900" s="1" t="s">
        <v>6577</v>
      </c>
      <c r="T900" s="17" t="str">
        <f t="shared" si="5"/>
        <v>1.1</v>
      </c>
      <c r="U900" s="1">
        <v>74</v>
      </c>
      <c r="V900" s="1">
        <v>2.4</v>
      </c>
      <c r="Y900" s="1">
        <v>0.53</v>
      </c>
      <c r="Z900" s="1">
        <v>0.64</v>
      </c>
      <c r="AA900" s="1">
        <v>0.9</v>
      </c>
      <c r="AD900" s="1">
        <v>0.9</v>
      </c>
      <c r="AE900" s="1">
        <f>U900*0.9</f>
        <v>66.600000000000009</v>
      </c>
      <c r="AI900" s="1">
        <v>0.74</v>
      </c>
      <c r="AJ900" s="1">
        <v>0.64</v>
      </c>
      <c r="AK900" s="1">
        <v>0.14000000000000001</v>
      </c>
      <c r="AL900" s="1">
        <v>0.34</v>
      </c>
      <c r="AU900" s="17"/>
      <c r="AV900" s="17"/>
      <c r="AW900" s="17"/>
      <c r="AX900" s="17">
        <v>0.11</v>
      </c>
      <c r="AY900" s="17" t="s">
        <v>15</v>
      </c>
      <c r="BA900" s="1">
        <v>0.33</v>
      </c>
      <c r="BD900" s="17" t="s">
        <v>15</v>
      </c>
      <c r="BG900" s="1">
        <v>7.0000000000000007E-2</v>
      </c>
      <c r="BI900" s="17" t="s">
        <v>17</v>
      </c>
      <c r="BK900" s="17" t="s">
        <v>17</v>
      </c>
      <c r="BM900" s="17" t="s">
        <v>17</v>
      </c>
      <c r="BO900" s="17" t="s">
        <v>17</v>
      </c>
      <c r="BX900" s="17" t="s">
        <v>15</v>
      </c>
      <c r="BZ900" s="17">
        <v>0.14000000000000001</v>
      </c>
      <c r="CH900" s="17" t="s">
        <v>15</v>
      </c>
      <c r="CK900" s="17">
        <v>0.24</v>
      </c>
      <c r="CM900" s="17">
        <v>0.06</v>
      </c>
      <c r="CN900" s="17"/>
      <c r="CU900" s="17" t="s">
        <v>15</v>
      </c>
      <c r="CV900" s="17">
        <v>7.0000000000000007E-2</v>
      </c>
      <c r="CX900" s="17" t="s">
        <v>15</v>
      </c>
      <c r="DA900" s="17">
        <v>7.0000000000000007E-2</v>
      </c>
      <c r="DB900" s="17" t="s">
        <v>15</v>
      </c>
      <c r="DE900" s="17" t="s">
        <v>15</v>
      </c>
      <c r="DI900" s="1">
        <v>0.02</v>
      </c>
      <c r="DN900" s="1">
        <v>0.11</v>
      </c>
      <c r="DT900" s="17" t="s">
        <v>15</v>
      </c>
      <c r="EA900" s="17">
        <v>0.02</v>
      </c>
      <c r="EH900" s="1">
        <v>0.02</v>
      </c>
      <c r="EK900" s="17" t="s">
        <v>17</v>
      </c>
      <c r="EL900" s="17" t="s">
        <v>17</v>
      </c>
      <c r="EQ900" s="17">
        <v>0.03</v>
      </c>
      <c r="ET900" s="1">
        <v>0.03</v>
      </c>
      <c r="EX900" s="1">
        <v>0.03</v>
      </c>
      <c r="EY900" s="1">
        <v>0.02</v>
      </c>
      <c r="FE900" s="1">
        <v>0.26</v>
      </c>
      <c r="FJ900" s="1">
        <v>0.04</v>
      </c>
      <c r="FM900" s="1">
        <v>0.32</v>
      </c>
    </row>
    <row r="901" spans="1:177" x14ac:dyDescent="0.2">
      <c r="A901" s="39" t="str">
        <f>"0902343"</f>
        <v>0902343</v>
      </c>
      <c r="B901" s="1" t="s">
        <v>55</v>
      </c>
      <c r="C901" s="1" t="s">
        <v>6528</v>
      </c>
      <c r="D901" s="1" t="s">
        <v>2</v>
      </c>
      <c r="E901" s="1">
        <v>32</v>
      </c>
      <c r="F901" s="1" t="s">
        <v>1747</v>
      </c>
      <c r="G901" s="1" t="s">
        <v>6539</v>
      </c>
      <c r="H901" s="1" t="s">
        <v>6551</v>
      </c>
      <c r="I901" s="1" t="s">
        <v>7</v>
      </c>
      <c r="J901" s="1" t="s">
        <v>1749</v>
      </c>
      <c r="K901" s="19" t="s">
        <v>1750</v>
      </c>
      <c r="L901" s="1" t="s">
        <v>1749</v>
      </c>
      <c r="M901" s="1" t="s">
        <v>6565</v>
      </c>
      <c r="N901" s="1" t="s">
        <v>6574</v>
      </c>
      <c r="Q901" s="17" t="s">
        <v>6576</v>
      </c>
      <c r="R901" s="1" t="str">
        <f>"fi361"</f>
        <v>fi361</v>
      </c>
      <c r="S901" s="1" t="s">
        <v>6577</v>
      </c>
      <c r="T901" s="17" t="str">
        <f t="shared" si="5"/>
        <v>1.1</v>
      </c>
      <c r="U901" s="1">
        <v>79</v>
      </c>
      <c r="V901" s="1">
        <v>0.5</v>
      </c>
      <c r="Y901" s="1">
        <v>0.09</v>
      </c>
      <c r="Z901" s="1">
        <v>0.05</v>
      </c>
      <c r="AA901" s="1">
        <v>0.2</v>
      </c>
      <c r="AD901" s="1">
        <v>0.7</v>
      </c>
      <c r="AE901" s="1">
        <f>U901*0.7</f>
        <v>55.3</v>
      </c>
      <c r="AI901" s="1">
        <v>0.18</v>
      </c>
      <c r="AJ901" s="1">
        <v>0.18</v>
      </c>
      <c r="AK901" s="1">
        <v>0.02</v>
      </c>
      <c r="AL901" s="1">
        <v>0.04</v>
      </c>
      <c r="AU901" s="17"/>
      <c r="AV901" s="17"/>
      <c r="AW901" s="17"/>
      <c r="AX901" s="17" t="s">
        <v>15</v>
      </c>
      <c r="AY901" s="17" t="s">
        <v>17</v>
      </c>
      <c r="BA901" s="1">
        <v>0.06</v>
      </c>
      <c r="BD901" s="17" t="s">
        <v>17</v>
      </c>
      <c r="BG901" s="1">
        <v>0.02</v>
      </c>
      <c r="BI901" s="17" t="s">
        <v>17</v>
      </c>
      <c r="BK901" s="17" t="s">
        <v>17</v>
      </c>
      <c r="BM901" s="17" t="s">
        <v>17</v>
      </c>
      <c r="BO901" s="17" t="s">
        <v>17</v>
      </c>
      <c r="BX901" s="17" t="s">
        <v>17</v>
      </c>
      <c r="BZ901" s="17" t="s">
        <v>15</v>
      </c>
      <c r="CH901" s="17" t="s">
        <v>17</v>
      </c>
      <c r="CK901" s="17">
        <v>0.03</v>
      </c>
      <c r="CM901" s="17" t="s">
        <v>15</v>
      </c>
      <c r="CN901" s="17"/>
      <c r="CU901" s="17" t="s">
        <v>17</v>
      </c>
      <c r="CV901" s="17" t="s">
        <v>15</v>
      </c>
      <c r="CX901" s="17" t="s">
        <v>17</v>
      </c>
      <c r="DA901" s="17" t="s">
        <v>17</v>
      </c>
      <c r="DB901" s="17" t="s">
        <v>17</v>
      </c>
      <c r="DE901" s="17" t="s">
        <v>17</v>
      </c>
      <c r="DI901" s="17" t="s">
        <v>17</v>
      </c>
      <c r="DN901" s="1">
        <v>0.01</v>
      </c>
      <c r="DT901" s="17" t="s">
        <v>17</v>
      </c>
      <c r="EA901" s="17" t="s">
        <v>17</v>
      </c>
      <c r="EH901" s="17" t="s">
        <v>17</v>
      </c>
      <c r="EK901" s="17" t="s">
        <v>17</v>
      </c>
      <c r="EL901" s="17" t="s">
        <v>17</v>
      </c>
      <c r="EQ901" s="17" t="s">
        <v>17</v>
      </c>
      <c r="ET901" s="17" t="s">
        <v>17</v>
      </c>
      <c r="EX901" s="17" t="s">
        <v>15</v>
      </c>
      <c r="EY901" s="17" t="s">
        <v>17</v>
      </c>
      <c r="FE901" s="1">
        <v>0.06</v>
      </c>
      <c r="FJ901" s="17" t="s">
        <v>15</v>
      </c>
      <c r="FM901" s="1">
        <v>0.12</v>
      </c>
    </row>
    <row r="902" spans="1:177" x14ac:dyDescent="0.2">
      <c r="A902" s="39" t="str">
        <f>"0902344"</f>
        <v>0902344</v>
      </c>
      <c r="B902" s="1" t="s">
        <v>55</v>
      </c>
      <c r="C902" s="1" t="s">
        <v>6688</v>
      </c>
      <c r="D902" s="1" t="s">
        <v>2</v>
      </c>
      <c r="E902" s="1">
        <v>23</v>
      </c>
      <c r="F902" s="1" t="s">
        <v>1273</v>
      </c>
      <c r="G902" s="1" t="s">
        <v>6540</v>
      </c>
      <c r="H902" s="1" t="s">
        <v>6552</v>
      </c>
      <c r="I902" s="1" t="s">
        <v>7</v>
      </c>
      <c r="J902" s="1" t="s">
        <v>1275</v>
      </c>
      <c r="K902" s="19" t="s">
        <v>1276</v>
      </c>
      <c r="L902" s="1" t="s">
        <v>1275</v>
      </c>
      <c r="M902" s="1" t="s">
        <v>6566</v>
      </c>
      <c r="N902" s="1" t="s">
        <v>6575</v>
      </c>
      <c r="Q902" s="17" t="s">
        <v>6576</v>
      </c>
      <c r="R902" s="1" t="str">
        <f>"fi361"</f>
        <v>fi361</v>
      </c>
      <c r="S902" s="1" t="s">
        <v>6577</v>
      </c>
      <c r="T902" s="17" t="str">
        <f t="shared" si="5"/>
        <v>1.1</v>
      </c>
      <c r="U902" s="1">
        <v>61</v>
      </c>
      <c r="V902" s="1">
        <v>16</v>
      </c>
      <c r="Y902" s="1">
        <v>3</v>
      </c>
      <c r="Z902" s="1">
        <v>5.91</v>
      </c>
      <c r="AA902" s="1">
        <v>5</v>
      </c>
      <c r="AD902" s="1">
        <v>0.9</v>
      </c>
      <c r="AE902" s="1">
        <f>U902*0.9</f>
        <v>54.9</v>
      </c>
      <c r="AI902" s="1">
        <v>3.76</v>
      </c>
      <c r="AJ902" s="1">
        <v>3.17</v>
      </c>
      <c r="AK902" s="1">
        <v>1.17</v>
      </c>
      <c r="AL902" s="1">
        <v>3.96</v>
      </c>
      <c r="AU902" s="17"/>
      <c r="AV902" s="17"/>
      <c r="AW902" s="17"/>
      <c r="AX902" s="17">
        <v>0.59</v>
      </c>
      <c r="AY902" s="17">
        <v>0.05</v>
      </c>
      <c r="BA902" s="1">
        <v>1.86</v>
      </c>
      <c r="BD902" s="1">
        <v>0.04</v>
      </c>
      <c r="BG902" s="1">
        <v>0.41</v>
      </c>
      <c r="BI902" s="17">
        <v>0.03</v>
      </c>
      <c r="BK902" s="17">
        <v>0.02</v>
      </c>
      <c r="BM902" s="17" t="s">
        <v>17</v>
      </c>
      <c r="BO902" s="17" t="s">
        <v>17</v>
      </c>
      <c r="BX902" s="1">
        <v>0.05</v>
      </c>
      <c r="BZ902" s="1">
        <v>0.71</v>
      </c>
      <c r="CH902" s="1">
        <v>0.08</v>
      </c>
      <c r="CK902" s="1">
        <v>3.09</v>
      </c>
      <c r="CM902" s="1">
        <v>0.44</v>
      </c>
      <c r="CU902" s="1">
        <v>0.08</v>
      </c>
      <c r="CV902" s="17">
        <v>0.66</v>
      </c>
      <c r="CX902" s="1">
        <v>0.03</v>
      </c>
      <c r="DA902" s="1">
        <v>0.61</v>
      </c>
      <c r="DB902" s="17">
        <v>0.08</v>
      </c>
      <c r="DE902" s="17">
        <v>0.08</v>
      </c>
      <c r="DI902" s="1">
        <v>0.08</v>
      </c>
      <c r="DN902" s="1">
        <v>0.97</v>
      </c>
      <c r="DT902" s="17">
        <v>0.08</v>
      </c>
      <c r="EA902" s="1">
        <v>0.05</v>
      </c>
      <c r="EH902" s="1">
        <v>0.31</v>
      </c>
      <c r="EK902" s="1">
        <v>0.03</v>
      </c>
      <c r="EL902" s="17">
        <v>0.03</v>
      </c>
      <c r="EQ902" s="1">
        <v>0.06</v>
      </c>
      <c r="ET902" s="1">
        <v>0.17</v>
      </c>
      <c r="EX902" s="1">
        <v>0.08</v>
      </c>
      <c r="EY902" s="1">
        <v>0.21</v>
      </c>
      <c r="FE902" s="1">
        <v>1.02</v>
      </c>
      <c r="FJ902" s="1">
        <v>0.53</v>
      </c>
      <c r="FM902" s="1">
        <v>1.39</v>
      </c>
    </row>
    <row r="903" spans="1:177" ht="15" x14ac:dyDescent="0.2">
      <c r="A903" s="39" t="str">
        <f>"0902345"</f>
        <v>0902345</v>
      </c>
      <c r="B903" s="1" t="s">
        <v>55</v>
      </c>
      <c r="C903" s="1" t="s">
        <v>6529</v>
      </c>
      <c r="D903" s="1" t="s">
        <v>2</v>
      </c>
      <c r="E903" s="1">
        <v>23</v>
      </c>
      <c r="F903" s="1" t="s">
        <v>1471</v>
      </c>
      <c r="G903" s="1" t="s">
        <v>9756</v>
      </c>
      <c r="H903" s="1" t="s">
        <v>6553</v>
      </c>
      <c r="I903" s="1" t="s">
        <v>7</v>
      </c>
      <c r="J903" s="1" t="s">
        <v>1473</v>
      </c>
      <c r="K903" s="19" t="s">
        <v>1474</v>
      </c>
      <c r="L903" s="1" t="s">
        <v>1473</v>
      </c>
      <c r="M903" s="1" t="s">
        <v>6567</v>
      </c>
      <c r="N903" s="1" t="s">
        <v>6574</v>
      </c>
      <c r="Q903" s="17" t="s">
        <v>6576</v>
      </c>
      <c r="R903" s="1" t="str">
        <f>"fi361"</f>
        <v>fi361</v>
      </c>
      <c r="S903" s="1" t="s">
        <v>6577</v>
      </c>
      <c r="T903" s="17" t="str">
        <f t="shared" si="5"/>
        <v>1.1</v>
      </c>
      <c r="U903" s="1">
        <v>70</v>
      </c>
      <c r="V903" s="1">
        <v>10</v>
      </c>
      <c r="Y903" s="1">
        <v>2.0299999999999998</v>
      </c>
      <c r="Z903" s="1">
        <v>3.52</v>
      </c>
      <c r="AA903" s="1">
        <v>3.16</v>
      </c>
      <c r="AD903" s="1">
        <v>0.9</v>
      </c>
      <c r="AE903" s="1">
        <f>U903*0.9</f>
        <v>63</v>
      </c>
      <c r="AI903" s="1">
        <v>2.56</v>
      </c>
      <c r="AJ903" s="1">
        <v>2.2200000000000002</v>
      </c>
      <c r="AK903" s="1">
        <v>0.56999999999999995</v>
      </c>
      <c r="AL903" s="1">
        <v>2.13</v>
      </c>
      <c r="AU903" s="17"/>
      <c r="AV903" s="17"/>
      <c r="AW903" s="17"/>
      <c r="AX903" s="17">
        <v>0.43</v>
      </c>
      <c r="AY903" s="17">
        <v>0.04</v>
      </c>
      <c r="BA903" s="1">
        <v>1.27</v>
      </c>
      <c r="BD903" s="1">
        <v>0.02</v>
      </c>
      <c r="BG903" s="1">
        <v>0.25</v>
      </c>
      <c r="BI903" s="17">
        <v>0.02</v>
      </c>
      <c r="BK903" s="17" t="s">
        <v>17</v>
      </c>
      <c r="BM903" s="17" t="s">
        <v>17</v>
      </c>
      <c r="BO903" s="17" t="s">
        <v>17</v>
      </c>
      <c r="BX903" s="1">
        <v>0.03</v>
      </c>
      <c r="BZ903" s="1">
        <v>0.46</v>
      </c>
      <c r="CH903" s="1">
        <v>0.08</v>
      </c>
      <c r="CK903" s="1">
        <v>1.53</v>
      </c>
      <c r="CM903" s="1">
        <v>0.24</v>
      </c>
      <c r="CU903" s="1">
        <v>0.08</v>
      </c>
      <c r="CV903" s="17">
        <v>0.47</v>
      </c>
      <c r="CX903" s="1">
        <v>0.02</v>
      </c>
      <c r="DA903" s="1">
        <v>0.51</v>
      </c>
      <c r="DB903" s="17">
        <v>0.06</v>
      </c>
      <c r="DE903" s="1">
        <v>0.05</v>
      </c>
      <c r="DI903" s="1">
        <v>0.04</v>
      </c>
      <c r="DN903" s="1">
        <v>0.45</v>
      </c>
      <c r="DT903" s="17">
        <v>0.03</v>
      </c>
      <c r="EA903" s="1">
        <v>0.03</v>
      </c>
      <c r="EH903" s="1">
        <v>0.14000000000000001</v>
      </c>
      <c r="EK903" s="1">
        <v>0.02</v>
      </c>
      <c r="EL903" s="17" t="s">
        <v>17</v>
      </c>
      <c r="EQ903" s="1">
        <v>0.04</v>
      </c>
      <c r="ET903" s="1">
        <v>0.13</v>
      </c>
      <c r="EX903" s="1">
        <v>7.0000000000000007E-2</v>
      </c>
      <c r="EY903" s="1">
        <v>0.11</v>
      </c>
      <c r="FE903" s="1">
        <v>0.64</v>
      </c>
      <c r="FJ903" s="1">
        <v>0.23</v>
      </c>
      <c r="FM903" s="1">
        <v>1.24</v>
      </c>
    </row>
    <row r="904" spans="1:177" x14ac:dyDescent="0.2">
      <c r="A904" s="1" t="s">
        <v>9382</v>
      </c>
      <c r="B904" s="1" t="s">
        <v>55</v>
      </c>
      <c r="C904" s="1" t="s">
        <v>9383</v>
      </c>
      <c r="D904" s="1" t="s">
        <v>2</v>
      </c>
      <c r="E904" s="1">
        <v>33</v>
      </c>
      <c r="F904" s="1" t="s">
        <v>1288</v>
      </c>
      <c r="H904" s="1" t="s">
        <v>9384</v>
      </c>
      <c r="I904" s="1" t="s">
        <v>7</v>
      </c>
      <c r="J904" s="1" t="s">
        <v>1290</v>
      </c>
      <c r="K904" s="1" t="s">
        <v>1291</v>
      </c>
      <c r="L904" s="1" t="s">
        <v>1290</v>
      </c>
      <c r="O904" s="1">
        <v>5</v>
      </c>
      <c r="Q904" s="1">
        <v>2007</v>
      </c>
      <c r="R904" s="1" t="s">
        <v>9385</v>
      </c>
      <c r="S904" s="1" t="s">
        <v>27</v>
      </c>
      <c r="T904" s="17" t="s">
        <v>7945</v>
      </c>
      <c r="AF904" s="1">
        <v>1.2589999999999999</v>
      </c>
      <c r="AG904" s="1">
        <v>0.36</v>
      </c>
    </row>
    <row r="905" spans="1:177" x14ac:dyDescent="0.2">
      <c r="A905" s="1" t="s">
        <v>9386</v>
      </c>
      <c r="B905" s="1" t="s">
        <v>9387</v>
      </c>
      <c r="C905" s="1" t="s">
        <v>236</v>
      </c>
      <c r="E905" s="1">
        <v>52</v>
      </c>
      <c r="F905" s="1" t="s">
        <v>9388</v>
      </c>
      <c r="H905" s="1" t="s">
        <v>9389</v>
      </c>
      <c r="I905" s="1" t="s">
        <v>11</v>
      </c>
      <c r="J905" s="1" t="s">
        <v>9390</v>
      </c>
      <c r="K905" s="1" t="s">
        <v>9391</v>
      </c>
      <c r="L905" s="1" t="s">
        <v>9390</v>
      </c>
      <c r="O905" s="1">
        <v>5</v>
      </c>
      <c r="Q905" s="1">
        <v>2007</v>
      </c>
      <c r="R905" s="1" t="s">
        <v>9385</v>
      </c>
      <c r="S905" s="1" t="s">
        <v>27</v>
      </c>
      <c r="T905" s="17" t="s">
        <v>7945</v>
      </c>
      <c r="AF905" s="1">
        <v>0.13500000000000001</v>
      </c>
      <c r="AG905" s="1">
        <v>1.7999999999999999E-2</v>
      </c>
    </row>
    <row r="906" spans="1:177" x14ac:dyDescent="0.2">
      <c r="A906" s="1" t="s">
        <v>9392</v>
      </c>
      <c r="B906" s="1" t="s">
        <v>55</v>
      </c>
      <c r="C906" s="1" t="s">
        <v>236</v>
      </c>
      <c r="E906" s="1">
        <v>32</v>
      </c>
      <c r="F906" s="1" t="s">
        <v>1747</v>
      </c>
      <c r="H906" s="1" t="s">
        <v>9393</v>
      </c>
      <c r="I906" s="1" t="s">
        <v>7</v>
      </c>
      <c r="J906" s="1" t="s">
        <v>1749</v>
      </c>
      <c r="K906" s="1" t="s">
        <v>1750</v>
      </c>
      <c r="L906" s="1" t="s">
        <v>1749</v>
      </c>
      <c r="O906" s="1">
        <v>5</v>
      </c>
      <c r="Q906" s="1">
        <v>2007</v>
      </c>
      <c r="R906" s="1" t="s">
        <v>9385</v>
      </c>
      <c r="S906" s="1" t="s">
        <v>27</v>
      </c>
      <c r="T906" s="17" t="s">
        <v>7945</v>
      </c>
      <c r="AF906" s="1">
        <v>0.188</v>
      </c>
      <c r="AG906" s="1">
        <v>2.5000000000000001E-2</v>
      </c>
    </row>
    <row r="907" spans="1:177" x14ac:dyDescent="0.2">
      <c r="A907" s="1" t="s">
        <v>9394</v>
      </c>
      <c r="B907" s="1" t="s">
        <v>9387</v>
      </c>
      <c r="C907" s="1" t="s">
        <v>236</v>
      </c>
      <c r="E907" s="1">
        <v>57</v>
      </c>
      <c r="F907" s="1" t="s">
        <v>1939</v>
      </c>
      <c r="H907" s="1" t="s">
        <v>9395</v>
      </c>
      <c r="I907" s="1" t="s">
        <v>7</v>
      </c>
      <c r="J907" s="1" t="s">
        <v>1941</v>
      </c>
      <c r="K907" s="1" t="s">
        <v>1942</v>
      </c>
      <c r="L907" s="1" t="s">
        <v>1941</v>
      </c>
      <c r="O907" s="1">
        <v>5</v>
      </c>
      <c r="Q907" s="1">
        <v>2007</v>
      </c>
      <c r="R907" s="1" t="s">
        <v>9385</v>
      </c>
      <c r="S907" s="1" t="s">
        <v>27</v>
      </c>
      <c r="T907" s="17" t="s">
        <v>7945</v>
      </c>
      <c r="AF907" s="1">
        <v>0.42099999999999999</v>
      </c>
      <c r="AG907" s="1">
        <v>2.1999999999999999E-2</v>
      </c>
    </row>
    <row r="908" spans="1:177" x14ac:dyDescent="0.2">
      <c r="A908" s="1" t="s">
        <v>9396</v>
      </c>
      <c r="B908" s="1" t="s">
        <v>55</v>
      </c>
      <c r="C908" s="1" t="s">
        <v>9383</v>
      </c>
      <c r="D908" s="1" t="s">
        <v>2</v>
      </c>
      <c r="E908" s="1">
        <v>11</v>
      </c>
      <c r="F908" s="1" t="s">
        <v>1389</v>
      </c>
      <c r="H908" s="1" t="s">
        <v>9397</v>
      </c>
      <c r="I908" s="1" t="s">
        <v>7</v>
      </c>
      <c r="J908" s="1" t="s">
        <v>9398</v>
      </c>
      <c r="K908" s="1" t="s">
        <v>1393</v>
      </c>
      <c r="L908" s="1" t="s">
        <v>1392</v>
      </c>
      <c r="O908" s="1">
        <v>5</v>
      </c>
      <c r="Q908" s="1">
        <v>2007</v>
      </c>
      <c r="R908" s="1" t="s">
        <v>9385</v>
      </c>
      <c r="S908" s="1" t="s">
        <v>27</v>
      </c>
      <c r="T908" s="17" t="s">
        <v>7945</v>
      </c>
      <c r="AF908" s="1">
        <v>0.313</v>
      </c>
      <c r="AG908" s="1">
        <v>0.53400000000000003</v>
      </c>
    </row>
    <row r="909" spans="1:177" x14ac:dyDescent="0.2">
      <c r="A909" s="1" t="s">
        <v>9399</v>
      </c>
      <c r="B909" s="1" t="s">
        <v>55</v>
      </c>
      <c r="C909" s="1" t="s">
        <v>236</v>
      </c>
      <c r="E909" s="1">
        <v>37</v>
      </c>
      <c r="F909" s="1" t="s">
        <v>1249</v>
      </c>
      <c r="H909" s="1" t="s">
        <v>9400</v>
      </c>
      <c r="I909" s="1" t="s">
        <v>7</v>
      </c>
      <c r="J909" s="1" t="s">
        <v>1251</v>
      </c>
      <c r="K909" s="1" t="s">
        <v>1252</v>
      </c>
      <c r="L909" s="1" t="s">
        <v>1251</v>
      </c>
      <c r="O909" s="1">
        <v>5</v>
      </c>
      <c r="Q909" s="1">
        <v>2007</v>
      </c>
      <c r="R909" s="1" t="s">
        <v>9385</v>
      </c>
      <c r="S909" s="1" t="s">
        <v>27</v>
      </c>
      <c r="T909" s="17" t="s">
        <v>7945</v>
      </c>
      <c r="AF909" s="1">
        <v>0.59399999999999997</v>
      </c>
      <c r="AG909" s="1">
        <v>7.2999999999999995E-2</v>
      </c>
    </row>
    <row r="910" spans="1:177" x14ac:dyDescent="0.2">
      <c r="A910" s="1" t="s">
        <v>9401</v>
      </c>
      <c r="B910" s="1" t="s">
        <v>55</v>
      </c>
      <c r="C910" s="1" t="s">
        <v>236</v>
      </c>
      <c r="E910" s="1">
        <v>37</v>
      </c>
      <c r="F910" s="1" t="s">
        <v>1249</v>
      </c>
      <c r="H910" s="1" t="s">
        <v>9402</v>
      </c>
      <c r="I910" s="1" t="s">
        <v>7</v>
      </c>
      <c r="J910" s="1" t="s">
        <v>1251</v>
      </c>
      <c r="K910" s="1" t="s">
        <v>1252</v>
      </c>
      <c r="L910" s="1" t="s">
        <v>1251</v>
      </c>
      <c r="O910" s="1">
        <v>5</v>
      </c>
      <c r="Q910" s="1">
        <v>2007</v>
      </c>
      <c r="R910" s="1" t="s">
        <v>9385</v>
      </c>
      <c r="S910" s="1" t="s">
        <v>27</v>
      </c>
      <c r="T910" s="17" t="s">
        <v>7945</v>
      </c>
      <c r="AF910" s="1">
        <v>1.4039999999999999</v>
      </c>
      <c r="AG910" s="1">
        <v>0.159</v>
      </c>
    </row>
    <row r="911" spans="1:177" x14ac:dyDescent="0.2">
      <c r="A911" s="1" t="s">
        <v>9403</v>
      </c>
      <c r="B911" s="1" t="s">
        <v>55</v>
      </c>
      <c r="C911" s="1" t="s">
        <v>236</v>
      </c>
      <c r="E911" s="1">
        <v>37</v>
      </c>
      <c r="F911" s="1" t="s">
        <v>1600</v>
      </c>
      <c r="H911" s="1" t="s">
        <v>9404</v>
      </c>
      <c r="I911" s="1" t="s">
        <v>11</v>
      </c>
      <c r="J911" s="1" t="s">
        <v>1602</v>
      </c>
      <c r="K911" s="1" t="s">
        <v>1603</v>
      </c>
      <c r="L911" s="1" t="s">
        <v>1602</v>
      </c>
      <c r="O911" s="1">
        <v>5</v>
      </c>
      <c r="Q911" s="1">
        <v>2007</v>
      </c>
      <c r="R911" s="1" t="s">
        <v>9385</v>
      </c>
      <c r="S911" s="1" t="s">
        <v>27</v>
      </c>
      <c r="T911" s="17" t="s">
        <v>7945</v>
      </c>
      <c r="AF911" s="1">
        <v>2.4569999999999999</v>
      </c>
      <c r="AG911" s="1">
        <v>0.42</v>
      </c>
    </row>
    <row r="912" spans="1:177" x14ac:dyDescent="0.2">
      <c r="A912" s="1" t="s">
        <v>9405</v>
      </c>
      <c r="B912" s="1" t="s">
        <v>55</v>
      </c>
      <c r="C912" s="1" t="s">
        <v>236</v>
      </c>
      <c r="E912" s="1">
        <v>35</v>
      </c>
      <c r="F912" s="1" t="s">
        <v>1797</v>
      </c>
      <c r="H912" s="1" t="s">
        <v>9406</v>
      </c>
      <c r="I912" s="1" t="s">
        <v>11</v>
      </c>
      <c r="J912" s="1" t="s">
        <v>1799</v>
      </c>
      <c r="K912" s="1" t="s">
        <v>9407</v>
      </c>
      <c r="L912" s="1" t="s">
        <v>1799</v>
      </c>
      <c r="O912" s="1">
        <v>5</v>
      </c>
      <c r="Q912" s="1">
        <v>2007</v>
      </c>
      <c r="R912" s="1" t="s">
        <v>9385</v>
      </c>
      <c r="S912" s="1" t="s">
        <v>27</v>
      </c>
      <c r="T912" s="17" t="s">
        <v>7945</v>
      </c>
      <c r="AF912" s="1">
        <v>2.0739999999999998</v>
      </c>
      <c r="AG912" s="1">
        <v>0.41799999999999998</v>
      </c>
    </row>
    <row r="913" spans="1:33" x14ac:dyDescent="0.2">
      <c r="A913" s="1" t="s">
        <v>9408</v>
      </c>
      <c r="B913" s="1" t="s">
        <v>55</v>
      </c>
      <c r="C913" s="1" t="s">
        <v>236</v>
      </c>
      <c r="E913" s="1">
        <v>35</v>
      </c>
      <c r="F913" s="1" t="s">
        <v>1797</v>
      </c>
      <c r="H913" s="1" t="s">
        <v>9409</v>
      </c>
      <c r="I913" s="1" t="s">
        <v>11</v>
      </c>
      <c r="J913" s="1" t="s">
        <v>1799</v>
      </c>
      <c r="K913" s="1" t="s">
        <v>9407</v>
      </c>
      <c r="L913" s="1" t="s">
        <v>1799</v>
      </c>
      <c r="O913" s="1">
        <v>5</v>
      </c>
      <c r="Q913" s="1">
        <v>2007</v>
      </c>
      <c r="R913" s="1" t="s">
        <v>9385</v>
      </c>
      <c r="S913" s="1" t="s">
        <v>27</v>
      </c>
      <c r="T913" s="17" t="s">
        <v>7945</v>
      </c>
      <c r="AF913" s="1">
        <v>2.637</v>
      </c>
      <c r="AG913" s="1">
        <v>1.952</v>
      </c>
    </row>
    <row r="914" spans="1:33" x14ac:dyDescent="0.2">
      <c r="A914" s="1" t="s">
        <v>9410</v>
      </c>
      <c r="B914" s="1" t="s">
        <v>1911</v>
      </c>
      <c r="C914" s="1" t="s">
        <v>9411</v>
      </c>
      <c r="E914" s="1">
        <v>45</v>
      </c>
      <c r="F914" s="1" t="s">
        <v>9412</v>
      </c>
      <c r="H914" s="1" t="s">
        <v>9413</v>
      </c>
      <c r="I914" s="1" t="s">
        <v>11</v>
      </c>
      <c r="J914" s="1" t="s">
        <v>9414</v>
      </c>
      <c r="K914" s="1" t="s">
        <v>9415</v>
      </c>
      <c r="L914" s="1" t="s">
        <v>9414</v>
      </c>
      <c r="O914" s="1">
        <v>5</v>
      </c>
      <c r="Q914" s="1">
        <v>2007</v>
      </c>
      <c r="R914" s="1" t="s">
        <v>9385</v>
      </c>
      <c r="S914" s="1" t="s">
        <v>27</v>
      </c>
      <c r="T914" s="17" t="s">
        <v>7945</v>
      </c>
      <c r="AF914" s="1">
        <v>0.29899999999999999</v>
      </c>
      <c r="AG914" s="1">
        <v>4.1000000000000002E-2</v>
      </c>
    </row>
    <row r="915" spans="1:33" x14ac:dyDescent="0.2">
      <c r="A915" s="1" t="s">
        <v>9416</v>
      </c>
      <c r="B915" s="1" t="s">
        <v>1911</v>
      </c>
      <c r="C915" s="1" t="s">
        <v>9411</v>
      </c>
      <c r="E915" s="1">
        <v>45</v>
      </c>
      <c r="F915" s="1" t="s">
        <v>9417</v>
      </c>
      <c r="H915" s="1" t="s">
        <v>9418</v>
      </c>
      <c r="I915" s="1" t="s">
        <v>11</v>
      </c>
      <c r="J915" s="1" t="s">
        <v>9419</v>
      </c>
      <c r="K915" s="1" t="s">
        <v>9420</v>
      </c>
      <c r="L915" s="1" t="s">
        <v>9419</v>
      </c>
      <c r="O915" s="1">
        <v>5</v>
      </c>
      <c r="Q915" s="1">
        <v>2007</v>
      </c>
      <c r="R915" s="1" t="s">
        <v>9385</v>
      </c>
      <c r="S915" s="1" t="s">
        <v>27</v>
      </c>
      <c r="T915" s="17" t="s">
        <v>7945</v>
      </c>
      <c r="AF915" s="1">
        <v>0.19700000000000001</v>
      </c>
      <c r="AG915" s="1">
        <v>7.5999999999999998E-2</v>
      </c>
    </row>
    <row r="916" spans="1:33" x14ac:dyDescent="0.2">
      <c r="A916" s="1" t="s">
        <v>9421</v>
      </c>
      <c r="B916" s="1" t="s">
        <v>1911</v>
      </c>
      <c r="C916" s="1" t="s">
        <v>9411</v>
      </c>
      <c r="E916" s="1">
        <v>45</v>
      </c>
      <c r="F916" s="1" t="s">
        <v>3695</v>
      </c>
      <c r="H916" s="1" t="s">
        <v>9422</v>
      </c>
      <c r="I916" s="1" t="s">
        <v>11</v>
      </c>
      <c r="J916" s="1" t="s">
        <v>3697</v>
      </c>
      <c r="K916" s="1" t="s">
        <v>3698</v>
      </c>
      <c r="L916" s="1" t="s">
        <v>3697</v>
      </c>
      <c r="O916" s="1">
        <v>5</v>
      </c>
      <c r="Q916" s="1">
        <v>2007</v>
      </c>
      <c r="R916" s="1" t="s">
        <v>9385</v>
      </c>
      <c r="S916" s="1" t="s">
        <v>27</v>
      </c>
      <c r="T916" s="17" t="s">
        <v>7945</v>
      </c>
      <c r="AF916" s="1">
        <v>0.14499999999999999</v>
      </c>
      <c r="AG916" s="1">
        <v>0.122</v>
      </c>
    </row>
    <row r="917" spans="1:33" x14ac:dyDescent="0.2">
      <c r="A917" s="1" t="s">
        <v>9423</v>
      </c>
      <c r="B917" s="1" t="s">
        <v>1911</v>
      </c>
      <c r="C917" s="1" t="s">
        <v>9411</v>
      </c>
      <c r="E917" s="1">
        <v>45</v>
      </c>
      <c r="F917" s="1" t="s">
        <v>4194</v>
      </c>
      <c r="H917" s="1" t="s">
        <v>9424</v>
      </c>
      <c r="I917" s="1" t="s">
        <v>11</v>
      </c>
      <c r="J917" s="1" t="s">
        <v>4196</v>
      </c>
      <c r="K917" s="1" t="s">
        <v>4197</v>
      </c>
      <c r="L917" s="1" t="s">
        <v>4196</v>
      </c>
      <c r="O917" s="1">
        <v>5</v>
      </c>
      <c r="Q917" s="1">
        <v>2007</v>
      </c>
      <c r="R917" s="1" t="s">
        <v>9385</v>
      </c>
      <c r="S917" s="1" t="s">
        <v>27</v>
      </c>
      <c r="T917" s="17" t="s">
        <v>7945</v>
      </c>
      <c r="AF917" s="1">
        <v>0.17699999999999999</v>
      </c>
      <c r="AG917" s="1">
        <v>0.11899999999999999</v>
      </c>
    </row>
    <row r="918" spans="1:33" x14ac:dyDescent="0.2">
      <c r="A918" s="1" t="s">
        <v>9425</v>
      </c>
      <c r="B918" s="1" t="s">
        <v>55</v>
      </c>
      <c r="C918" s="1" t="s">
        <v>9383</v>
      </c>
      <c r="D918" s="1" t="s">
        <v>2</v>
      </c>
      <c r="E918" s="1">
        <v>33</v>
      </c>
      <c r="F918" s="1" t="s">
        <v>1297</v>
      </c>
      <c r="H918" s="1" t="s">
        <v>9426</v>
      </c>
      <c r="I918" s="1" t="s">
        <v>7</v>
      </c>
      <c r="J918" s="1" t="s">
        <v>1299</v>
      </c>
      <c r="K918" s="1" t="s">
        <v>1300</v>
      </c>
      <c r="L918" s="1" t="s">
        <v>1299</v>
      </c>
      <c r="O918" s="1">
        <v>5</v>
      </c>
      <c r="Q918" s="1">
        <v>2007</v>
      </c>
      <c r="R918" s="1" t="s">
        <v>9385</v>
      </c>
      <c r="S918" s="1" t="s">
        <v>27</v>
      </c>
      <c r="T918" s="17" t="s">
        <v>7945</v>
      </c>
      <c r="AF918" s="1">
        <v>1.2390000000000001</v>
      </c>
      <c r="AG918" s="1">
        <v>0.42499999999999999</v>
      </c>
    </row>
    <row r="919" spans="1:33" x14ac:dyDescent="0.2">
      <c r="A919" s="1" t="s">
        <v>9427</v>
      </c>
      <c r="B919" s="1" t="s">
        <v>55</v>
      </c>
      <c r="C919" s="1" t="s">
        <v>236</v>
      </c>
      <c r="E919" s="1">
        <v>33</v>
      </c>
      <c r="F919" s="1" t="s">
        <v>9428</v>
      </c>
      <c r="H919" s="1" t="s">
        <v>9429</v>
      </c>
      <c r="I919" s="1" t="s">
        <v>7</v>
      </c>
      <c r="J919" s="1" t="s">
        <v>9430</v>
      </c>
      <c r="K919" s="1" t="s">
        <v>9431</v>
      </c>
      <c r="L919" s="1" t="s">
        <v>9430</v>
      </c>
      <c r="O919" s="1">
        <v>5</v>
      </c>
      <c r="Q919" s="1">
        <v>2007</v>
      </c>
      <c r="R919" s="1" t="s">
        <v>9385</v>
      </c>
      <c r="S919" s="1" t="s">
        <v>27</v>
      </c>
      <c r="T919" s="17" t="s">
        <v>7945</v>
      </c>
      <c r="AF919" s="1">
        <v>1.056</v>
      </c>
      <c r="AG919" s="1">
        <v>0.221</v>
      </c>
    </row>
    <row r="920" spans="1:33" x14ac:dyDescent="0.2">
      <c r="A920" s="1" t="s">
        <v>9432</v>
      </c>
      <c r="B920" s="1" t="s">
        <v>55</v>
      </c>
      <c r="C920" s="1" t="s">
        <v>236</v>
      </c>
      <c r="E920" s="1">
        <v>32</v>
      </c>
      <c r="F920" s="1" t="s">
        <v>1768</v>
      </c>
      <c r="H920" s="1" t="s">
        <v>1769</v>
      </c>
      <c r="I920" s="1" t="s">
        <v>7</v>
      </c>
      <c r="J920" s="1" t="s">
        <v>1770</v>
      </c>
      <c r="K920" s="1" t="s">
        <v>1771</v>
      </c>
      <c r="L920" s="1" t="s">
        <v>1770</v>
      </c>
      <c r="O920" s="1">
        <v>5</v>
      </c>
      <c r="Q920" s="1">
        <v>2007</v>
      </c>
      <c r="R920" s="1" t="s">
        <v>9385</v>
      </c>
      <c r="S920" s="1" t="s">
        <v>27</v>
      </c>
      <c r="T920" s="17" t="s">
        <v>7945</v>
      </c>
      <c r="AF920" s="1">
        <v>0.154</v>
      </c>
      <c r="AG920" s="1">
        <v>2.3E-2</v>
      </c>
    </row>
    <row r="921" spans="1:33" x14ac:dyDescent="0.2">
      <c r="A921" s="1" t="s">
        <v>9433</v>
      </c>
      <c r="B921" s="1" t="s">
        <v>55</v>
      </c>
      <c r="C921" s="1" t="s">
        <v>236</v>
      </c>
      <c r="E921" s="1">
        <v>32</v>
      </c>
      <c r="F921" s="1" t="s">
        <v>1763</v>
      </c>
      <c r="H921" s="1" t="s">
        <v>9434</v>
      </c>
      <c r="I921" s="1" t="s">
        <v>7</v>
      </c>
      <c r="J921" s="1" t="s">
        <v>1765</v>
      </c>
      <c r="K921" s="1" t="s">
        <v>1766</v>
      </c>
      <c r="L921" s="1" t="s">
        <v>1765</v>
      </c>
      <c r="O921" s="1">
        <v>5</v>
      </c>
      <c r="Q921" s="1">
        <v>2007</v>
      </c>
      <c r="R921" s="1" t="s">
        <v>9385</v>
      </c>
      <c r="S921" s="1" t="s">
        <v>27</v>
      </c>
      <c r="T921" s="17" t="s">
        <v>7945</v>
      </c>
      <c r="AF921" s="1">
        <v>0.20399999999999999</v>
      </c>
      <c r="AG921" s="1">
        <v>2.1000000000000001E-2</v>
      </c>
    </row>
    <row r="922" spans="1:33" x14ac:dyDescent="0.2">
      <c r="A922" s="1" t="s">
        <v>9435</v>
      </c>
      <c r="B922" s="1" t="s">
        <v>55</v>
      </c>
      <c r="C922" s="1" t="s">
        <v>236</v>
      </c>
      <c r="E922" s="1">
        <v>35</v>
      </c>
      <c r="F922" s="1" t="s">
        <v>1967</v>
      </c>
      <c r="H922" s="1" t="s">
        <v>9436</v>
      </c>
      <c r="I922" s="1" t="s">
        <v>7</v>
      </c>
      <c r="J922" s="1" t="s">
        <v>1969</v>
      </c>
      <c r="K922" s="1" t="s">
        <v>1970</v>
      </c>
      <c r="L922" s="1" t="s">
        <v>1969</v>
      </c>
      <c r="O922" s="1">
        <v>5</v>
      </c>
      <c r="Q922" s="1">
        <v>2007</v>
      </c>
      <c r="R922" s="1" t="s">
        <v>9385</v>
      </c>
      <c r="S922" s="1" t="s">
        <v>27</v>
      </c>
      <c r="T922" s="17" t="s">
        <v>7945</v>
      </c>
      <c r="AF922" s="1">
        <v>1.6830000000000001</v>
      </c>
      <c r="AG922" s="1">
        <v>0.246</v>
      </c>
    </row>
    <row r="923" spans="1:33" x14ac:dyDescent="0.2">
      <c r="A923" s="1" t="s">
        <v>9437</v>
      </c>
      <c r="B923" s="1" t="s">
        <v>55</v>
      </c>
      <c r="C923" s="1" t="s">
        <v>236</v>
      </c>
      <c r="E923" s="1">
        <v>35</v>
      </c>
      <c r="F923" s="1" t="s">
        <v>1967</v>
      </c>
      <c r="H923" s="1" t="s">
        <v>9438</v>
      </c>
      <c r="I923" s="1" t="s">
        <v>7</v>
      </c>
      <c r="J923" s="1" t="s">
        <v>1969</v>
      </c>
      <c r="K923" s="1" t="s">
        <v>1970</v>
      </c>
      <c r="L923" s="1" t="s">
        <v>1969</v>
      </c>
      <c r="O923" s="1">
        <v>5</v>
      </c>
      <c r="Q923" s="1">
        <v>2007</v>
      </c>
      <c r="R923" s="1" t="s">
        <v>9385</v>
      </c>
      <c r="S923" s="1" t="s">
        <v>27</v>
      </c>
      <c r="T923" s="17" t="s">
        <v>7945</v>
      </c>
      <c r="AF923" s="1">
        <v>0.58299999999999996</v>
      </c>
      <c r="AG923" s="1">
        <v>0.11</v>
      </c>
    </row>
    <row r="924" spans="1:33" x14ac:dyDescent="0.2">
      <c r="A924" s="1" t="s">
        <v>9439</v>
      </c>
      <c r="B924" s="1" t="s">
        <v>55</v>
      </c>
      <c r="C924" s="1" t="s">
        <v>236</v>
      </c>
      <c r="E924" s="1">
        <v>32</v>
      </c>
      <c r="F924" s="1" t="s">
        <v>9440</v>
      </c>
      <c r="H924" s="1" t="s">
        <v>9441</v>
      </c>
      <c r="I924" s="1" t="s">
        <v>7</v>
      </c>
      <c r="J924" s="1" t="s">
        <v>9442</v>
      </c>
      <c r="K924" s="1" t="s">
        <v>9443</v>
      </c>
      <c r="L924" s="1" t="s">
        <v>9442</v>
      </c>
      <c r="O924" s="1">
        <v>5</v>
      </c>
      <c r="Q924" s="1">
        <v>2007</v>
      </c>
      <c r="R924" s="1" t="s">
        <v>9385</v>
      </c>
      <c r="S924" s="1" t="s">
        <v>27</v>
      </c>
      <c r="T924" s="17" t="s">
        <v>7945</v>
      </c>
      <c r="AF924" s="1">
        <v>0.28499999999999998</v>
      </c>
      <c r="AG924" s="1">
        <v>5.0999999999999997E-2</v>
      </c>
    </row>
    <row r="925" spans="1:33" x14ac:dyDescent="0.2">
      <c r="A925" s="1" t="s">
        <v>9444</v>
      </c>
      <c r="B925" s="1" t="s">
        <v>9387</v>
      </c>
      <c r="C925" s="1" t="s">
        <v>9445</v>
      </c>
      <c r="E925" s="1">
        <v>53</v>
      </c>
      <c r="F925" s="1" t="s">
        <v>3878</v>
      </c>
      <c r="H925" s="1" t="s">
        <v>9446</v>
      </c>
      <c r="I925" s="1" t="s">
        <v>7</v>
      </c>
      <c r="J925" s="1" t="s">
        <v>3880</v>
      </c>
      <c r="K925" s="1" t="s">
        <v>3881</v>
      </c>
      <c r="L925" s="1" t="s">
        <v>3880</v>
      </c>
      <c r="O925" s="1">
        <v>5</v>
      </c>
      <c r="Q925" s="1">
        <v>2007</v>
      </c>
      <c r="R925" s="1" t="s">
        <v>9385</v>
      </c>
      <c r="S925" s="1" t="s">
        <v>27</v>
      </c>
      <c r="T925" s="17" t="s">
        <v>7945</v>
      </c>
      <c r="AF925" s="1">
        <v>0.27200000000000002</v>
      </c>
      <c r="AG925" s="1">
        <v>6.7000000000000004E-2</v>
      </c>
    </row>
    <row r="926" spans="1:33" x14ac:dyDescent="0.2">
      <c r="A926" s="1" t="s">
        <v>9447</v>
      </c>
      <c r="B926" s="1" t="s">
        <v>1911</v>
      </c>
      <c r="C926" s="1" t="s">
        <v>236</v>
      </c>
      <c r="E926" s="1">
        <v>43</v>
      </c>
      <c r="F926" s="1" t="s">
        <v>1927</v>
      </c>
      <c r="H926" s="1" t="s">
        <v>9448</v>
      </c>
      <c r="I926" s="1" t="s">
        <v>11</v>
      </c>
      <c r="J926" s="1" t="s">
        <v>1929</v>
      </c>
      <c r="K926" s="1" t="s">
        <v>9449</v>
      </c>
      <c r="L926" s="1" t="s">
        <v>1929</v>
      </c>
      <c r="O926" s="1">
        <v>5</v>
      </c>
      <c r="Q926" s="1">
        <v>2007</v>
      </c>
      <c r="R926" s="1" t="s">
        <v>9385</v>
      </c>
      <c r="S926" s="1" t="s">
        <v>27</v>
      </c>
      <c r="T926" s="17" t="s">
        <v>7945</v>
      </c>
      <c r="AF926" s="1">
        <v>0.16600000000000001</v>
      </c>
      <c r="AG926" s="1">
        <v>3.2000000000000001E-2</v>
      </c>
    </row>
    <row r="927" spans="1:33" x14ac:dyDescent="0.2">
      <c r="A927" s="1" t="s">
        <v>9450</v>
      </c>
      <c r="B927" s="1" t="s">
        <v>55</v>
      </c>
      <c r="C927" s="1" t="s">
        <v>236</v>
      </c>
      <c r="E927" s="1">
        <v>32</v>
      </c>
      <c r="F927" s="1" t="s">
        <v>1790</v>
      </c>
      <c r="H927" s="1" t="s">
        <v>9451</v>
      </c>
      <c r="I927" s="1" t="s">
        <v>7</v>
      </c>
      <c r="J927" s="1" t="s">
        <v>1792</v>
      </c>
      <c r="K927" s="1" t="s">
        <v>9452</v>
      </c>
      <c r="L927" s="1" t="s">
        <v>1792</v>
      </c>
      <c r="O927" s="1">
        <v>5</v>
      </c>
      <c r="Q927" s="1">
        <v>2007</v>
      </c>
      <c r="R927" s="1" t="s">
        <v>9385</v>
      </c>
      <c r="S927" s="1" t="s">
        <v>27</v>
      </c>
      <c r="T927" s="17" t="s">
        <v>7945</v>
      </c>
      <c r="AF927" s="1">
        <v>0.28100000000000003</v>
      </c>
      <c r="AG927" s="1">
        <v>2.4E-2</v>
      </c>
    </row>
    <row r="928" spans="1:33" x14ac:dyDescent="0.2">
      <c r="A928" s="1" t="s">
        <v>9453</v>
      </c>
      <c r="B928" s="1" t="s">
        <v>55</v>
      </c>
      <c r="C928" s="1" t="s">
        <v>236</v>
      </c>
      <c r="E928" s="1">
        <v>32</v>
      </c>
      <c r="F928" s="1" t="s">
        <v>9454</v>
      </c>
      <c r="H928" s="1" t="s">
        <v>9455</v>
      </c>
      <c r="I928" s="1" t="s">
        <v>7</v>
      </c>
      <c r="J928" s="1" t="s">
        <v>9456</v>
      </c>
      <c r="K928" s="1" t="s">
        <v>9457</v>
      </c>
      <c r="L928" s="1" t="s">
        <v>9458</v>
      </c>
      <c r="O928" s="1">
        <v>5</v>
      </c>
      <c r="Q928" s="1">
        <v>2007</v>
      </c>
      <c r="R928" s="1" t="s">
        <v>9385</v>
      </c>
      <c r="S928" s="1" t="s">
        <v>27</v>
      </c>
      <c r="T928" s="17" t="s">
        <v>7945</v>
      </c>
      <c r="AF928" s="1">
        <v>0.16700000000000001</v>
      </c>
      <c r="AG928" s="1">
        <v>1.4E-2</v>
      </c>
    </row>
    <row r="929" spans="1:33" x14ac:dyDescent="0.2">
      <c r="A929" s="1" t="s">
        <v>9459</v>
      </c>
      <c r="B929" s="1" t="s">
        <v>55</v>
      </c>
      <c r="C929" s="1" t="s">
        <v>236</v>
      </c>
      <c r="E929" s="1">
        <v>34</v>
      </c>
      <c r="F929" s="1" t="s">
        <v>9460</v>
      </c>
      <c r="H929" s="1" t="s">
        <v>9461</v>
      </c>
      <c r="I929" s="1" t="s">
        <v>7</v>
      </c>
      <c r="J929" s="1" t="s">
        <v>9462</v>
      </c>
      <c r="K929" s="1" t="s">
        <v>9463</v>
      </c>
      <c r="L929" s="1" t="s">
        <v>9462</v>
      </c>
      <c r="O929" s="1">
        <v>5</v>
      </c>
      <c r="Q929" s="1">
        <v>2007</v>
      </c>
      <c r="R929" s="1" t="s">
        <v>9385</v>
      </c>
      <c r="S929" s="1" t="s">
        <v>27</v>
      </c>
      <c r="T929" s="17" t="s">
        <v>7945</v>
      </c>
      <c r="AF929" s="1">
        <v>0.111</v>
      </c>
      <c r="AG929" s="1">
        <v>1.7000000000000001E-2</v>
      </c>
    </row>
    <row r="930" spans="1:33" x14ac:dyDescent="0.2">
      <c r="A930" s="1" t="s">
        <v>9464</v>
      </c>
      <c r="B930" s="1" t="s">
        <v>55</v>
      </c>
      <c r="C930" s="1" t="s">
        <v>236</v>
      </c>
      <c r="E930" s="1">
        <v>37</v>
      </c>
      <c r="F930" s="1" t="s">
        <v>1600</v>
      </c>
      <c r="H930" s="1" t="s">
        <v>9465</v>
      </c>
      <c r="I930" s="1" t="s">
        <v>7</v>
      </c>
      <c r="J930" s="1" t="s">
        <v>1602</v>
      </c>
      <c r="K930" s="1" t="s">
        <v>1603</v>
      </c>
      <c r="L930" s="1" t="s">
        <v>1602</v>
      </c>
      <c r="O930" s="1">
        <v>5</v>
      </c>
      <c r="Q930" s="1">
        <v>2007</v>
      </c>
      <c r="R930" s="1" t="s">
        <v>9385</v>
      </c>
      <c r="S930" s="1" t="s">
        <v>27</v>
      </c>
      <c r="T930" s="17" t="s">
        <v>7945</v>
      </c>
      <c r="AF930" s="1">
        <v>3.089</v>
      </c>
      <c r="AG930" s="1">
        <v>0.375</v>
      </c>
    </row>
    <row r="931" spans="1:33" x14ac:dyDescent="0.2">
      <c r="A931" s="1" t="s">
        <v>9466</v>
      </c>
      <c r="B931" s="1" t="s">
        <v>55</v>
      </c>
      <c r="C931" s="1" t="s">
        <v>236</v>
      </c>
      <c r="E931" s="1">
        <v>32</v>
      </c>
      <c r="F931" s="1" t="s">
        <v>1595</v>
      </c>
      <c r="H931" s="1" t="s">
        <v>9467</v>
      </c>
      <c r="I931" s="1" t="s">
        <v>7</v>
      </c>
      <c r="J931" s="1" t="s">
        <v>1597</v>
      </c>
      <c r="K931" s="1" t="s">
        <v>1598</v>
      </c>
      <c r="L931" s="1" t="s">
        <v>1597</v>
      </c>
      <c r="O931" s="1">
        <v>5</v>
      </c>
      <c r="Q931" s="1">
        <v>2007</v>
      </c>
      <c r="R931" s="1" t="s">
        <v>9385</v>
      </c>
      <c r="S931" s="1" t="s">
        <v>27</v>
      </c>
      <c r="T931" s="17" t="s">
        <v>7945</v>
      </c>
      <c r="AF931" s="1">
        <v>0.19</v>
      </c>
      <c r="AG931" s="1">
        <v>2.1000000000000001E-2</v>
      </c>
    </row>
    <row r="932" spans="1:33" x14ac:dyDescent="0.2">
      <c r="A932" s="1" t="s">
        <v>9468</v>
      </c>
      <c r="B932" s="1" t="s">
        <v>9387</v>
      </c>
      <c r="C932" s="1" t="s">
        <v>9445</v>
      </c>
      <c r="E932" s="1">
        <v>54</v>
      </c>
      <c r="F932" s="1" t="s">
        <v>1917</v>
      </c>
      <c r="H932" s="1" t="s">
        <v>9469</v>
      </c>
      <c r="I932" s="1" t="s">
        <v>11</v>
      </c>
      <c r="J932" s="1" t="s">
        <v>1919</v>
      </c>
      <c r="K932" s="1" t="s">
        <v>1920</v>
      </c>
      <c r="L932" s="1" t="s">
        <v>1919</v>
      </c>
      <c r="O932" s="1">
        <v>5</v>
      </c>
      <c r="Q932" s="1">
        <v>2007</v>
      </c>
      <c r="R932" s="1" t="s">
        <v>9385</v>
      </c>
      <c r="S932" s="1" t="s">
        <v>27</v>
      </c>
      <c r="T932" s="17" t="s">
        <v>7945</v>
      </c>
      <c r="AF932" s="1">
        <v>0.68400000000000005</v>
      </c>
      <c r="AG932" s="1">
        <v>0.107</v>
      </c>
    </row>
    <row r="933" spans="1:33" x14ac:dyDescent="0.2">
      <c r="A933" s="1" t="s">
        <v>9470</v>
      </c>
      <c r="B933" s="1" t="s">
        <v>55</v>
      </c>
      <c r="C933" s="1" t="s">
        <v>236</v>
      </c>
      <c r="E933" s="1">
        <v>33</v>
      </c>
      <c r="F933" s="1" t="s">
        <v>9471</v>
      </c>
      <c r="H933" s="1" t="s">
        <v>9472</v>
      </c>
      <c r="I933" s="1" t="s">
        <v>7</v>
      </c>
      <c r="J933" s="1" t="s">
        <v>9473</v>
      </c>
      <c r="K933" s="1" t="s">
        <v>9474</v>
      </c>
      <c r="L933" s="1" t="s">
        <v>9475</v>
      </c>
      <c r="O933" s="1">
        <v>5</v>
      </c>
      <c r="Q933" s="1">
        <v>2007</v>
      </c>
      <c r="R933" s="1" t="s">
        <v>9385</v>
      </c>
      <c r="S933" s="1" t="s">
        <v>27</v>
      </c>
      <c r="T933" s="17" t="s">
        <v>7945</v>
      </c>
      <c r="AF933" s="1">
        <v>0.92300000000000004</v>
      </c>
      <c r="AG933" s="1">
        <v>0.13200000000000001</v>
      </c>
    </row>
    <row r="934" spans="1:33" x14ac:dyDescent="0.2">
      <c r="A934" s="1" t="s">
        <v>9476</v>
      </c>
      <c r="B934" s="1" t="s">
        <v>55</v>
      </c>
      <c r="C934" s="1" t="s">
        <v>9477</v>
      </c>
      <c r="D934" s="1" t="s">
        <v>2</v>
      </c>
      <c r="E934" s="1">
        <v>13</v>
      </c>
      <c r="F934" s="1" t="s">
        <v>1265</v>
      </c>
      <c r="H934" s="1" t="s">
        <v>9478</v>
      </c>
      <c r="I934" s="1" t="s">
        <v>7</v>
      </c>
      <c r="J934" s="1" t="s">
        <v>9479</v>
      </c>
      <c r="K934" s="1" t="s">
        <v>1268</v>
      </c>
      <c r="L934" s="1" t="s">
        <v>1267</v>
      </c>
      <c r="O934" s="1">
        <v>5</v>
      </c>
      <c r="Q934" s="1">
        <v>2007</v>
      </c>
      <c r="R934" s="1" t="s">
        <v>9385</v>
      </c>
      <c r="S934" s="1" t="s">
        <v>27</v>
      </c>
      <c r="T934" s="17" t="s">
        <v>7945</v>
      </c>
      <c r="AF934" s="1">
        <v>2.9000000000000001E-2</v>
      </c>
      <c r="AG934" s="1">
        <v>0.13900000000000001</v>
      </c>
    </row>
    <row r="935" spans="1:33" x14ac:dyDescent="0.2">
      <c r="A935" s="1" t="s">
        <v>9480</v>
      </c>
      <c r="B935" s="1" t="s">
        <v>55</v>
      </c>
      <c r="C935" s="1" t="s">
        <v>9411</v>
      </c>
      <c r="D935" s="1" t="s">
        <v>2</v>
      </c>
      <c r="E935" s="1">
        <v>13</v>
      </c>
      <c r="F935" s="1" t="s">
        <v>9481</v>
      </c>
      <c r="H935" s="1" t="s">
        <v>9482</v>
      </c>
      <c r="I935" s="1" t="s">
        <v>7</v>
      </c>
      <c r="J935" s="1" t="s">
        <v>9483</v>
      </c>
      <c r="K935" s="1" t="s">
        <v>9484</v>
      </c>
      <c r="L935" s="1" t="s">
        <v>9483</v>
      </c>
      <c r="O935" s="1">
        <v>5</v>
      </c>
      <c r="Q935" s="1">
        <v>2007</v>
      </c>
      <c r="R935" s="1" t="s">
        <v>9385</v>
      </c>
      <c r="S935" s="1" t="s">
        <v>27</v>
      </c>
      <c r="T935" s="17" t="s">
        <v>7945</v>
      </c>
      <c r="AF935" s="1">
        <v>0.14000000000000001</v>
      </c>
      <c r="AG935" s="1">
        <v>5.7000000000000002E-2</v>
      </c>
    </row>
    <row r="936" spans="1:33" x14ac:dyDescent="0.2">
      <c r="A936" s="1" t="s">
        <v>9485</v>
      </c>
      <c r="B936" s="1" t="s">
        <v>55</v>
      </c>
      <c r="C936" s="1" t="s">
        <v>236</v>
      </c>
      <c r="E936" s="1">
        <v>31</v>
      </c>
      <c r="F936" s="1" t="s">
        <v>9486</v>
      </c>
      <c r="H936" s="1" t="s">
        <v>9487</v>
      </c>
      <c r="I936" s="1" t="s">
        <v>7</v>
      </c>
      <c r="J936" s="1" t="s">
        <v>9488</v>
      </c>
      <c r="K936" s="1" t="s">
        <v>9489</v>
      </c>
      <c r="L936" s="1" t="s">
        <v>9488</v>
      </c>
      <c r="O936" s="1">
        <v>5</v>
      </c>
      <c r="Q936" s="1">
        <v>2007</v>
      </c>
      <c r="R936" s="1" t="s">
        <v>9385</v>
      </c>
      <c r="S936" s="1" t="s">
        <v>27</v>
      </c>
      <c r="T936" s="17" t="s">
        <v>7945</v>
      </c>
      <c r="AF936" s="1">
        <v>0.219</v>
      </c>
      <c r="AG936" s="1">
        <v>3.1E-2</v>
      </c>
    </row>
    <row r="937" spans="1:33" x14ac:dyDescent="0.2">
      <c r="A937" s="1" t="s">
        <v>9490</v>
      </c>
      <c r="B937" s="1" t="s">
        <v>55</v>
      </c>
      <c r="C937" s="1" t="s">
        <v>236</v>
      </c>
      <c r="E937" s="1">
        <v>38</v>
      </c>
      <c r="F937" s="1" t="s">
        <v>1876</v>
      </c>
      <c r="H937" s="1" t="s">
        <v>9491</v>
      </c>
      <c r="I937" s="1" t="s">
        <v>7</v>
      </c>
      <c r="J937" s="1" t="s">
        <v>1880</v>
      </c>
      <c r="K937" s="1" t="s">
        <v>1879</v>
      </c>
      <c r="L937" s="1" t="s">
        <v>1880</v>
      </c>
      <c r="O937" s="1">
        <v>5</v>
      </c>
      <c r="Q937" s="1">
        <v>2007</v>
      </c>
      <c r="R937" s="1" t="s">
        <v>9385</v>
      </c>
      <c r="S937" s="1" t="s">
        <v>27</v>
      </c>
      <c r="T937" s="17" t="s">
        <v>7945</v>
      </c>
      <c r="AF937" s="1">
        <v>0.13500000000000001</v>
      </c>
      <c r="AG937" s="1">
        <v>1.9E-2</v>
      </c>
    </row>
    <row r="938" spans="1:33" x14ac:dyDescent="0.2">
      <c r="A938" s="1" t="s">
        <v>9492</v>
      </c>
      <c r="B938" s="1" t="s">
        <v>55</v>
      </c>
      <c r="C938" s="1" t="s">
        <v>236</v>
      </c>
      <c r="E938" s="1">
        <v>33</v>
      </c>
      <c r="F938" s="1" t="s">
        <v>2283</v>
      </c>
      <c r="H938" s="1" t="s">
        <v>9493</v>
      </c>
      <c r="I938" s="1" t="s">
        <v>7</v>
      </c>
      <c r="J938" s="1" t="s">
        <v>2285</v>
      </c>
      <c r="K938" s="1" t="s">
        <v>2286</v>
      </c>
      <c r="L938" s="1" t="s">
        <v>2285</v>
      </c>
      <c r="O938" s="1">
        <v>5</v>
      </c>
      <c r="Q938" s="1">
        <v>2007</v>
      </c>
      <c r="R938" s="1" t="s">
        <v>9385</v>
      </c>
      <c r="S938" s="1" t="s">
        <v>27</v>
      </c>
      <c r="T938" s="17" t="s">
        <v>7945</v>
      </c>
      <c r="AF938" s="1">
        <v>2.0209999999999999</v>
      </c>
      <c r="AG938" s="1">
        <v>0.35199999999999998</v>
      </c>
    </row>
    <row r="939" spans="1:33" x14ac:dyDescent="0.2">
      <c r="A939" s="1" t="s">
        <v>9494</v>
      </c>
      <c r="B939" s="1" t="s">
        <v>55</v>
      </c>
      <c r="C939" s="1" t="s">
        <v>236</v>
      </c>
      <c r="E939" s="1">
        <v>38</v>
      </c>
      <c r="F939" s="1" t="s">
        <v>9495</v>
      </c>
      <c r="H939" s="1" t="s">
        <v>9496</v>
      </c>
      <c r="I939" s="1" t="s">
        <v>7</v>
      </c>
      <c r="J939" s="1" t="s">
        <v>9497</v>
      </c>
      <c r="K939" s="1" t="s">
        <v>9498</v>
      </c>
      <c r="L939" s="1" t="s">
        <v>9497</v>
      </c>
      <c r="O939" s="1">
        <v>5</v>
      </c>
      <c r="Q939" s="1">
        <v>2007</v>
      </c>
      <c r="R939" s="1" t="s">
        <v>9385</v>
      </c>
      <c r="S939" s="1" t="s">
        <v>27</v>
      </c>
      <c r="T939" s="17" t="s">
        <v>7945</v>
      </c>
      <c r="AF939" s="1">
        <v>0.113</v>
      </c>
      <c r="AG939" s="1">
        <v>2.1000000000000001E-2</v>
      </c>
    </row>
    <row r="940" spans="1:33" x14ac:dyDescent="0.2">
      <c r="A940" s="1" t="s">
        <v>9499</v>
      </c>
      <c r="B940" s="1" t="s">
        <v>55</v>
      </c>
      <c r="C940" s="1" t="s">
        <v>9500</v>
      </c>
      <c r="D940" s="1" t="s">
        <v>2</v>
      </c>
      <c r="E940" s="1">
        <v>23</v>
      </c>
      <c r="F940" s="1" t="s">
        <v>1273</v>
      </c>
      <c r="H940" s="1" t="s">
        <v>9501</v>
      </c>
      <c r="I940" s="1" t="s">
        <v>7</v>
      </c>
      <c r="J940" s="1" t="s">
        <v>1275</v>
      </c>
      <c r="K940" s="1" t="s">
        <v>1276</v>
      </c>
      <c r="L940" s="1" t="s">
        <v>1275</v>
      </c>
      <c r="O940" s="1">
        <v>5</v>
      </c>
      <c r="Q940" s="1">
        <v>2007</v>
      </c>
      <c r="R940" s="1" t="s">
        <v>9385</v>
      </c>
      <c r="S940" s="1" t="s">
        <v>27</v>
      </c>
      <c r="T940" s="17" t="s">
        <v>7945</v>
      </c>
      <c r="AF940" s="1">
        <v>1.704</v>
      </c>
      <c r="AG940" s="1">
        <v>1.4319999999999999</v>
      </c>
    </row>
    <row r="941" spans="1:33" x14ac:dyDescent="0.2">
      <c r="A941" s="1" t="s">
        <v>9502</v>
      </c>
      <c r="B941" s="1" t="s">
        <v>55</v>
      </c>
      <c r="C941" s="1" t="s">
        <v>9503</v>
      </c>
      <c r="D941" s="1" t="s">
        <v>2</v>
      </c>
      <c r="E941" s="1">
        <v>23</v>
      </c>
      <c r="F941" s="1" t="s">
        <v>1273</v>
      </c>
      <c r="H941" s="1" t="s">
        <v>9504</v>
      </c>
      <c r="I941" s="1" t="s">
        <v>7</v>
      </c>
      <c r="J941" s="1" t="s">
        <v>1275</v>
      </c>
      <c r="K941" s="1" t="s">
        <v>1276</v>
      </c>
      <c r="L941" s="1" t="s">
        <v>1275</v>
      </c>
      <c r="O941" s="1">
        <v>5</v>
      </c>
      <c r="Q941" s="1">
        <v>2007</v>
      </c>
      <c r="R941" s="1" t="s">
        <v>9385</v>
      </c>
      <c r="S941" s="1" t="s">
        <v>27</v>
      </c>
      <c r="T941" s="17" t="s">
        <v>7945</v>
      </c>
      <c r="AF941" s="1">
        <v>2.282</v>
      </c>
      <c r="AG941" s="1">
        <v>1.1879999999999999</v>
      </c>
    </row>
    <row r="942" spans="1:33" x14ac:dyDescent="0.2">
      <c r="A942" s="1" t="s">
        <v>9505</v>
      </c>
      <c r="B942" s="1" t="s">
        <v>55</v>
      </c>
      <c r="C942" s="1" t="s">
        <v>236</v>
      </c>
      <c r="E942" s="1">
        <v>34</v>
      </c>
      <c r="F942" s="1" t="s">
        <v>9506</v>
      </c>
      <c r="H942" s="1" t="s">
        <v>9507</v>
      </c>
      <c r="I942" s="1" t="s">
        <v>7</v>
      </c>
      <c r="J942" s="1" t="s">
        <v>9508</v>
      </c>
      <c r="K942" s="1" t="s">
        <v>9509</v>
      </c>
      <c r="L942" s="1" t="s">
        <v>9508</v>
      </c>
      <c r="O942" s="1">
        <v>5</v>
      </c>
      <c r="Q942" s="1">
        <v>2007</v>
      </c>
      <c r="R942" s="1" t="s">
        <v>9385</v>
      </c>
      <c r="S942" s="1" t="s">
        <v>27</v>
      </c>
      <c r="T942" s="17" t="s">
        <v>7945</v>
      </c>
      <c r="AF942" s="1">
        <v>0.371</v>
      </c>
      <c r="AG942" s="1">
        <v>4.8000000000000001E-2</v>
      </c>
    </row>
    <row r="943" spans="1:33" x14ac:dyDescent="0.2">
      <c r="A943" s="1" t="s">
        <v>9510</v>
      </c>
      <c r="B943" s="1" t="s">
        <v>55</v>
      </c>
      <c r="C943" s="1" t="s">
        <v>236</v>
      </c>
      <c r="E943" s="1">
        <v>31</v>
      </c>
      <c r="F943" s="1" t="s">
        <v>1804</v>
      </c>
      <c r="H943" s="1" t="s">
        <v>9511</v>
      </c>
      <c r="I943" s="1" t="s">
        <v>7</v>
      </c>
      <c r="J943" s="1" t="s">
        <v>1806</v>
      </c>
      <c r="K943" s="1" t="s">
        <v>1807</v>
      </c>
      <c r="L943" s="1" t="s">
        <v>1806</v>
      </c>
      <c r="O943" s="1">
        <v>5</v>
      </c>
      <c r="Q943" s="1">
        <v>2007</v>
      </c>
      <c r="R943" s="1" t="s">
        <v>9385</v>
      </c>
      <c r="S943" s="1" t="s">
        <v>27</v>
      </c>
      <c r="T943" s="17" t="s">
        <v>7945</v>
      </c>
      <c r="AF943" s="1">
        <v>0.13700000000000001</v>
      </c>
      <c r="AG943" s="1">
        <v>2.7E-2</v>
      </c>
    </row>
    <row r="944" spans="1:33" x14ac:dyDescent="0.2">
      <c r="A944" s="1" t="s">
        <v>9512</v>
      </c>
      <c r="B944" s="1" t="s">
        <v>55</v>
      </c>
      <c r="C944" s="1" t="s">
        <v>9513</v>
      </c>
      <c r="D944" s="1" t="s">
        <v>2</v>
      </c>
      <c r="E944" s="1">
        <v>31</v>
      </c>
      <c r="F944" s="1" t="s">
        <v>3377</v>
      </c>
      <c r="H944" s="1" t="s">
        <v>9514</v>
      </c>
      <c r="I944" s="1" t="s">
        <v>7</v>
      </c>
      <c r="J944" s="1" t="s">
        <v>3380</v>
      </c>
      <c r="K944" s="1" t="s">
        <v>3379</v>
      </c>
      <c r="L944" s="1" t="s">
        <v>3380</v>
      </c>
      <c r="O944" s="1">
        <v>5</v>
      </c>
      <c r="Q944" s="1">
        <v>2007</v>
      </c>
      <c r="R944" s="1" t="s">
        <v>9385</v>
      </c>
      <c r="S944" s="1" t="s">
        <v>27</v>
      </c>
      <c r="T944" s="17" t="s">
        <v>7945</v>
      </c>
      <c r="AF944" s="1">
        <v>0.125</v>
      </c>
      <c r="AG944" s="1">
        <v>3.7999999999999999E-2</v>
      </c>
    </row>
    <row r="945" spans="1:33" x14ac:dyDescent="0.2">
      <c r="A945" s="1" t="s">
        <v>9515</v>
      </c>
      <c r="B945" s="1" t="s">
        <v>9387</v>
      </c>
      <c r="C945" s="1" t="s">
        <v>236</v>
      </c>
      <c r="E945" s="1">
        <v>55</v>
      </c>
      <c r="F945" s="1" t="s">
        <v>1906</v>
      </c>
      <c r="H945" s="1" t="s">
        <v>9516</v>
      </c>
      <c r="I945" s="1" t="s">
        <v>7</v>
      </c>
      <c r="J945" s="1" t="s">
        <v>1908</v>
      </c>
      <c r="K945" s="1" t="s">
        <v>1909</v>
      </c>
      <c r="L945" s="1" t="s">
        <v>1908</v>
      </c>
      <c r="O945" s="1">
        <v>5</v>
      </c>
      <c r="Q945" s="1">
        <v>2007</v>
      </c>
      <c r="R945" s="1" t="s">
        <v>9385</v>
      </c>
      <c r="S945" s="1" t="s">
        <v>27</v>
      </c>
      <c r="T945" s="17" t="s">
        <v>7945</v>
      </c>
      <c r="AF945" s="1">
        <v>0.31900000000000001</v>
      </c>
      <c r="AG945" s="1">
        <v>0.06</v>
      </c>
    </row>
    <row r="946" spans="1:33" x14ac:dyDescent="0.2">
      <c r="A946" s="1" t="s">
        <v>9517</v>
      </c>
      <c r="B946" s="1" t="s">
        <v>9387</v>
      </c>
      <c r="C946" s="1" t="s">
        <v>236</v>
      </c>
      <c r="E946" s="1">
        <v>55</v>
      </c>
      <c r="F946" s="1" t="s">
        <v>1906</v>
      </c>
      <c r="H946" s="1" t="s">
        <v>9518</v>
      </c>
      <c r="I946" s="1" t="s">
        <v>7</v>
      </c>
      <c r="J946" s="1" t="s">
        <v>1908</v>
      </c>
      <c r="K946" s="1" t="s">
        <v>1909</v>
      </c>
      <c r="L946" s="1" t="s">
        <v>1908</v>
      </c>
      <c r="O946" s="1">
        <v>5</v>
      </c>
      <c r="Q946" s="1">
        <v>2007</v>
      </c>
      <c r="R946" s="1" t="s">
        <v>9385</v>
      </c>
      <c r="S946" s="1" t="s">
        <v>27</v>
      </c>
      <c r="T946" s="17" t="s">
        <v>7945</v>
      </c>
      <c r="AF946" s="1">
        <v>0.14399999999999999</v>
      </c>
      <c r="AG946" s="1">
        <v>2.8000000000000001E-2</v>
      </c>
    </row>
    <row r="947" spans="1:33" x14ac:dyDescent="0.2">
      <c r="A947" s="1" t="s">
        <v>9519</v>
      </c>
      <c r="B947" s="1" t="s">
        <v>55</v>
      </c>
      <c r="C947" s="1" t="s">
        <v>236</v>
      </c>
      <c r="E947" s="1">
        <v>23</v>
      </c>
      <c r="F947" s="1" t="s">
        <v>1471</v>
      </c>
      <c r="H947" s="1" t="s">
        <v>9520</v>
      </c>
      <c r="I947" s="1" t="s">
        <v>11</v>
      </c>
      <c r="J947" s="1" t="s">
        <v>1473</v>
      </c>
      <c r="K947" s="1" t="s">
        <v>1474</v>
      </c>
      <c r="L947" s="1" t="s">
        <v>1473</v>
      </c>
      <c r="O947" s="1">
        <v>5</v>
      </c>
      <c r="Q947" s="1">
        <v>2007</v>
      </c>
      <c r="R947" s="1" t="s">
        <v>9385</v>
      </c>
      <c r="S947" s="1" t="s">
        <v>27</v>
      </c>
      <c r="T947" s="17" t="s">
        <v>7945</v>
      </c>
      <c r="AF947" s="1">
        <v>1.9970000000000001</v>
      </c>
      <c r="AG947" s="1">
        <v>0.84599999999999997</v>
      </c>
    </row>
    <row r="948" spans="1:33" x14ac:dyDescent="0.2">
      <c r="A948" s="1" t="s">
        <v>9521</v>
      </c>
      <c r="B948" s="1" t="s">
        <v>55</v>
      </c>
      <c r="C948" s="1" t="s">
        <v>236</v>
      </c>
      <c r="E948" s="1">
        <v>32</v>
      </c>
      <c r="F948" s="1" t="s">
        <v>9522</v>
      </c>
      <c r="H948" s="1" t="s">
        <v>9523</v>
      </c>
      <c r="I948" s="1" t="s">
        <v>7</v>
      </c>
      <c r="J948" s="1" t="s">
        <v>9524</v>
      </c>
      <c r="K948" s="1" t="s">
        <v>9525</v>
      </c>
      <c r="L948" s="1" t="s">
        <v>9524</v>
      </c>
      <c r="O948" s="1">
        <v>5</v>
      </c>
      <c r="Q948" s="1">
        <v>2007</v>
      </c>
      <c r="R948" s="1" t="s">
        <v>9385</v>
      </c>
      <c r="S948" s="1" t="s">
        <v>27</v>
      </c>
      <c r="T948" s="17" t="s">
        <v>7945</v>
      </c>
      <c r="AF948" s="1">
        <v>0.161</v>
      </c>
      <c r="AG948" s="1">
        <v>2.5000000000000001E-2</v>
      </c>
    </row>
    <row r="949" spans="1:33" x14ac:dyDescent="0.2">
      <c r="A949" s="1" t="s">
        <v>9526</v>
      </c>
      <c r="B949" s="1" t="s">
        <v>55</v>
      </c>
      <c r="C949" s="1" t="s">
        <v>236</v>
      </c>
      <c r="E949" s="1">
        <v>36</v>
      </c>
      <c r="F949" s="1" t="s">
        <v>3093</v>
      </c>
      <c r="H949" s="1" t="s">
        <v>9527</v>
      </c>
      <c r="I949" s="1" t="s">
        <v>7</v>
      </c>
      <c r="J949" s="1" t="s">
        <v>3096</v>
      </c>
      <c r="K949" s="1" t="s">
        <v>3097</v>
      </c>
      <c r="L949" s="1" t="s">
        <v>3096</v>
      </c>
      <c r="O949" s="1">
        <v>5</v>
      </c>
      <c r="Q949" s="1">
        <v>2007</v>
      </c>
      <c r="R949" s="1" t="s">
        <v>9385</v>
      </c>
      <c r="S949" s="1" t="s">
        <v>27</v>
      </c>
      <c r="T949" s="17" t="s">
        <v>7945</v>
      </c>
      <c r="AF949" s="1">
        <v>0.39</v>
      </c>
      <c r="AG949" s="1">
        <v>5.8000000000000003E-2</v>
      </c>
    </row>
    <row r="950" spans="1:33" x14ac:dyDescent="0.2">
      <c r="A950" s="1" t="s">
        <v>9528</v>
      </c>
      <c r="B950" s="1" t="s">
        <v>55</v>
      </c>
      <c r="C950" s="1" t="s">
        <v>9529</v>
      </c>
      <c r="D950" s="1" t="s">
        <v>2</v>
      </c>
      <c r="E950" s="1">
        <v>12</v>
      </c>
      <c r="F950" s="1" t="s">
        <v>1373</v>
      </c>
      <c r="H950" s="1" t="s">
        <v>9530</v>
      </c>
      <c r="I950" s="1" t="s">
        <v>7</v>
      </c>
      <c r="J950" s="1" t="s">
        <v>9531</v>
      </c>
      <c r="K950" s="1" t="s">
        <v>1376</v>
      </c>
      <c r="L950" s="1" t="s">
        <v>1375</v>
      </c>
      <c r="O950" s="1">
        <v>5</v>
      </c>
      <c r="Q950" s="1">
        <v>2007</v>
      </c>
      <c r="R950" s="1" t="s">
        <v>9385</v>
      </c>
      <c r="S950" s="1" t="s">
        <v>27</v>
      </c>
      <c r="T950" s="17" t="s">
        <v>7945</v>
      </c>
      <c r="AF950" s="1">
        <v>0.158</v>
      </c>
      <c r="AG950" s="1">
        <v>0.27800000000000002</v>
      </c>
    </row>
    <row r="951" spans="1:33" x14ac:dyDescent="0.2">
      <c r="A951" s="1" t="s">
        <v>9532</v>
      </c>
      <c r="B951" s="1" t="s">
        <v>55</v>
      </c>
      <c r="C951" s="1" t="s">
        <v>9383</v>
      </c>
      <c r="D951" s="1" t="s">
        <v>2</v>
      </c>
      <c r="E951" s="1">
        <v>23</v>
      </c>
      <c r="F951" s="1" t="s">
        <v>1471</v>
      </c>
      <c r="H951" s="1" t="s">
        <v>2812</v>
      </c>
      <c r="I951" s="1" t="s">
        <v>7</v>
      </c>
      <c r="J951" s="1" t="s">
        <v>1473</v>
      </c>
      <c r="K951" s="1" t="s">
        <v>1474</v>
      </c>
      <c r="L951" s="1" t="s">
        <v>1473</v>
      </c>
      <c r="O951" s="1">
        <v>5</v>
      </c>
      <c r="Q951" s="1">
        <v>2007</v>
      </c>
      <c r="R951" s="1" t="s">
        <v>9385</v>
      </c>
      <c r="S951" s="1" t="s">
        <v>27</v>
      </c>
      <c r="T951" s="17" t="s">
        <v>7945</v>
      </c>
      <c r="AF951" s="1">
        <v>1.718</v>
      </c>
      <c r="AG951" s="1">
        <v>1.026</v>
      </c>
    </row>
    <row r="952" spans="1:33" x14ac:dyDescent="0.2">
      <c r="A952" s="1" t="s">
        <v>9533</v>
      </c>
      <c r="B952" s="1" t="s">
        <v>55</v>
      </c>
      <c r="C952" s="1" t="s">
        <v>9383</v>
      </c>
      <c r="D952" s="1" t="s">
        <v>2</v>
      </c>
      <c r="E952" s="1">
        <v>23</v>
      </c>
      <c r="F952" s="1" t="s">
        <v>1471</v>
      </c>
      <c r="H952" s="1" t="s">
        <v>9534</v>
      </c>
      <c r="I952" s="1" t="s">
        <v>7</v>
      </c>
      <c r="J952" s="1" t="s">
        <v>1473</v>
      </c>
      <c r="K952" s="1" t="s">
        <v>1474</v>
      </c>
      <c r="L952" s="1" t="s">
        <v>1473</v>
      </c>
      <c r="O952" s="1">
        <v>5</v>
      </c>
      <c r="Q952" s="1">
        <v>2007</v>
      </c>
      <c r="R952" s="1" t="s">
        <v>9385</v>
      </c>
      <c r="S952" s="1" t="s">
        <v>27</v>
      </c>
      <c r="T952" s="17" t="s">
        <v>7945</v>
      </c>
      <c r="AF952" s="1">
        <v>1.0229999999999999</v>
      </c>
      <c r="AG952" s="1">
        <v>0.55700000000000005</v>
      </c>
    </row>
    <row r="953" spans="1:33" x14ac:dyDescent="0.2">
      <c r="A953" s="1" t="s">
        <v>9535</v>
      </c>
      <c r="B953" s="1" t="s">
        <v>55</v>
      </c>
      <c r="C953" s="1" t="s">
        <v>9383</v>
      </c>
      <c r="D953" s="1" t="s">
        <v>2</v>
      </c>
      <c r="E953" s="1">
        <v>31</v>
      </c>
      <c r="F953" s="1" t="s">
        <v>2220</v>
      </c>
      <c r="H953" s="1" t="s">
        <v>9536</v>
      </c>
      <c r="I953" s="1" t="s">
        <v>7</v>
      </c>
      <c r="J953" s="1" t="s">
        <v>2222</v>
      </c>
      <c r="K953" s="1" t="s">
        <v>2223</v>
      </c>
      <c r="L953" s="1" t="s">
        <v>2222</v>
      </c>
      <c r="O953" s="1">
        <v>5</v>
      </c>
      <c r="Q953" s="1">
        <v>2007</v>
      </c>
      <c r="R953" s="1" t="s">
        <v>9385</v>
      </c>
      <c r="S953" s="1" t="s">
        <v>27</v>
      </c>
      <c r="T953" s="17" t="s">
        <v>7945</v>
      </c>
      <c r="AF953" s="1">
        <v>1.071</v>
      </c>
      <c r="AG953" s="1">
        <v>0.32300000000000001</v>
      </c>
    </row>
    <row r="954" spans="1:33" x14ac:dyDescent="0.2">
      <c r="A954" s="1" t="s">
        <v>9537</v>
      </c>
      <c r="B954" s="1" t="s">
        <v>55</v>
      </c>
      <c r="C954" s="1" t="s">
        <v>9538</v>
      </c>
      <c r="E954" s="1">
        <v>55</v>
      </c>
      <c r="F954" s="1" t="s">
        <v>9539</v>
      </c>
      <c r="H954" s="1" t="s">
        <v>9540</v>
      </c>
      <c r="I954" s="1" t="s">
        <v>7</v>
      </c>
      <c r="J954" s="1" t="s">
        <v>9541</v>
      </c>
      <c r="K954" s="1" t="s">
        <v>9542</v>
      </c>
      <c r="L954" s="1" t="s">
        <v>9541</v>
      </c>
      <c r="O954" s="1">
        <v>5</v>
      </c>
      <c r="Q954" s="1">
        <v>2007</v>
      </c>
      <c r="R954" s="1" t="s">
        <v>9385</v>
      </c>
      <c r="S954" s="1" t="s">
        <v>27</v>
      </c>
      <c r="T954" s="17" t="s">
        <v>7945</v>
      </c>
      <c r="AF954" s="1">
        <v>0.17100000000000001</v>
      </c>
      <c r="AG954" s="1">
        <v>1.4999999999999999E-2</v>
      </c>
    </row>
    <row r="955" spans="1:33" x14ac:dyDescent="0.2">
      <c r="A955" s="1" t="s">
        <v>9543</v>
      </c>
      <c r="B955" s="1" t="s">
        <v>55</v>
      </c>
      <c r="C955" s="1" t="s">
        <v>1343</v>
      </c>
      <c r="E955" s="1">
        <v>13</v>
      </c>
      <c r="F955" s="1" t="s">
        <v>1265</v>
      </c>
      <c r="H955" s="1" t="s">
        <v>9544</v>
      </c>
      <c r="I955" s="1" t="s">
        <v>7</v>
      </c>
      <c r="J955" s="1" t="s">
        <v>1267</v>
      </c>
      <c r="K955" s="1" t="s">
        <v>1268</v>
      </c>
      <c r="L955" s="1" t="s">
        <v>1267</v>
      </c>
      <c r="N955" s="1" t="s">
        <v>9545</v>
      </c>
      <c r="O955" s="1">
        <v>7</v>
      </c>
      <c r="Q955" s="1">
        <v>2013</v>
      </c>
      <c r="R955" s="1" t="s">
        <v>9546</v>
      </c>
      <c r="S955" s="1" t="s">
        <v>27</v>
      </c>
      <c r="T955" s="17" t="s">
        <v>7945</v>
      </c>
    </row>
    <row r="956" spans="1:33" x14ac:dyDescent="0.2">
      <c r="A956" s="1" t="s">
        <v>9547</v>
      </c>
      <c r="B956" s="1" t="s">
        <v>55</v>
      </c>
      <c r="C956" s="1" t="s">
        <v>4373</v>
      </c>
      <c r="D956" s="1" t="s">
        <v>2</v>
      </c>
      <c r="E956" s="1">
        <v>13</v>
      </c>
      <c r="F956" s="1" t="s">
        <v>1265</v>
      </c>
      <c r="H956" s="1" t="s">
        <v>9548</v>
      </c>
      <c r="I956" s="1" t="s">
        <v>7</v>
      </c>
      <c r="J956" s="1" t="s">
        <v>1267</v>
      </c>
      <c r="K956" s="1" t="s">
        <v>1268</v>
      </c>
      <c r="L956" s="1" t="s">
        <v>1267</v>
      </c>
      <c r="M956" s="1" t="s">
        <v>9549</v>
      </c>
      <c r="N956" s="1" t="s">
        <v>9550</v>
      </c>
      <c r="Q956" s="1">
        <v>2012</v>
      </c>
      <c r="R956" s="1" t="s">
        <v>9551</v>
      </c>
      <c r="S956" s="1" t="s">
        <v>27</v>
      </c>
      <c r="T956" s="17" t="s">
        <v>7945</v>
      </c>
    </row>
    <row r="957" spans="1:33" x14ac:dyDescent="0.2">
      <c r="A957" s="1" t="s">
        <v>9552</v>
      </c>
      <c r="B957" s="1" t="s">
        <v>55</v>
      </c>
      <c r="G957" s="1" t="s">
        <v>9553</v>
      </c>
      <c r="H957" s="1" t="s">
        <v>9554</v>
      </c>
      <c r="I957" s="1" t="s">
        <v>7</v>
      </c>
      <c r="O957" s="1">
        <v>2</v>
      </c>
      <c r="Q957" s="1">
        <v>1984</v>
      </c>
      <c r="R957" s="1" t="s">
        <v>9555</v>
      </c>
      <c r="S957" s="1" t="s">
        <v>27</v>
      </c>
      <c r="T957" s="17" t="s">
        <v>7945</v>
      </c>
    </row>
    <row r="958" spans="1:33" x14ac:dyDescent="0.2">
      <c r="A958" s="1" t="s">
        <v>9556</v>
      </c>
      <c r="B958" s="1" t="s">
        <v>55</v>
      </c>
      <c r="G958" s="1" t="s">
        <v>9557</v>
      </c>
      <c r="H958" s="1" t="s">
        <v>9558</v>
      </c>
      <c r="I958" s="1" t="s">
        <v>11</v>
      </c>
      <c r="O958" s="1">
        <v>2</v>
      </c>
      <c r="Q958" s="1">
        <v>1984</v>
      </c>
      <c r="R958" s="1" t="s">
        <v>9555</v>
      </c>
      <c r="S958" s="1" t="s">
        <v>27</v>
      </c>
      <c r="T958" s="17" t="s">
        <v>7945</v>
      </c>
    </row>
    <row r="959" spans="1:33" x14ac:dyDescent="0.2">
      <c r="A959" s="1" t="s">
        <v>9559</v>
      </c>
      <c r="B959" s="1" t="s">
        <v>55</v>
      </c>
      <c r="G959" s="1" t="s">
        <v>9560</v>
      </c>
      <c r="H959" s="1" t="s">
        <v>9561</v>
      </c>
      <c r="I959" s="1" t="s">
        <v>11</v>
      </c>
      <c r="N959" s="1" t="s">
        <v>9562</v>
      </c>
      <c r="O959" s="1">
        <v>2</v>
      </c>
      <c r="Q959" s="1">
        <v>1984</v>
      </c>
      <c r="R959" s="1" t="s">
        <v>9555</v>
      </c>
      <c r="S959" s="1" t="s">
        <v>27</v>
      </c>
      <c r="T959" s="17" t="s">
        <v>7945</v>
      </c>
    </row>
    <row r="960" spans="1:33" x14ac:dyDescent="0.2">
      <c r="A960" s="1" t="s">
        <v>9563</v>
      </c>
      <c r="B960" s="1" t="s">
        <v>55</v>
      </c>
      <c r="G960" s="1" t="s">
        <v>9564</v>
      </c>
      <c r="H960" s="1" t="s">
        <v>9565</v>
      </c>
      <c r="I960" s="1" t="s">
        <v>11</v>
      </c>
      <c r="O960" s="1">
        <v>2</v>
      </c>
      <c r="Q960" s="1">
        <v>1984</v>
      </c>
      <c r="R960" s="1" t="s">
        <v>9555</v>
      </c>
      <c r="S960" s="1" t="s">
        <v>27</v>
      </c>
      <c r="T960" s="17" t="s">
        <v>7945</v>
      </c>
    </row>
    <row r="961" spans="1:20" x14ac:dyDescent="0.2">
      <c r="A961" s="1" t="s">
        <v>9566</v>
      </c>
      <c r="B961" s="1" t="s">
        <v>55</v>
      </c>
      <c r="G961" s="1" t="s">
        <v>9567</v>
      </c>
      <c r="H961" s="1" t="s">
        <v>9568</v>
      </c>
      <c r="I961" s="1" t="s">
        <v>11</v>
      </c>
      <c r="O961" s="1">
        <v>1</v>
      </c>
      <c r="Q961" s="1">
        <v>1984</v>
      </c>
      <c r="R961" s="1" t="s">
        <v>9555</v>
      </c>
      <c r="S961" s="1" t="s">
        <v>27</v>
      </c>
      <c r="T961" s="17" t="s">
        <v>7945</v>
      </c>
    </row>
    <row r="962" spans="1:20" x14ac:dyDescent="0.2">
      <c r="A962" s="1" t="s">
        <v>9569</v>
      </c>
      <c r="B962" s="1" t="s">
        <v>55</v>
      </c>
      <c r="G962" s="1" t="s">
        <v>9570</v>
      </c>
      <c r="H962" s="1" t="s">
        <v>9571</v>
      </c>
      <c r="I962" s="1" t="s">
        <v>11</v>
      </c>
      <c r="O962" s="1">
        <v>2</v>
      </c>
      <c r="Q962" s="1">
        <v>1984</v>
      </c>
      <c r="R962" s="1" t="s">
        <v>9555</v>
      </c>
      <c r="S962" s="1" t="s">
        <v>27</v>
      </c>
      <c r="T962" s="17" t="s">
        <v>7945</v>
      </c>
    </row>
    <row r="963" spans="1:20" x14ac:dyDescent="0.2">
      <c r="A963" s="1" t="s">
        <v>9572</v>
      </c>
      <c r="B963" s="1" t="s">
        <v>55</v>
      </c>
      <c r="G963" s="1" t="s">
        <v>9573</v>
      </c>
      <c r="H963" s="1" t="s">
        <v>9574</v>
      </c>
      <c r="I963" s="1" t="s">
        <v>11</v>
      </c>
      <c r="O963" s="1">
        <v>2</v>
      </c>
      <c r="Q963" s="1">
        <v>1984</v>
      </c>
      <c r="R963" s="1" t="s">
        <v>9555</v>
      </c>
      <c r="S963" s="1" t="s">
        <v>27</v>
      </c>
      <c r="T963" s="17" t="s">
        <v>7945</v>
      </c>
    </row>
    <row r="964" spans="1:20" x14ac:dyDescent="0.2">
      <c r="A964" s="1" t="s">
        <v>9575</v>
      </c>
      <c r="B964" s="1" t="s">
        <v>55</v>
      </c>
      <c r="G964" s="1" t="s">
        <v>9576</v>
      </c>
      <c r="H964" s="1" t="s">
        <v>9577</v>
      </c>
      <c r="I964" s="1" t="s">
        <v>7</v>
      </c>
      <c r="O964" s="1">
        <v>2</v>
      </c>
      <c r="Q964" s="1">
        <v>1984</v>
      </c>
      <c r="R964" s="1" t="s">
        <v>9555</v>
      </c>
      <c r="S964" s="1" t="s">
        <v>27</v>
      </c>
      <c r="T964" s="17" t="s">
        <v>7945</v>
      </c>
    </row>
    <row r="965" spans="1:20" x14ac:dyDescent="0.2">
      <c r="A965" s="1" t="s">
        <v>9578</v>
      </c>
      <c r="B965" s="1" t="s">
        <v>55</v>
      </c>
      <c r="G965" s="1" t="s">
        <v>9579</v>
      </c>
      <c r="H965" s="1" t="s">
        <v>9580</v>
      </c>
      <c r="I965" s="1" t="s">
        <v>7</v>
      </c>
      <c r="O965" s="1">
        <v>2</v>
      </c>
      <c r="Q965" s="1">
        <v>1984</v>
      </c>
      <c r="R965" s="1" t="s">
        <v>9555</v>
      </c>
      <c r="S965" s="1" t="s">
        <v>27</v>
      </c>
      <c r="T965" s="17" t="s">
        <v>7945</v>
      </c>
    </row>
    <row r="966" spans="1:20" x14ac:dyDescent="0.2">
      <c r="A966" s="1" t="s">
        <v>9581</v>
      </c>
      <c r="B966" s="1" t="s">
        <v>55</v>
      </c>
      <c r="G966" s="1" t="s">
        <v>9582</v>
      </c>
      <c r="H966" s="1" t="s">
        <v>9583</v>
      </c>
      <c r="I966" s="1" t="s">
        <v>11</v>
      </c>
      <c r="O966" s="1">
        <v>2</v>
      </c>
      <c r="Q966" s="1">
        <v>1984</v>
      </c>
      <c r="R966" s="1" t="s">
        <v>9555</v>
      </c>
      <c r="S966" s="1" t="s">
        <v>27</v>
      </c>
      <c r="T966" s="17" t="s">
        <v>7945</v>
      </c>
    </row>
    <row r="967" spans="1:20" x14ac:dyDescent="0.2">
      <c r="A967" s="1" t="s">
        <v>9584</v>
      </c>
      <c r="B967" s="1" t="s">
        <v>55</v>
      </c>
      <c r="G967" s="1" t="s">
        <v>9585</v>
      </c>
      <c r="H967" s="1" t="s">
        <v>9586</v>
      </c>
      <c r="I967" s="1" t="s">
        <v>7</v>
      </c>
      <c r="O967" s="1">
        <v>2</v>
      </c>
      <c r="Q967" s="1">
        <v>1984</v>
      </c>
      <c r="R967" s="1" t="s">
        <v>9555</v>
      </c>
      <c r="S967" s="1" t="s">
        <v>27</v>
      </c>
      <c r="T967" s="17" t="s">
        <v>7945</v>
      </c>
    </row>
    <row r="968" spans="1:20" x14ac:dyDescent="0.2">
      <c r="A968" s="1" t="s">
        <v>9587</v>
      </c>
      <c r="B968" s="1" t="s">
        <v>55</v>
      </c>
      <c r="G968" s="1" t="s">
        <v>9588</v>
      </c>
      <c r="H968" s="1" t="s">
        <v>9589</v>
      </c>
      <c r="I968" s="1" t="s">
        <v>7</v>
      </c>
      <c r="O968" s="1">
        <v>2</v>
      </c>
      <c r="Q968" s="1">
        <v>1984</v>
      </c>
      <c r="R968" s="1" t="s">
        <v>9555</v>
      </c>
      <c r="S968" s="1" t="s">
        <v>27</v>
      </c>
      <c r="T968" s="17" t="s">
        <v>7945</v>
      </c>
    </row>
    <row r="969" spans="1:20" x14ac:dyDescent="0.2">
      <c r="A969" s="1" t="s">
        <v>9590</v>
      </c>
      <c r="B969" s="1" t="s">
        <v>55</v>
      </c>
      <c r="G969" s="1" t="s">
        <v>9591</v>
      </c>
      <c r="H969" s="1" t="s">
        <v>1974</v>
      </c>
      <c r="I969" s="1" t="s">
        <v>11</v>
      </c>
      <c r="O969" s="1">
        <v>2</v>
      </c>
      <c r="Q969" s="1">
        <v>1984</v>
      </c>
      <c r="R969" s="1" t="s">
        <v>9555</v>
      </c>
      <c r="S969" s="1" t="s">
        <v>27</v>
      </c>
      <c r="T969" s="17" t="s">
        <v>7945</v>
      </c>
    </row>
    <row r="970" spans="1:20" x14ac:dyDescent="0.2">
      <c r="A970" s="1" t="s">
        <v>9592</v>
      </c>
      <c r="B970" s="1" t="s">
        <v>55</v>
      </c>
      <c r="G970" s="1" t="s">
        <v>9593</v>
      </c>
      <c r="H970" s="1" t="s">
        <v>1972</v>
      </c>
      <c r="I970" s="1" t="s">
        <v>11</v>
      </c>
      <c r="O970" s="1">
        <v>3</v>
      </c>
      <c r="Q970" s="1">
        <v>1984</v>
      </c>
      <c r="R970" s="1" t="s">
        <v>9555</v>
      </c>
      <c r="S970" s="1" t="s">
        <v>27</v>
      </c>
      <c r="T970" s="17" t="s">
        <v>7945</v>
      </c>
    </row>
    <row r="971" spans="1:20" x14ac:dyDescent="0.2">
      <c r="A971" s="1" t="s">
        <v>9594</v>
      </c>
      <c r="B971" s="1" t="s">
        <v>55</v>
      </c>
      <c r="G971" s="1" t="s">
        <v>9595</v>
      </c>
      <c r="H971" s="1" t="s">
        <v>9596</v>
      </c>
      <c r="I971" s="1" t="s">
        <v>11</v>
      </c>
      <c r="O971" s="1">
        <v>1</v>
      </c>
      <c r="Q971" s="1">
        <v>1984</v>
      </c>
      <c r="R971" s="1" t="s">
        <v>9555</v>
      </c>
      <c r="S971" s="1" t="s">
        <v>27</v>
      </c>
      <c r="T971" s="17" t="s">
        <v>7945</v>
      </c>
    </row>
    <row r="972" spans="1:20" x14ac:dyDescent="0.2">
      <c r="A972" s="1" t="s">
        <v>9597</v>
      </c>
      <c r="B972" s="1" t="s">
        <v>1911</v>
      </c>
      <c r="G972" s="1" t="s">
        <v>9598</v>
      </c>
      <c r="H972" s="1" t="s">
        <v>9599</v>
      </c>
      <c r="I972" s="1" t="s">
        <v>7</v>
      </c>
      <c r="O972" s="1">
        <v>3</v>
      </c>
      <c r="Q972" s="1">
        <v>1984</v>
      </c>
      <c r="R972" s="1" t="s">
        <v>9555</v>
      </c>
      <c r="S972" s="1" t="s">
        <v>27</v>
      </c>
      <c r="T972" s="17" t="s">
        <v>7945</v>
      </c>
    </row>
    <row r="973" spans="1:20" x14ac:dyDescent="0.2">
      <c r="A973" s="1" t="s">
        <v>9600</v>
      </c>
      <c r="B973" s="1" t="s">
        <v>55</v>
      </c>
      <c r="G973" s="1" t="s">
        <v>9601</v>
      </c>
      <c r="H973" s="1" t="s">
        <v>9602</v>
      </c>
      <c r="I973" s="1" t="s">
        <v>7</v>
      </c>
      <c r="O973" s="1">
        <v>2</v>
      </c>
      <c r="Q973" s="1">
        <v>1984</v>
      </c>
      <c r="R973" s="1" t="s">
        <v>9555</v>
      </c>
      <c r="S973" s="1" t="s">
        <v>27</v>
      </c>
      <c r="T973" s="17" t="s">
        <v>7945</v>
      </c>
    </row>
    <row r="974" spans="1:20" x14ac:dyDescent="0.2">
      <c r="A974" s="1" t="s">
        <v>9603</v>
      </c>
      <c r="B974" s="1" t="s">
        <v>55</v>
      </c>
      <c r="G974" s="1" t="s">
        <v>9604</v>
      </c>
      <c r="H974" s="1" t="s">
        <v>9605</v>
      </c>
      <c r="I974" s="1" t="s">
        <v>11</v>
      </c>
      <c r="O974" s="1">
        <v>2</v>
      </c>
      <c r="Q974" s="1">
        <v>1984</v>
      </c>
      <c r="R974" s="1" t="s">
        <v>9555</v>
      </c>
      <c r="S974" s="1" t="s">
        <v>27</v>
      </c>
      <c r="T974" s="17" t="s">
        <v>7945</v>
      </c>
    </row>
    <row r="975" spans="1:20" x14ac:dyDescent="0.2">
      <c r="A975" s="1" t="s">
        <v>9606</v>
      </c>
      <c r="B975" s="1" t="s">
        <v>55</v>
      </c>
      <c r="G975" s="1" t="s">
        <v>9607</v>
      </c>
      <c r="H975" s="1" t="s">
        <v>9608</v>
      </c>
      <c r="I975" s="1" t="s">
        <v>11</v>
      </c>
      <c r="O975" s="1">
        <v>2</v>
      </c>
      <c r="Q975" s="1">
        <v>1984</v>
      </c>
      <c r="R975" s="1" t="s">
        <v>9555</v>
      </c>
      <c r="S975" s="1" t="s">
        <v>27</v>
      </c>
      <c r="T975" s="17" t="s">
        <v>7945</v>
      </c>
    </row>
    <row r="976" spans="1:20" x14ac:dyDescent="0.2">
      <c r="A976" s="1" t="s">
        <v>9609</v>
      </c>
      <c r="B976" s="1" t="s">
        <v>55</v>
      </c>
      <c r="G976" s="1" t="s">
        <v>9610</v>
      </c>
      <c r="H976" s="1" t="s">
        <v>9611</v>
      </c>
      <c r="I976" s="1" t="s">
        <v>7</v>
      </c>
      <c r="O976" s="1">
        <v>2</v>
      </c>
      <c r="Q976" s="1">
        <v>1984</v>
      </c>
      <c r="R976" s="1" t="s">
        <v>9555</v>
      </c>
      <c r="S976" s="1" t="s">
        <v>27</v>
      </c>
      <c r="T976" s="17" t="s">
        <v>7945</v>
      </c>
    </row>
    <row r="977" spans="1:20" x14ac:dyDescent="0.2">
      <c r="A977" s="1" t="s">
        <v>9612</v>
      </c>
      <c r="B977" s="1" t="s">
        <v>55</v>
      </c>
      <c r="G977" s="1" t="s">
        <v>9613</v>
      </c>
      <c r="H977" s="1" t="s">
        <v>9614</v>
      </c>
      <c r="I977" s="1" t="s">
        <v>11</v>
      </c>
      <c r="O977" s="1">
        <v>1</v>
      </c>
      <c r="Q977" s="1">
        <v>1984</v>
      </c>
      <c r="R977" s="1" t="s">
        <v>9555</v>
      </c>
      <c r="S977" s="1" t="s">
        <v>27</v>
      </c>
      <c r="T977" s="17" t="s">
        <v>7945</v>
      </c>
    </row>
    <row r="978" spans="1:20" x14ac:dyDescent="0.2">
      <c r="A978" s="1" t="s">
        <v>9615</v>
      </c>
      <c r="B978" s="1" t="s">
        <v>55</v>
      </c>
      <c r="G978" s="1" t="s">
        <v>9616</v>
      </c>
      <c r="H978" s="1" t="s">
        <v>1968</v>
      </c>
      <c r="I978" s="1" t="s">
        <v>11</v>
      </c>
      <c r="O978" s="1">
        <v>3</v>
      </c>
      <c r="Q978" s="1">
        <v>1984</v>
      </c>
      <c r="R978" s="1" t="s">
        <v>9555</v>
      </c>
      <c r="S978" s="1" t="s">
        <v>27</v>
      </c>
      <c r="T978" s="17" t="s">
        <v>7945</v>
      </c>
    </row>
    <row r="979" spans="1:20" x14ac:dyDescent="0.2">
      <c r="A979" s="1" t="s">
        <v>9617</v>
      </c>
      <c r="B979" s="1" t="s">
        <v>55</v>
      </c>
      <c r="G979" s="1" t="s">
        <v>9618</v>
      </c>
      <c r="H979" s="1" t="s">
        <v>9619</v>
      </c>
      <c r="I979" s="1" t="s">
        <v>11</v>
      </c>
      <c r="O979" s="1">
        <v>2</v>
      </c>
      <c r="Q979" s="1">
        <v>1984</v>
      </c>
      <c r="R979" s="1" t="s">
        <v>9555</v>
      </c>
      <c r="S979" s="1" t="s">
        <v>27</v>
      </c>
      <c r="T979" s="17" t="s">
        <v>7945</v>
      </c>
    </row>
    <row r="980" spans="1:20" x14ac:dyDescent="0.2">
      <c r="A980" s="1" t="s">
        <v>9620</v>
      </c>
      <c r="B980" s="1" t="s">
        <v>55</v>
      </c>
      <c r="G980" s="1" t="s">
        <v>9621</v>
      </c>
      <c r="H980" s="1" t="s">
        <v>9622</v>
      </c>
      <c r="I980" s="1" t="s">
        <v>7</v>
      </c>
      <c r="O980" s="1">
        <v>2</v>
      </c>
      <c r="Q980" s="1">
        <v>1984</v>
      </c>
      <c r="R980" s="1" t="s">
        <v>9555</v>
      </c>
      <c r="S980" s="1" t="s">
        <v>27</v>
      </c>
      <c r="T980" s="17" t="s">
        <v>7945</v>
      </c>
    </row>
    <row r="981" spans="1:20" x14ac:dyDescent="0.2">
      <c r="A981" s="1" t="s">
        <v>9623</v>
      </c>
      <c r="B981" s="1" t="s">
        <v>55</v>
      </c>
      <c r="G981" s="1" t="s">
        <v>6539</v>
      </c>
      <c r="H981" s="1" t="s">
        <v>9624</v>
      </c>
      <c r="I981" s="1" t="s">
        <v>7</v>
      </c>
      <c r="O981" s="1">
        <v>2</v>
      </c>
      <c r="Q981" s="1">
        <v>1984</v>
      </c>
      <c r="R981" s="1" t="s">
        <v>9555</v>
      </c>
      <c r="S981" s="1" t="s">
        <v>27</v>
      </c>
      <c r="T981" s="17" t="s">
        <v>7945</v>
      </c>
    </row>
    <row r="982" spans="1:20" x14ac:dyDescent="0.2">
      <c r="A982" s="1" t="s">
        <v>9625</v>
      </c>
      <c r="B982" s="1" t="s">
        <v>55</v>
      </c>
      <c r="G982" s="1" t="s">
        <v>9626</v>
      </c>
      <c r="H982" s="1" t="s">
        <v>9627</v>
      </c>
      <c r="I982" s="1" t="s">
        <v>11</v>
      </c>
      <c r="O982" s="1">
        <v>1</v>
      </c>
      <c r="Q982" s="1">
        <v>1984</v>
      </c>
      <c r="R982" s="1" t="s">
        <v>9555</v>
      </c>
      <c r="S982" s="1" t="s">
        <v>27</v>
      </c>
      <c r="T982" s="17" t="s">
        <v>7945</v>
      </c>
    </row>
    <row r="983" spans="1:20" x14ac:dyDescent="0.2">
      <c r="A983" s="1" t="s">
        <v>9628</v>
      </c>
      <c r="B983" s="1" t="s">
        <v>55</v>
      </c>
      <c r="G983" s="1" t="s">
        <v>9629</v>
      </c>
      <c r="H983" s="1" t="s">
        <v>9630</v>
      </c>
      <c r="I983" s="1" t="s">
        <v>11</v>
      </c>
      <c r="O983" s="1">
        <v>1</v>
      </c>
      <c r="Q983" s="1">
        <v>1984</v>
      </c>
      <c r="R983" s="1" t="s">
        <v>9555</v>
      </c>
      <c r="S983" s="1" t="s">
        <v>27</v>
      </c>
      <c r="T983" s="17" t="s">
        <v>7945</v>
      </c>
    </row>
    <row r="984" spans="1:20" x14ac:dyDescent="0.2">
      <c r="A984" s="1" t="s">
        <v>9631</v>
      </c>
      <c r="B984" s="1" t="s">
        <v>55</v>
      </c>
      <c r="G984" s="1" t="s">
        <v>9632</v>
      </c>
      <c r="H984" s="1" t="s">
        <v>9633</v>
      </c>
      <c r="I984" s="1" t="s">
        <v>11</v>
      </c>
      <c r="O984" s="1">
        <v>2</v>
      </c>
      <c r="Q984" s="1">
        <v>1984</v>
      </c>
      <c r="R984" s="1" t="s">
        <v>9555</v>
      </c>
      <c r="S984" s="1" t="s">
        <v>27</v>
      </c>
      <c r="T984" s="17" t="s">
        <v>7945</v>
      </c>
    </row>
    <row r="985" spans="1:20" x14ac:dyDescent="0.2">
      <c r="A985" s="1" t="s">
        <v>9634</v>
      </c>
      <c r="B985" s="1" t="s">
        <v>55</v>
      </c>
      <c r="G985" s="1" t="s">
        <v>9635</v>
      </c>
      <c r="H985" s="1" t="s">
        <v>9636</v>
      </c>
      <c r="I985" s="1" t="s">
        <v>11</v>
      </c>
      <c r="O985" s="1">
        <v>1</v>
      </c>
      <c r="Q985" s="1">
        <v>1984</v>
      </c>
      <c r="R985" s="1" t="s">
        <v>9555</v>
      </c>
      <c r="S985" s="1" t="s">
        <v>27</v>
      </c>
      <c r="T985" s="17" t="s">
        <v>7945</v>
      </c>
    </row>
    <row r="986" spans="1:20" x14ac:dyDescent="0.2">
      <c r="A986" s="1" t="s">
        <v>9637</v>
      </c>
      <c r="B986" s="1" t="s">
        <v>55</v>
      </c>
      <c r="G986" s="1" t="s">
        <v>9638</v>
      </c>
      <c r="H986" s="1" t="s">
        <v>9639</v>
      </c>
      <c r="I986" s="1" t="s">
        <v>11</v>
      </c>
      <c r="O986" s="1">
        <v>1</v>
      </c>
      <c r="Q986" s="1">
        <v>1984</v>
      </c>
      <c r="R986" s="1" t="s">
        <v>9555</v>
      </c>
      <c r="S986" s="1" t="s">
        <v>27</v>
      </c>
      <c r="T986" s="17" t="s">
        <v>7945</v>
      </c>
    </row>
  </sheetData>
  <pageMargins left="0.7" right="0.7" top="0.75" bottom="0.75" header="0.3" footer="0.3"/>
  <ignoredErrors>
    <ignoredError sqref="A4:A773 A778:A881 A775:A776 A774 A77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Q4"/>
  <sheetViews>
    <sheetView workbookViewId="0"/>
  </sheetViews>
  <sheetFormatPr baseColWidth="10" defaultColWidth="11.5" defaultRowHeight="14" x14ac:dyDescent="0.2"/>
  <cols>
    <col min="1" max="16384" width="11.5" style="1"/>
  </cols>
  <sheetData>
    <row r="1" spans="1:95" s="4" customFormat="1" ht="58.5" customHeight="1" x14ac:dyDescent="0.15">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73</v>
      </c>
      <c r="P1" s="4" t="s">
        <v>74</v>
      </c>
      <c r="Q1" s="4" t="s">
        <v>6193</v>
      </c>
      <c r="R1" s="4" t="s">
        <v>246</v>
      </c>
      <c r="S1" s="4" t="s">
        <v>76</v>
      </c>
      <c r="T1" s="4" t="s">
        <v>77</v>
      </c>
      <c r="U1" s="4" t="s">
        <v>78</v>
      </c>
      <c r="V1" s="4" t="s">
        <v>79</v>
      </c>
      <c r="W1" s="4" t="s">
        <v>80</v>
      </c>
      <c r="X1" s="4" t="s">
        <v>81</v>
      </c>
      <c r="Y1" s="4" t="s">
        <v>82</v>
      </c>
      <c r="Z1" s="4" t="s">
        <v>83</v>
      </c>
      <c r="AA1" s="4" t="s">
        <v>84</v>
      </c>
      <c r="AB1" s="4" t="s">
        <v>85</v>
      </c>
      <c r="AC1" s="4" t="s">
        <v>86</v>
      </c>
      <c r="AD1" s="4" t="s">
        <v>87</v>
      </c>
      <c r="AE1" s="4" t="s">
        <v>88</v>
      </c>
      <c r="AF1" s="4" t="s">
        <v>89</v>
      </c>
      <c r="AG1" s="4" t="s">
        <v>90</v>
      </c>
      <c r="AH1" s="4" t="s">
        <v>91</v>
      </c>
      <c r="AI1" s="4" t="s">
        <v>92</v>
      </c>
      <c r="AJ1" s="4" t="s">
        <v>93</v>
      </c>
      <c r="AK1" s="4" t="s">
        <v>94</v>
      </c>
      <c r="AL1" s="4" t="s">
        <v>95</v>
      </c>
      <c r="AM1" s="4" t="s">
        <v>96</v>
      </c>
      <c r="AN1" s="4" t="s">
        <v>97</v>
      </c>
      <c r="AO1" s="4" t="s">
        <v>98</v>
      </c>
      <c r="AP1" s="4" t="s">
        <v>99</v>
      </c>
      <c r="AQ1" s="4" t="s">
        <v>100</v>
      </c>
      <c r="AR1" s="4" t="s">
        <v>101</v>
      </c>
      <c r="AS1" s="4" t="s">
        <v>102</v>
      </c>
      <c r="AT1" s="4" t="s">
        <v>103</v>
      </c>
      <c r="AU1" s="4" t="s">
        <v>104</v>
      </c>
      <c r="AV1" s="4" t="s">
        <v>105</v>
      </c>
      <c r="AW1" s="4" t="s">
        <v>106</v>
      </c>
      <c r="AX1" s="4" t="s">
        <v>107</v>
      </c>
      <c r="AY1" s="4" t="s">
        <v>108</v>
      </c>
      <c r="AZ1" s="4" t="s">
        <v>109</v>
      </c>
      <c r="BA1" s="4" t="s">
        <v>110</v>
      </c>
      <c r="BB1" s="4" t="s">
        <v>111</v>
      </c>
      <c r="BC1" s="4" t="s">
        <v>112</v>
      </c>
      <c r="BD1" s="4" t="s">
        <v>113</v>
      </c>
      <c r="BE1" s="4" t="s">
        <v>114</v>
      </c>
      <c r="BF1" s="4" t="s">
        <v>115</v>
      </c>
      <c r="BG1" s="4" t="s">
        <v>116</v>
      </c>
      <c r="BH1" s="4" t="s">
        <v>117</v>
      </c>
      <c r="BI1" s="4" t="s">
        <v>118</v>
      </c>
      <c r="BJ1" s="4" t="s">
        <v>119</v>
      </c>
      <c r="BK1" s="4" t="s">
        <v>120</v>
      </c>
      <c r="BL1" s="4" t="s">
        <v>121</v>
      </c>
      <c r="BM1" s="4" t="s">
        <v>122</v>
      </c>
      <c r="BN1" s="4" t="s">
        <v>123</v>
      </c>
      <c r="BO1" s="4" t="s">
        <v>124</v>
      </c>
      <c r="BP1" s="4" t="s">
        <v>125</v>
      </c>
      <c r="BQ1" s="4" t="s">
        <v>126</v>
      </c>
      <c r="BR1" s="4" t="s">
        <v>127</v>
      </c>
      <c r="BS1" s="4" t="s">
        <v>128</v>
      </c>
      <c r="BT1" s="4" t="s">
        <v>129</v>
      </c>
      <c r="BU1" s="4" t="s">
        <v>130</v>
      </c>
      <c r="BV1" s="4" t="s">
        <v>131</v>
      </c>
      <c r="BW1" s="4" t="s">
        <v>132</v>
      </c>
      <c r="BX1" s="4" t="s">
        <v>133</v>
      </c>
      <c r="BY1" s="4" t="s">
        <v>134</v>
      </c>
      <c r="BZ1" s="4" t="s">
        <v>135</v>
      </c>
      <c r="CA1" s="4" t="s">
        <v>136</v>
      </c>
      <c r="CB1" s="4" t="s">
        <v>137</v>
      </c>
      <c r="CC1" s="4" t="s">
        <v>138</v>
      </c>
      <c r="CD1" s="4" t="s">
        <v>139</v>
      </c>
      <c r="CE1" s="4" t="s">
        <v>140</v>
      </c>
      <c r="CF1" s="4" t="s">
        <v>141</v>
      </c>
      <c r="CG1" s="4" t="s">
        <v>142</v>
      </c>
      <c r="CH1" s="4" t="s">
        <v>143</v>
      </c>
      <c r="CI1" s="4" t="s">
        <v>144</v>
      </c>
      <c r="CJ1" s="4" t="s">
        <v>145</v>
      </c>
      <c r="CK1" s="4" t="s">
        <v>146</v>
      </c>
      <c r="CL1" s="4" t="s">
        <v>147</v>
      </c>
      <c r="CM1" s="4" t="s">
        <v>148</v>
      </c>
      <c r="CN1" s="4" t="s">
        <v>149</v>
      </c>
      <c r="CO1" s="4" t="s">
        <v>150</v>
      </c>
      <c r="CP1" s="4" t="s">
        <v>151</v>
      </c>
      <c r="CQ1" s="4" t="s">
        <v>251</v>
      </c>
    </row>
    <row r="2" spans="1:95" ht="58.5" customHeight="1" x14ac:dyDescent="0.2">
      <c r="A2" s="5"/>
      <c r="B2" s="5" t="s">
        <v>152</v>
      </c>
      <c r="C2" s="5"/>
      <c r="D2" s="5"/>
      <c r="E2" s="5" t="s">
        <v>153</v>
      </c>
      <c r="F2" s="5"/>
      <c r="G2" s="5" t="s">
        <v>154</v>
      </c>
      <c r="H2" s="5" t="s">
        <v>155</v>
      </c>
      <c r="I2" s="5" t="s">
        <v>14</v>
      </c>
      <c r="J2" s="5"/>
      <c r="K2" s="5"/>
      <c r="L2" s="5"/>
      <c r="M2" s="5"/>
      <c r="N2" s="5"/>
    </row>
    <row r="4" spans="1:95" x14ac:dyDescent="0.2">
      <c r="A4" s="1" t="s">
        <v>6175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CQ4"/>
  <sheetViews>
    <sheetView workbookViewId="0"/>
  </sheetViews>
  <sheetFormatPr baseColWidth="10" defaultColWidth="11.5" defaultRowHeight="14" x14ac:dyDescent="0.2"/>
  <cols>
    <col min="1" max="16384" width="11.5" style="1"/>
  </cols>
  <sheetData>
    <row r="1" spans="1:95" s="4" customFormat="1" ht="58.5" customHeight="1" x14ac:dyDescent="0.15">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73</v>
      </c>
      <c r="P1" s="4" t="s">
        <v>74</v>
      </c>
      <c r="Q1" s="4" t="s">
        <v>6193</v>
      </c>
      <c r="R1" s="4" t="s">
        <v>246</v>
      </c>
      <c r="S1" s="4" t="s">
        <v>76</v>
      </c>
      <c r="T1" s="4" t="s">
        <v>77</v>
      </c>
      <c r="U1" s="4" t="s">
        <v>78</v>
      </c>
      <c r="V1" s="4" t="s">
        <v>79</v>
      </c>
      <c r="W1" s="4" t="s">
        <v>80</v>
      </c>
      <c r="X1" s="4" t="s">
        <v>81</v>
      </c>
      <c r="Y1" s="4" t="s">
        <v>82</v>
      </c>
      <c r="Z1" s="4" t="s">
        <v>83</v>
      </c>
      <c r="AA1" s="4" t="s">
        <v>84</v>
      </c>
      <c r="AB1" s="4" t="s">
        <v>85</v>
      </c>
      <c r="AC1" s="4" t="s">
        <v>86</v>
      </c>
      <c r="AD1" s="4" t="s">
        <v>87</v>
      </c>
      <c r="AE1" s="4" t="s">
        <v>88</v>
      </c>
      <c r="AF1" s="4" t="s">
        <v>89</v>
      </c>
      <c r="AG1" s="4" t="s">
        <v>90</v>
      </c>
      <c r="AH1" s="4" t="s">
        <v>91</v>
      </c>
      <c r="AI1" s="4" t="s">
        <v>92</v>
      </c>
      <c r="AJ1" s="4" t="s">
        <v>93</v>
      </c>
      <c r="AK1" s="4" t="s">
        <v>94</v>
      </c>
      <c r="AL1" s="4" t="s">
        <v>95</v>
      </c>
      <c r="AM1" s="4" t="s">
        <v>96</v>
      </c>
      <c r="AN1" s="4" t="s">
        <v>97</v>
      </c>
      <c r="AO1" s="4" t="s">
        <v>98</v>
      </c>
      <c r="AP1" s="4" t="s">
        <v>99</v>
      </c>
      <c r="AQ1" s="4" t="s">
        <v>100</v>
      </c>
      <c r="AR1" s="4" t="s">
        <v>101</v>
      </c>
      <c r="AS1" s="4" t="s">
        <v>102</v>
      </c>
      <c r="AT1" s="4" t="s">
        <v>103</v>
      </c>
      <c r="AU1" s="4" t="s">
        <v>104</v>
      </c>
      <c r="AV1" s="4" t="s">
        <v>105</v>
      </c>
      <c r="AW1" s="4" t="s">
        <v>106</v>
      </c>
      <c r="AX1" s="4" t="s">
        <v>107</v>
      </c>
      <c r="AY1" s="4" t="s">
        <v>108</v>
      </c>
      <c r="AZ1" s="4" t="s">
        <v>109</v>
      </c>
      <c r="BA1" s="4" t="s">
        <v>110</v>
      </c>
      <c r="BB1" s="4" t="s">
        <v>111</v>
      </c>
      <c r="BC1" s="4" t="s">
        <v>112</v>
      </c>
      <c r="BD1" s="4" t="s">
        <v>113</v>
      </c>
      <c r="BE1" s="4" t="s">
        <v>114</v>
      </c>
      <c r="BF1" s="4" t="s">
        <v>115</v>
      </c>
      <c r="BG1" s="4" t="s">
        <v>116</v>
      </c>
      <c r="BH1" s="4" t="s">
        <v>117</v>
      </c>
      <c r="BI1" s="4" t="s">
        <v>118</v>
      </c>
      <c r="BJ1" s="4" t="s">
        <v>119</v>
      </c>
      <c r="BK1" s="4" t="s">
        <v>120</v>
      </c>
      <c r="BL1" s="4" t="s">
        <v>121</v>
      </c>
      <c r="BM1" s="4" t="s">
        <v>122</v>
      </c>
      <c r="BN1" s="4" t="s">
        <v>123</v>
      </c>
      <c r="BO1" s="4" t="s">
        <v>124</v>
      </c>
      <c r="BP1" s="4" t="s">
        <v>125</v>
      </c>
      <c r="BQ1" s="4" t="s">
        <v>126</v>
      </c>
      <c r="BR1" s="4" t="s">
        <v>127</v>
      </c>
      <c r="BS1" s="4" t="s">
        <v>128</v>
      </c>
      <c r="BT1" s="4" t="s">
        <v>129</v>
      </c>
      <c r="BU1" s="4" t="s">
        <v>130</v>
      </c>
      <c r="BV1" s="4" t="s">
        <v>131</v>
      </c>
      <c r="BW1" s="4" t="s">
        <v>132</v>
      </c>
      <c r="BX1" s="4" t="s">
        <v>133</v>
      </c>
      <c r="BY1" s="4" t="s">
        <v>134</v>
      </c>
      <c r="BZ1" s="4" t="s">
        <v>135</v>
      </c>
      <c r="CA1" s="4" t="s">
        <v>136</v>
      </c>
      <c r="CB1" s="4" t="s">
        <v>137</v>
      </c>
      <c r="CC1" s="4" t="s">
        <v>138</v>
      </c>
      <c r="CD1" s="4" t="s">
        <v>139</v>
      </c>
      <c r="CE1" s="4" t="s">
        <v>140</v>
      </c>
      <c r="CF1" s="4" t="s">
        <v>141</v>
      </c>
      <c r="CG1" s="4" t="s">
        <v>142</v>
      </c>
      <c r="CH1" s="4" t="s">
        <v>143</v>
      </c>
      <c r="CI1" s="4" t="s">
        <v>144</v>
      </c>
      <c r="CJ1" s="4" t="s">
        <v>145</v>
      </c>
      <c r="CK1" s="4" t="s">
        <v>146</v>
      </c>
      <c r="CL1" s="4" t="s">
        <v>147</v>
      </c>
      <c r="CM1" s="4" t="s">
        <v>148</v>
      </c>
      <c r="CN1" s="4" t="s">
        <v>149</v>
      </c>
      <c r="CO1" s="4" t="s">
        <v>150</v>
      </c>
      <c r="CP1" s="4" t="s">
        <v>151</v>
      </c>
      <c r="CQ1" s="4" t="s">
        <v>251</v>
      </c>
    </row>
    <row r="2" spans="1:95" ht="58.5" customHeight="1" x14ac:dyDescent="0.2">
      <c r="A2" s="5"/>
      <c r="B2" s="5" t="s">
        <v>152</v>
      </c>
      <c r="C2" s="5"/>
      <c r="D2" s="5"/>
      <c r="E2" s="5" t="s">
        <v>153</v>
      </c>
      <c r="F2" s="5"/>
      <c r="G2" s="5" t="s">
        <v>154</v>
      </c>
      <c r="H2" s="5" t="s">
        <v>155</v>
      </c>
      <c r="I2" s="5" t="s">
        <v>14</v>
      </c>
      <c r="J2" s="5"/>
      <c r="K2" s="5"/>
      <c r="L2" s="5"/>
      <c r="M2" s="5"/>
      <c r="N2" s="5"/>
    </row>
    <row r="4" spans="1:95" x14ac:dyDescent="0.2">
      <c r="A4" s="1" t="s">
        <v>6175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IO10"/>
  <sheetViews>
    <sheetView workbookViewId="0">
      <pane ySplit="3" topLeftCell="A4" activePane="bottomLeft" state="frozen"/>
      <selection pane="bottomLeft"/>
    </sheetView>
  </sheetViews>
  <sheetFormatPr baseColWidth="10" defaultColWidth="11.5" defaultRowHeight="14" x14ac:dyDescent="0.2"/>
  <cols>
    <col min="1" max="16384" width="11.5" style="1"/>
  </cols>
  <sheetData>
    <row r="1" spans="1:249" s="4" customFormat="1" ht="58.5" customHeight="1" x14ac:dyDescent="0.15">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73</v>
      </c>
      <c r="P1" s="4" t="s">
        <v>74</v>
      </c>
      <c r="Q1" s="4" t="s">
        <v>6193</v>
      </c>
      <c r="R1" s="4" t="s">
        <v>246</v>
      </c>
      <c r="S1" s="4" t="s">
        <v>76</v>
      </c>
      <c r="T1" s="4" t="s">
        <v>77</v>
      </c>
      <c r="U1" s="4" t="s">
        <v>78</v>
      </c>
      <c r="V1" s="4" t="s">
        <v>79</v>
      </c>
      <c r="W1" s="4" t="s">
        <v>80</v>
      </c>
      <c r="X1" s="4" t="s">
        <v>81</v>
      </c>
      <c r="Y1" s="4" t="s">
        <v>82</v>
      </c>
      <c r="Z1" s="4" t="s">
        <v>83</v>
      </c>
      <c r="AA1" s="4" t="s">
        <v>84</v>
      </c>
      <c r="AB1" s="4" t="s">
        <v>85</v>
      </c>
      <c r="AC1" s="4" t="s">
        <v>86</v>
      </c>
      <c r="AD1" s="4" t="s">
        <v>87</v>
      </c>
      <c r="AE1" s="4" t="s">
        <v>88</v>
      </c>
      <c r="AF1" s="4" t="s">
        <v>89</v>
      </c>
      <c r="AG1" s="4" t="s">
        <v>90</v>
      </c>
      <c r="AH1" s="4" t="s">
        <v>91</v>
      </c>
      <c r="AI1" s="4" t="s">
        <v>92</v>
      </c>
      <c r="AJ1" s="4" t="s">
        <v>93</v>
      </c>
      <c r="AK1" s="4" t="s">
        <v>94</v>
      </c>
      <c r="AL1" s="4" t="s">
        <v>95</v>
      </c>
      <c r="AM1" s="4" t="s">
        <v>96</v>
      </c>
      <c r="AN1" s="4" t="s">
        <v>97</v>
      </c>
      <c r="AO1" s="4" t="s">
        <v>98</v>
      </c>
      <c r="AP1" s="4" t="s">
        <v>99</v>
      </c>
      <c r="AQ1" s="4" t="s">
        <v>100</v>
      </c>
      <c r="AR1" s="4" t="s">
        <v>101</v>
      </c>
      <c r="AS1" s="4" t="s">
        <v>102</v>
      </c>
      <c r="AT1" s="4" t="s">
        <v>103</v>
      </c>
      <c r="AU1" s="4" t="s">
        <v>104</v>
      </c>
      <c r="AV1" s="4" t="s">
        <v>105</v>
      </c>
      <c r="AW1" s="4" t="s">
        <v>106</v>
      </c>
      <c r="AX1" s="4" t="s">
        <v>107</v>
      </c>
      <c r="AY1" s="4" t="s">
        <v>108</v>
      </c>
      <c r="AZ1" s="4" t="s">
        <v>109</v>
      </c>
      <c r="BA1" s="4" t="s">
        <v>110</v>
      </c>
      <c r="BB1" s="4" t="s">
        <v>111</v>
      </c>
      <c r="BC1" s="4" t="s">
        <v>112</v>
      </c>
      <c r="BD1" s="4" t="s">
        <v>113</v>
      </c>
      <c r="BE1" s="4" t="s">
        <v>114</v>
      </c>
      <c r="BF1" s="4" t="s">
        <v>115</v>
      </c>
      <c r="BG1" s="4" t="s">
        <v>116</v>
      </c>
      <c r="BH1" s="4" t="s">
        <v>117</v>
      </c>
      <c r="BI1" s="4" t="s">
        <v>118</v>
      </c>
      <c r="BJ1" s="4" t="s">
        <v>119</v>
      </c>
      <c r="BK1" s="4" t="s">
        <v>120</v>
      </c>
      <c r="BL1" s="4" t="s">
        <v>121</v>
      </c>
      <c r="BM1" s="4" t="s">
        <v>122</v>
      </c>
      <c r="BN1" s="4" t="s">
        <v>123</v>
      </c>
      <c r="BO1" s="4" t="s">
        <v>124</v>
      </c>
      <c r="BP1" s="4" t="s">
        <v>125</v>
      </c>
      <c r="BQ1" s="4" t="s">
        <v>126</v>
      </c>
      <c r="BR1" s="4" t="s">
        <v>127</v>
      </c>
      <c r="BS1" s="4" t="s">
        <v>128</v>
      </c>
      <c r="BT1" s="4" t="s">
        <v>129</v>
      </c>
      <c r="BU1" s="4" t="s">
        <v>130</v>
      </c>
      <c r="BV1" s="4" t="s">
        <v>131</v>
      </c>
      <c r="BW1" s="4" t="s">
        <v>132</v>
      </c>
      <c r="BX1" s="4" t="s">
        <v>133</v>
      </c>
      <c r="BY1" s="4" t="s">
        <v>134</v>
      </c>
      <c r="BZ1" s="4" t="s">
        <v>135</v>
      </c>
      <c r="CA1" s="4" t="s">
        <v>136</v>
      </c>
      <c r="CB1" s="4" t="s">
        <v>137</v>
      </c>
      <c r="CC1" s="4" t="s">
        <v>138</v>
      </c>
      <c r="CD1" s="4" t="s">
        <v>139</v>
      </c>
      <c r="CE1" s="4" t="s">
        <v>140</v>
      </c>
      <c r="CF1" s="4" t="s">
        <v>141</v>
      </c>
      <c r="CG1" s="4" t="s">
        <v>142</v>
      </c>
      <c r="CH1" s="4" t="s">
        <v>143</v>
      </c>
      <c r="CI1" s="4" t="s">
        <v>144</v>
      </c>
      <c r="CJ1" s="4" t="s">
        <v>145</v>
      </c>
      <c r="CK1" s="4" t="s">
        <v>146</v>
      </c>
      <c r="CL1" s="4" t="s">
        <v>147</v>
      </c>
      <c r="CM1" s="4" t="s">
        <v>148</v>
      </c>
      <c r="CN1" s="4" t="s">
        <v>149</v>
      </c>
      <c r="CO1" s="4" t="s">
        <v>150</v>
      </c>
      <c r="CP1" s="4" t="s">
        <v>151</v>
      </c>
      <c r="CQ1" s="4" t="s">
        <v>251</v>
      </c>
    </row>
    <row r="2" spans="1:249" ht="58.5" customHeight="1" x14ac:dyDescent="0.2">
      <c r="A2" s="5"/>
      <c r="B2" s="5" t="s">
        <v>152</v>
      </c>
      <c r="C2" s="5"/>
      <c r="D2" s="5"/>
      <c r="E2" s="5" t="s">
        <v>153</v>
      </c>
      <c r="F2" s="5"/>
      <c r="G2" s="5" t="s">
        <v>154</v>
      </c>
      <c r="H2" s="5" t="s">
        <v>155</v>
      </c>
      <c r="I2" s="5" t="s">
        <v>14</v>
      </c>
      <c r="J2" s="5"/>
      <c r="K2" s="5"/>
      <c r="L2" s="5"/>
      <c r="M2" s="5"/>
      <c r="N2" s="5"/>
    </row>
    <row r="3" spans="1:249" s="29" customFormat="1" ht="58.5" hidden="1" customHeight="1" x14ac:dyDescent="0.15">
      <c r="O3" s="29" t="str">
        <f>IF(COUNTA(O4:O65536)=0,"","12")</f>
        <v>12</v>
      </c>
      <c r="P3" s="29" t="str">
        <f t="shared" ref="P3:CA3" si="0">IF(COUNTA(P4:P65536)=0,"","12")</f>
        <v/>
      </c>
      <c r="Q3" s="29" t="str">
        <f t="shared" si="0"/>
        <v/>
      </c>
      <c r="R3" s="29" t="str">
        <f t="shared" si="0"/>
        <v/>
      </c>
      <c r="S3" s="29" t="str">
        <f t="shared" si="0"/>
        <v/>
      </c>
      <c r="T3" s="29" t="str">
        <f t="shared" si="0"/>
        <v/>
      </c>
      <c r="U3" s="29" t="str">
        <f t="shared" si="0"/>
        <v/>
      </c>
      <c r="V3" s="29" t="str">
        <f t="shared" si="0"/>
        <v/>
      </c>
      <c r="W3" s="29" t="str">
        <f t="shared" si="0"/>
        <v/>
      </c>
      <c r="X3" s="29" t="str">
        <f t="shared" si="0"/>
        <v/>
      </c>
      <c r="Y3" s="29" t="str">
        <f t="shared" si="0"/>
        <v/>
      </c>
      <c r="Z3" s="29" t="str">
        <f t="shared" si="0"/>
        <v/>
      </c>
      <c r="AA3" s="29" t="str">
        <f t="shared" si="0"/>
        <v/>
      </c>
      <c r="AB3" s="29" t="str">
        <f t="shared" si="0"/>
        <v>12</v>
      </c>
      <c r="AC3" s="29" t="str">
        <f t="shared" si="0"/>
        <v>12</v>
      </c>
      <c r="AD3" s="29" t="str">
        <f t="shared" si="0"/>
        <v/>
      </c>
      <c r="AE3" s="29" t="str">
        <f t="shared" si="0"/>
        <v>12</v>
      </c>
      <c r="AF3" s="29" t="str">
        <f t="shared" si="0"/>
        <v>12</v>
      </c>
      <c r="AG3" s="29" t="str">
        <f t="shared" si="0"/>
        <v>12</v>
      </c>
      <c r="AH3" s="29" t="str">
        <f t="shared" si="0"/>
        <v>12</v>
      </c>
      <c r="AI3" s="29" t="str">
        <f t="shared" si="0"/>
        <v>12</v>
      </c>
      <c r="AJ3" s="29" t="str">
        <f t="shared" si="0"/>
        <v/>
      </c>
      <c r="AK3" s="29" t="str">
        <f t="shared" si="0"/>
        <v/>
      </c>
      <c r="AL3" s="29" t="str">
        <f t="shared" si="0"/>
        <v/>
      </c>
      <c r="AM3" s="29" t="str">
        <f t="shared" si="0"/>
        <v/>
      </c>
      <c r="AN3" s="29" t="str">
        <f t="shared" si="0"/>
        <v/>
      </c>
      <c r="AO3" s="29" t="str">
        <f t="shared" si="0"/>
        <v/>
      </c>
      <c r="AP3" s="29" t="str">
        <f t="shared" si="0"/>
        <v/>
      </c>
      <c r="AQ3" s="29" t="str">
        <f t="shared" si="0"/>
        <v/>
      </c>
      <c r="AR3" s="29" t="str">
        <f t="shared" si="0"/>
        <v/>
      </c>
      <c r="AS3" s="29" t="str">
        <f t="shared" si="0"/>
        <v/>
      </c>
      <c r="AT3" s="29" t="str">
        <f t="shared" si="0"/>
        <v/>
      </c>
      <c r="AU3" s="29" t="str">
        <f t="shared" si="0"/>
        <v/>
      </c>
      <c r="AV3" s="29" t="str">
        <f t="shared" si="0"/>
        <v/>
      </c>
      <c r="AW3" s="29" t="str">
        <f t="shared" si="0"/>
        <v/>
      </c>
      <c r="AX3" s="29" t="str">
        <f t="shared" si="0"/>
        <v/>
      </c>
      <c r="AY3" s="29" t="str">
        <f t="shared" si="0"/>
        <v/>
      </c>
      <c r="AZ3" s="29" t="str">
        <f t="shared" si="0"/>
        <v/>
      </c>
      <c r="BA3" s="29" t="str">
        <f t="shared" si="0"/>
        <v/>
      </c>
      <c r="BB3" s="29" t="str">
        <f t="shared" si="0"/>
        <v/>
      </c>
      <c r="BC3" s="29" t="str">
        <f t="shared" si="0"/>
        <v/>
      </c>
      <c r="BD3" s="29" t="str">
        <f t="shared" si="0"/>
        <v/>
      </c>
      <c r="BE3" s="29" t="str">
        <f t="shared" si="0"/>
        <v/>
      </c>
      <c r="BF3" s="29" t="str">
        <f t="shared" si="0"/>
        <v/>
      </c>
      <c r="BG3" s="29" t="str">
        <f t="shared" si="0"/>
        <v/>
      </c>
      <c r="BH3" s="29" t="str">
        <f t="shared" si="0"/>
        <v/>
      </c>
      <c r="BI3" s="29" t="str">
        <f t="shared" si="0"/>
        <v/>
      </c>
      <c r="BJ3" s="29" t="str">
        <f t="shared" si="0"/>
        <v/>
      </c>
      <c r="BK3" s="29" t="str">
        <f t="shared" si="0"/>
        <v/>
      </c>
      <c r="BL3" s="29" t="str">
        <f t="shared" si="0"/>
        <v/>
      </c>
      <c r="BM3" s="29" t="str">
        <f t="shared" si="0"/>
        <v/>
      </c>
      <c r="BN3" s="29" t="str">
        <f t="shared" si="0"/>
        <v/>
      </c>
      <c r="BO3" s="29" t="str">
        <f t="shared" si="0"/>
        <v/>
      </c>
      <c r="BP3" s="29" t="str">
        <f t="shared" si="0"/>
        <v/>
      </c>
      <c r="BQ3" s="29" t="str">
        <f t="shared" si="0"/>
        <v/>
      </c>
      <c r="BR3" s="29" t="str">
        <f t="shared" si="0"/>
        <v/>
      </c>
      <c r="BS3" s="29" t="str">
        <f t="shared" si="0"/>
        <v/>
      </c>
      <c r="BT3" s="29" t="str">
        <f t="shared" si="0"/>
        <v/>
      </c>
      <c r="BU3" s="29" t="str">
        <f t="shared" si="0"/>
        <v/>
      </c>
      <c r="BV3" s="29" t="str">
        <f t="shared" si="0"/>
        <v/>
      </c>
      <c r="BW3" s="29" t="str">
        <f t="shared" si="0"/>
        <v/>
      </c>
      <c r="BX3" s="29" t="str">
        <f t="shared" si="0"/>
        <v/>
      </c>
      <c r="BY3" s="29" t="str">
        <f t="shared" si="0"/>
        <v/>
      </c>
      <c r="BZ3" s="29" t="str">
        <f t="shared" si="0"/>
        <v/>
      </c>
      <c r="CA3" s="29" t="str">
        <f t="shared" si="0"/>
        <v/>
      </c>
      <c r="CB3" s="29" t="str">
        <f t="shared" ref="CB3:EM3" si="1">IF(COUNTA(CB4:CB65536)=0,"","12")</f>
        <v/>
      </c>
      <c r="CC3" s="29" t="str">
        <f t="shared" si="1"/>
        <v/>
      </c>
      <c r="CD3" s="29" t="str">
        <f t="shared" si="1"/>
        <v/>
      </c>
      <c r="CE3" s="29" t="str">
        <f t="shared" si="1"/>
        <v/>
      </c>
      <c r="CF3" s="29" t="str">
        <f t="shared" si="1"/>
        <v/>
      </c>
      <c r="CG3" s="29" t="str">
        <f t="shared" si="1"/>
        <v/>
      </c>
      <c r="CH3" s="29" t="str">
        <f t="shared" si="1"/>
        <v/>
      </c>
      <c r="CI3" s="29" t="str">
        <f t="shared" si="1"/>
        <v/>
      </c>
      <c r="CJ3" s="29" t="str">
        <f t="shared" si="1"/>
        <v/>
      </c>
      <c r="CK3" s="29" t="str">
        <f t="shared" si="1"/>
        <v/>
      </c>
      <c r="CL3" s="29" t="str">
        <f t="shared" si="1"/>
        <v/>
      </c>
      <c r="CM3" s="29" t="str">
        <f t="shared" si="1"/>
        <v/>
      </c>
      <c r="CN3" s="29" t="str">
        <f t="shared" si="1"/>
        <v/>
      </c>
      <c r="CO3" s="29" t="str">
        <f t="shared" si="1"/>
        <v/>
      </c>
      <c r="CP3" s="29" t="str">
        <f t="shared" si="1"/>
        <v/>
      </c>
      <c r="CQ3" s="29" t="str">
        <f t="shared" si="1"/>
        <v>12</v>
      </c>
      <c r="CR3" s="29" t="str">
        <f t="shared" si="1"/>
        <v/>
      </c>
      <c r="CS3" s="29" t="str">
        <f t="shared" si="1"/>
        <v/>
      </c>
      <c r="CT3" s="29" t="str">
        <f t="shared" si="1"/>
        <v/>
      </c>
      <c r="CU3" s="29" t="str">
        <f t="shared" si="1"/>
        <v/>
      </c>
      <c r="CV3" s="29" t="str">
        <f t="shared" si="1"/>
        <v/>
      </c>
      <c r="CW3" s="29" t="str">
        <f t="shared" si="1"/>
        <v/>
      </c>
      <c r="CX3" s="29" t="str">
        <f t="shared" si="1"/>
        <v/>
      </c>
      <c r="CY3" s="29" t="str">
        <f t="shared" si="1"/>
        <v/>
      </c>
      <c r="CZ3" s="29" t="str">
        <f t="shared" si="1"/>
        <v/>
      </c>
      <c r="DA3" s="29" t="str">
        <f t="shared" si="1"/>
        <v/>
      </c>
      <c r="DB3" s="29" t="str">
        <f t="shared" si="1"/>
        <v/>
      </c>
      <c r="DC3" s="29" t="str">
        <f t="shared" si="1"/>
        <v/>
      </c>
      <c r="DD3" s="29" t="str">
        <f t="shared" si="1"/>
        <v/>
      </c>
      <c r="DE3" s="29" t="str">
        <f t="shared" si="1"/>
        <v/>
      </c>
      <c r="DF3" s="29" t="str">
        <f t="shared" si="1"/>
        <v/>
      </c>
      <c r="DG3" s="29" t="str">
        <f t="shared" si="1"/>
        <v/>
      </c>
      <c r="DH3" s="29" t="str">
        <f t="shared" si="1"/>
        <v/>
      </c>
      <c r="DI3" s="29" t="str">
        <f t="shared" si="1"/>
        <v/>
      </c>
      <c r="DJ3" s="29" t="str">
        <f t="shared" si="1"/>
        <v/>
      </c>
      <c r="DK3" s="29" t="str">
        <f t="shared" si="1"/>
        <v/>
      </c>
      <c r="DL3" s="29" t="str">
        <f t="shared" si="1"/>
        <v/>
      </c>
      <c r="DM3" s="29" t="str">
        <f t="shared" si="1"/>
        <v/>
      </c>
      <c r="DN3" s="29" t="str">
        <f t="shared" si="1"/>
        <v/>
      </c>
      <c r="DO3" s="29" t="str">
        <f t="shared" si="1"/>
        <v/>
      </c>
      <c r="DP3" s="29" t="str">
        <f t="shared" si="1"/>
        <v/>
      </c>
      <c r="DQ3" s="29" t="str">
        <f t="shared" si="1"/>
        <v/>
      </c>
      <c r="DR3" s="29" t="str">
        <f t="shared" si="1"/>
        <v/>
      </c>
      <c r="DS3" s="29" t="str">
        <f t="shared" si="1"/>
        <v/>
      </c>
      <c r="DT3" s="29" t="str">
        <f t="shared" si="1"/>
        <v/>
      </c>
      <c r="DU3" s="29" t="str">
        <f t="shared" si="1"/>
        <v/>
      </c>
      <c r="DV3" s="29" t="str">
        <f t="shared" si="1"/>
        <v/>
      </c>
      <c r="DW3" s="29" t="str">
        <f t="shared" si="1"/>
        <v/>
      </c>
      <c r="DX3" s="29" t="str">
        <f t="shared" si="1"/>
        <v/>
      </c>
      <c r="DY3" s="29" t="str">
        <f t="shared" si="1"/>
        <v/>
      </c>
      <c r="DZ3" s="29" t="str">
        <f t="shared" si="1"/>
        <v/>
      </c>
      <c r="EA3" s="29" t="str">
        <f t="shared" si="1"/>
        <v/>
      </c>
      <c r="EB3" s="29" t="str">
        <f t="shared" si="1"/>
        <v/>
      </c>
      <c r="EC3" s="29" t="str">
        <f t="shared" si="1"/>
        <v/>
      </c>
      <c r="ED3" s="29" t="str">
        <f t="shared" si="1"/>
        <v/>
      </c>
      <c r="EE3" s="29" t="str">
        <f t="shared" si="1"/>
        <v/>
      </c>
      <c r="EF3" s="29" t="str">
        <f t="shared" si="1"/>
        <v/>
      </c>
      <c r="EG3" s="29" t="str">
        <f t="shared" si="1"/>
        <v/>
      </c>
      <c r="EH3" s="29" t="str">
        <f t="shared" si="1"/>
        <v/>
      </c>
      <c r="EI3" s="29" t="str">
        <f t="shared" si="1"/>
        <v/>
      </c>
      <c r="EJ3" s="29" t="str">
        <f t="shared" si="1"/>
        <v/>
      </c>
      <c r="EK3" s="29" t="str">
        <f t="shared" si="1"/>
        <v/>
      </c>
      <c r="EL3" s="29" t="str">
        <f t="shared" si="1"/>
        <v/>
      </c>
      <c r="EM3" s="29" t="str">
        <f t="shared" si="1"/>
        <v/>
      </c>
      <c r="EN3" s="29" t="str">
        <f t="shared" ref="EN3:GY3" si="2">IF(COUNTA(EN4:EN65536)=0,"","12")</f>
        <v/>
      </c>
      <c r="EO3" s="29" t="str">
        <f t="shared" si="2"/>
        <v/>
      </c>
      <c r="EP3" s="29" t="str">
        <f t="shared" si="2"/>
        <v/>
      </c>
      <c r="EQ3" s="29" t="str">
        <f t="shared" si="2"/>
        <v/>
      </c>
      <c r="ER3" s="29" t="str">
        <f t="shared" si="2"/>
        <v/>
      </c>
      <c r="ES3" s="29" t="str">
        <f t="shared" si="2"/>
        <v/>
      </c>
      <c r="ET3" s="29" t="str">
        <f t="shared" si="2"/>
        <v/>
      </c>
      <c r="EU3" s="29" t="str">
        <f t="shared" si="2"/>
        <v/>
      </c>
      <c r="EV3" s="29" t="str">
        <f t="shared" si="2"/>
        <v/>
      </c>
      <c r="EW3" s="29" t="str">
        <f t="shared" si="2"/>
        <v/>
      </c>
      <c r="EX3" s="29" t="str">
        <f t="shared" si="2"/>
        <v/>
      </c>
      <c r="EY3" s="29" t="str">
        <f t="shared" si="2"/>
        <v/>
      </c>
      <c r="EZ3" s="29" t="str">
        <f t="shared" si="2"/>
        <v/>
      </c>
      <c r="FA3" s="29" t="str">
        <f t="shared" si="2"/>
        <v/>
      </c>
      <c r="FB3" s="29" t="str">
        <f t="shared" si="2"/>
        <v/>
      </c>
      <c r="FC3" s="29" t="str">
        <f t="shared" si="2"/>
        <v/>
      </c>
      <c r="FD3" s="29" t="str">
        <f t="shared" si="2"/>
        <v/>
      </c>
      <c r="FE3" s="29" t="str">
        <f t="shared" si="2"/>
        <v/>
      </c>
      <c r="FF3" s="29" t="str">
        <f t="shared" si="2"/>
        <v/>
      </c>
      <c r="FG3" s="29" t="str">
        <f t="shared" si="2"/>
        <v/>
      </c>
      <c r="FH3" s="29" t="str">
        <f t="shared" si="2"/>
        <v/>
      </c>
      <c r="FI3" s="29" t="str">
        <f t="shared" si="2"/>
        <v/>
      </c>
      <c r="FJ3" s="29" t="str">
        <f t="shared" si="2"/>
        <v/>
      </c>
      <c r="FK3" s="29" t="str">
        <f t="shared" si="2"/>
        <v/>
      </c>
      <c r="FL3" s="29" t="str">
        <f t="shared" si="2"/>
        <v/>
      </c>
      <c r="FM3" s="29" t="str">
        <f t="shared" si="2"/>
        <v/>
      </c>
      <c r="FN3" s="29" t="str">
        <f t="shared" si="2"/>
        <v/>
      </c>
      <c r="FO3" s="29" t="str">
        <f t="shared" si="2"/>
        <v/>
      </c>
      <c r="FP3" s="29" t="str">
        <f t="shared" si="2"/>
        <v/>
      </c>
      <c r="FQ3" s="29" t="str">
        <f t="shared" si="2"/>
        <v/>
      </c>
      <c r="FR3" s="29" t="str">
        <f t="shared" si="2"/>
        <v/>
      </c>
      <c r="FS3" s="29" t="str">
        <f t="shared" si="2"/>
        <v/>
      </c>
      <c r="FT3" s="29" t="str">
        <f t="shared" si="2"/>
        <v/>
      </c>
      <c r="FU3" s="29" t="str">
        <f t="shared" si="2"/>
        <v/>
      </c>
      <c r="FV3" s="29" t="str">
        <f t="shared" si="2"/>
        <v/>
      </c>
      <c r="FW3" s="29" t="str">
        <f t="shared" si="2"/>
        <v/>
      </c>
      <c r="FX3" s="29" t="str">
        <f t="shared" si="2"/>
        <v/>
      </c>
      <c r="FY3" s="29" t="str">
        <f t="shared" si="2"/>
        <v/>
      </c>
      <c r="FZ3" s="29" t="str">
        <f t="shared" si="2"/>
        <v/>
      </c>
      <c r="GA3" s="29" t="str">
        <f t="shared" si="2"/>
        <v/>
      </c>
      <c r="GB3" s="29" t="str">
        <f t="shared" si="2"/>
        <v/>
      </c>
      <c r="GC3" s="29" t="str">
        <f t="shared" si="2"/>
        <v/>
      </c>
      <c r="GD3" s="29" t="str">
        <f t="shared" si="2"/>
        <v/>
      </c>
      <c r="GE3" s="29" t="str">
        <f t="shared" si="2"/>
        <v/>
      </c>
      <c r="GF3" s="29" t="str">
        <f t="shared" si="2"/>
        <v/>
      </c>
      <c r="GG3" s="29" t="str">
        <f t="shared" si="2"/>
        <v/>
      </c>
      <c r="GH3" s="29" t="str">
        <f t="shared" si="2"/>
        <v/>
      </c>
      <c r="GI3" s="29" t="str">
        <f t="shared" si="2"/>
        <v/>
      </c>
      <c r="GJ3" s="29" t="str">
        <f t="shared" si="2"/>
        <v/>
      </c>
      <c r="GK3" s="29" t="str">
        <f t="shared" si="2"/>
        <v/>
      </c>
      <c r="GL3" s="29" t="str">
        <f t="shared" si="2"/>
        <v/>
      </c>
      <c r="GM3" s="29" t="str">
        <f t="shared" si="2"/>
        <v/>
      </c>
      <c r="GN3" s="29" t="str">
        <f t="shared" si="2"/>
        <v/>
      </c>
      <c r="GO3" s="29" t="str">
        <f t="shared" si="2"/>
        <v/>
      </c>
      <c r="GP3" s="29" t="str">
        <f t="shared" si="2"/>
        <v/>
      </c>
      <c r="GQ3" s="29" t="str">
        <f t="shared" si="2"/>
        <v/>
      </c>
      <c r="GR3" s="29" t="str">
        <f t="shared" si="2"/>
        <v/>
      </c>
      <c r="GS3" s="29" t="str">
        <f t="shared" si="2"/>
        <v/>
      </c>
      <c r="GT3" s="29" t="str">
        <f t="shared" si="2"/>
        <v/>
      </c>
      <c r="GU3" s="29" t="str">
        <f t="shared" si="2"/>
        <v/>
      </c>
      <c r="GV3" s="29" t="str">
        <f t="shared" si="2"/>
        <v/>
      </c>
      <c r="GW3" s="29" t="str">
        <f t="shared" si="2"/>
        <v/>
      </c>
      <c r="GX3" s="29" t="str">
        <f t="shared" si="2"/>
        <v/>
      </c>
      <c r="GY3" s="29" t="str">
        <f t="shared" si="2"/>
        <v/>
      </c>
      <c r="GZ3" s="29" t="str">
        <f t="shared" ref="GZ3:IO3" si="3">IF(COUNTA(GZ4:GZ65536)=0,"","12")</f>
        <v/>
      </c>
      <c r="HA3" s="29" t="str">
        <f t="shared" si="3"/>
        <v/>
      </c>
      <c r="HB3" s="29" t="str">
        <f t="shared" si="3"/>
        <v/>
      </c>
      <c r="HC3" s="29" t="str">
        <f t="shared" si="3"/>
        <v/>
      </c>
      <c r="HD3" s="29" t="str">
        <f t="shared" si="3"/>
        <v/>
      </c>
      <c r="HE3" s="29" t="str">
        <f t="shared" si="3"/>
        <v/>
      </c>
      <c r="HF3" s="29" t="str">
        <f t="shared" si="3"/>
        <v/>
      </c>
      <c r="HG3" s="29" t="str">
        <f t="shared" si="3"/>
        <v/>
      </c>
      <c r="HH3" s="29" t="str">
        <f t="shared" si="3"/>
        <v/>
      </c>
      <c r="HI3" s="29" t="str">
        <f t="shared" si="3"/>
        <v/>
      </c>
      <c r="HJ3" s="29" t="str">
        <f t="shared" si="3"/>
        <v/>
      </c>
      <c r="HK3" s="29" t="str">
        <f t="shared" si="3"/>
        <v/>
      </c>
      <c r="HL3" s="29" t="str">
        <f t="shared" si="3"/>
        <v/>
      </c>
      <c r="HM3" s="29" t="str">
        <f t="shared" si="3"/>
        <v/>
      </c>
      <c r="HN3" s="29" t="str">
        <f t="shared" si="3"/>
        <v/>
      </c>
      <c r="HO3" s="29" t="str">
        <f t="shared" si="3"/>
        <v/>
      </c>
      <c r="HP3" s="29" t="str">
        <f t="shared" si="3"/>
        <v/>
      </c>
      <c r="HQ3" s="29" t="str">
        <f t="shared" si="3"/>
        <v/>
      </c>
      <c r="HR3" s="29" t="str">
        <f t="shared" si="3"/>
        <v/>
      </c>
      <c r="HS3" s="29" t="str">
        <f t="shared" si="3"/>
        <v/>
      </c>
      <c r="HT3" s="29" t="str">
        <f t="shared" si="3"/>
        <v/>
      </c>
      <c r="HU3" s="29" t="str">
        <f t="shared" si="3"/>
        <v/>
      </c>
      <c r="HV3" s="29" t="str">
        <f t="shared" si="3"/>
        <v/>
      </c>
      <c r="HW3" s="29" t="str">
        <f t="shared" si="3"/>
        <v/>
      </c>
      <c r="HX3" s="29" t="str">
        <f t="shared" si="3"/>
        <v/>
      </c>
      <c r="HY3" s="29" t="str">
        <f t="shared" si="3"/>
        <v/>
      </c>
      <c r="HZ3" s="29" t="str">
        <f t="shared" si="3"/>
        <v/>
      </c>
      <c r="IA3" s="29" t="str">
        <f t="shared" si="3"/>
        <v/>
      </c>
      <c r="IB3" s="29" t="str">
        <f t="shared" si="3"/>
        <v/>
      </c>
      <c r="IC3" s="29" t="str">
        <f t="shared" si="3"/>
        <v/>
      </c>
      <c r="ID3" s="29" t="str">
        <f t="shared" si="3"/>
        <v/>
      </c>
      <c r="IE3" s="29" t="str">
        <f t="shared" si="3"/>
        <v/>
      </c>
      <c r="IF3" s="29" t="str">
        <f t="shared" si="3"/>
        <v/>
      </c>
      <c r="IG3" s="29" t="str">
        <f t="shared" si="3"/>
        <v/>
      </c>
      <c r="IH3" s="29" t="str">
        <f t="shared" si="3"/>
        <v/>
      </c>
      <c r="II3" s="29" t="str">
        <f t="shared" si="3"/>
        <v/>
      </c>
      <c r="IJ3" s="29" t="str">
        <f t="shared" si="3"/>
        <v/>
      </c>
      <c r="IK3" s="29" t="str">
        <f t="shared" si="3"/>
        <v/>
      </c>
      <c r="IL3" s="29" t="str">
        <f t="shared" si="3"/>
        <v/>
      </c>
      <c r="IM3" s="29" t="str">
        <f t="shared" si="3"/>
        <v/>
      </c>
      <c r="IN3" s="29" t="str">
        <f t="shared" si="3"/>
        <v/>
      </c>
      <c r="IO3" s="29" t="str">
        <f t="shared" si="3"/>
        <v/>
      </c>
    </row>
    <row r="4" spans="1:249" s="11" customFormat="1" x14ac:dyDescent="0.2">
      <c r="A4" s="10" t="s">
        <v>7555</v>
      </c>
      <c r="B4" s="11" t="s">
        <v>6176</v>
      </c>
      <c r="D4" s="11" t="s">
        <v>6371</v>
      </c>
      <c r="E4" s="11" t="s">
        <v>11</v>
      </c>
      <c r="G4" s="11" t="s">
        <v>6179</v>
      </c>
      <c r="J4" s="11" t="s">
        <v>6180</v>
      </c>
      <c r="K4" s="11">
        <v>1989</v>
      </c>
      <c r="L4" s="11" t="s">
        <v>6181</v>
      </c>
      <c r="M4" s="11" t="s">
        <v>6182</v>
      </c>
      <c r="N4" s="11">
        <v>1.1000000000000001</v>
      </c>
      <c r="O4" s="11">
        <v>30</v>
      </c>
      <c r="AB4" s="13">
        <v>12</v>
      </c>
      <c r="AC4" s="11">
        <v>0.3</v>
      </c>
      <c r="AF4" s="12"/>
      <c r="AH4" s="11">
        <v>117</v>
      </c>
      <c r="AI4" s="11">
        <v>1.4</v>
      </c>
      <c r="CQ4" s="11">
        <v>0.55000000000000004</v>
      </c>
    </row>
    <row r="5" spans="1:249" s="11" customFormat="1" x14ac:dyDescent="0.2">
      <c r="A5" s="10" t="s">
        <v>7556</v>
      </c>
      <c r="B5" s="11" t="s">
        <v>6176</v>
      </c>
      <c r="D5" s="11" t="s">
        <v>6372</v>
      </c>
      <c r="E5" s="11" t="s">
        <v>11</v>
      </c>
      <c r="G5" s="11" t="s">
        <v>6179</v>
      </c>
      <c r="J5" s="11" t="s">
        <v>6180</v>
      </c>
      <c r="K5" s="11">
        <v>1989</v>
      </c>
      <c r="L5" s="11" t="s">
        <v>6181</v>
      </c>
      <c r="M5" s="11" t="s">
        <v>6182</v>
      </c>
      <c r="N5" s="11">
        <v>1.1000000000000001</v>
      </c>
      <c r="O5" s="11">
        <v>45</v>
      </c>
      <c r="AB5" s="13" t="s">
        <v>6183</v>
      </c>
      <c r="AC5" s="11">
        <v>0.1</v>
      </c>
      <c r="AE5" s="11">
        <v>121</v>
      </c>
      <c r="AF5" s="12">
        <v>50</v>
      </c>
      <c r="AG5" s="11">
        <v>220</v>
      </c>
      <c r="AH5" s="11">
        <v>115</v>
      </c>
      <c r="AI5" s="11">
        <v>1.1000000000000001</v>
      </c>
      <c r="CQ5" s="11">
        <v>0.15</v>
      </c>
    </row>
    <row r="6" spans="1:249" s="11" customFormat="1" x14ac:dyDescent="0.2">
      <c r="A6" s="10" t="s">
        <v>7557</v>
      </c>
      <c r="B6" s="11" t="s">
        <v>6176</v>
      </c>
      <c r="D6" s="11" t="s">
        <v>6373</v>
      </c>
      <c r="E6" s="11" t="s">
        <v>11</v>
      </c>
      <c r="G6" s="11" t="s">
        <v>6179</v>
      </c>
      <c r="J6" s="11" t="s">
        <v>6180</v>
      </c>
      <c r="K6" s="11">
        <v>1989</v>
      </c>
      <c r="L6" s="11" t="s">
        <v>6181</v>
      </c>
      <c r="M6" s="11" t="s">
        <v>6182</v>
      </c>
      <c r="N6" s="11">
        <v>1.1000000000000001</v>
      </c>
      <c r="O6" s="11">
        <v>27</v>
      </c>
      <c r="AB6" s="11">
        <v>5</v>
      </c>
      <c r="AE6" s="11">
        <v>350</v>
      </c>
      <c r="AF6" s="12">
        <v>54</v>
      </c>
      <c r="AG6" s="11">
        <v>95</v>
      </c>
      <c r="AH6" s="11">
        <v>203</v>
      </c>
      <c r="AI6" s="11">
        <v>1.2</v>
      </c>
      <c r="CQ6" s="11">
        <v>0.44</v>
      </c>
    </row>
    <row r="7" spans="1:249" s="11" customFormat="1" x14ac:dyDescent="0.2">
      <c r="A7" s="10" t="s">
        <v>7558</v>
      </c>
      <c r="B7" s="11" t="s">
        <v>6176</v>
      </c>
      <c r="D7" s="11" t="s">
        <v>6374</v>
      </c>
      <c r="E7" s="11" t="s">
        <v>11</v>
      </c>
      <c r="G7" s="11" t="s">
        <v>6179</v>
      </c>
      <c r="J7" s="11" t="s">
        <v>6180</v>
      </c>
      <c r="K7" s="11">
        <v>1989</v>
      </c>
      <c r="L7" s="11" t="s">
        <v>6181</v>
      </c>
      <c r="M7" s="11" t="s">
        <v>6182</v>
      </c>
      <c r="N7" s="11">
        <v>1.1000000000000001</v>
      </c>
      <c r="O7" s="11">
        <v>70</v>
      </c>
      <c r="AB7" s="11">
        <v>3</v>
      </c>
      <c r="AF7" s="12"/>
      <c r="AH7" s="11">
        <v>51</v>
      </c>
      <c r="AI7" s="11">
        <v>0.3</v>
      </c>
      <c r="CQ7" s="11">
        <v>0.26</v>
      </c>
    </row>
    <row r="8" spans="1:249" s="11" customFormat="1" x14ac:dyDescent="0.2">
      <c r="A8" s="10" t="s">
        <v>7559</v>
      </c>
      <c r="B8" s="11" t="s">
        <v>6176</v>
      </c>
      <c r="D8" s="11" t="s">
        <v>6375</v>
      </c>
      <c r="E8" s="11" t="s">
        <v>7</v>
      </c>
      <c r="F8" s="11" t="s">
        <v>6376</v>
      </c>
      <c r="G8" s="11" t="s">
        <v>6179</v>
      </c>
      <c r="J8" s="11" t="s">
        <v>6180</v>
      </c>
      <c r="K8" s="11">
        <v>1989</v>
      </c>
      <c r="L8" s="11" t="s">
        <v>6181</v>
      </c>
      <c r="M8" s="11" t="s">
        <v>6182</v>
      </c>
      <c r="N8" s="11">
        <v>1.1000000000000001</v>
      </c>
      <c r="O8" s="11">
        <v>90</v>
      </c>
      <c r="AB8" s="11">
        <v>8</v>
      </c>
      <c r="AF8" s="12"/>
      <c r="AH8" s="11">
        <v>18</v>
      </c>
      <c r="CQ8" s="11">
        <v>0.61</v>
      </c>
    </row>
    <row r="9" spans="1:249" s="11" customFormat="1" x14ac:dyDescent="0.2">
      <c r="A9" s="10" t="s">
        <v>7560</v>
      </c>
      <c r="B9" s="11" t="s">
        <v>6248</v>
      </c>
      <c r="D9" s="11" t="s">
        <v>6377</v>
      </c>
      <c r="E9" s="11" t="s">
        <v>11</v>
      </c>
      <c r="G9" s="11" t="s">
        <v>6179</v>
      </c>
      <c r="J9" s="11" t="s">
        <v>6180</v>
      </c>
      <c r="K9" s="11">
        <v>1989</v>
      </c>
      <c r="L9" s="11" t="s">
        <v>6181</v>
      </c>
      <c r="M9" s="11" t="s">
        <v>6182</v>
      </c>
      <c r="N9" s="11">
        <v>1.1000000000000001</v>
      </c>
      <c r="O9" s="11">
        <v>35</v>
      </c>
      <c r="AB9" s="11">
        <v>8</v>
      </c>
      <c r="AC9" s="11">
        <v>0.01</v>
      </c>
      <c r="AE9" s="11">
        <v>23</v>
      </c>
      <c r="AF9" s="12">
        <v>6</v>
      </c>
      <c r="AG9" s="13" t="s">
        <v>6183</v>
      </c>
      <c r="AH9" s="11">
        <v>8</v>
      </c>
      <c r="AI9" s="11">
        <v>0.06</v>
      </c>
      <c r="CQ9" s="11">
        <v>0.64</v>
      </c>
    </row>
    <row r="10" spans="1:249" s="11" customFormat="1" x14ac:dyDescent="0.2">
      <c r="A10"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434"/>
  <sheetViews>
    <sheetView workbookViewId="0">
      <pane ySplit="5" topLeftCell="A6" activePane="bottomLeft" state="frozen"/>
      <selection pane="bottomLeft" activeCell="C384" sqref="C384"/>
    </sheetView>
  </sheetViews>
  <sheetFormatPr baseColWidth="10" defaultColWidth="11.5" defaultRowHeight="14" x14ac:dyDescent="0.2"/>
  <cols>
    <col min="1" max="1" width="22.33203125" style="1" customWidth="1"/>
    <col min="2" max="3" width="11.5" style="1"/>
    <col min="4" max="4" width="52.5" style="1" customWidth="1"/>
    <col min="5" max="16384" width="11.5" style="1"/>
  </cols>
  <sheetData>
    <row r="1" spans="1:4" x14ac:dyDescent="0.2">
      <c r="A1" s="2" t="s">
        <v>7700</v>
      </c>
    </row>
    <row r="4" spans="1:4" s="8" customFormat="1" ht="30" x14ac:dyDescent="0.2">
      <c r="A4" s="8" t="s">
        <v>5548</v>
      </c>
      <c r="B4" s="8" t="s">
        <v>5549</v>
      </c>
      <c r="C4" s="8" t="s">
        <v>5550</v>
      </c>
      <c r="D4" s="8" t="s">
        <v>5551</v>
      </c>
    </row>
    <row r="5" spans="1:4" s="8" customFormat="1" x14ac:dyDescent="0.2"/>
    <row r="6" spans="1:4" x14ac:dyDescent="0.2">
      <c r="A6" s="7" t="s">
        <v>5552</v>
      </c>
    </row>
    <row r="7" spans="1:4" x14ac:dyDescent="0.2">
      <c r="A7" s="1" t="s">
        <v>1068</v>
      </c>
      <c r="B7" s="1" t="s">
        <v>1135</v>
      </c>
      <c r="D7" s="1" t="s">
        <v>5553</v>
      </c>
    </row>
    <row r="8" spans="1:4" x14ac:dyDescent="0.2">
      <c r="A8" s="1" t="s">
        <v>6244</v>
      </c>
      <c r="B8" s="32" t="s">
        <v>7568</v>
      </c>
    </row>
    <row r="9" spans="1:4" x14ac:dyDescent="0.2">
      <c r="A9" s="7" t="s">
        <v>5554</v>
      </c>
    </row>
    <row r="10" spans="1:4" x14ac:dyDescent="0.2">
      <c r="A10" s="7" t="s">
        <v>5555</v>
      </c>
    </row>
    <row r="11" spans="1:4" x14ac:dyDescent="0.2">
      <c r="A11" s="1" t="s">
        <v>243</v>
      </c>
      <c r="B11" s="1" t="s">
        <v>1136</v>
      </c>
      <c r="C11" s="1" t="s">
        <v>5556</v>
      </c>
      <c r="D11" s="1" t="s">
        <v>5557</v>
      </c>
    </row>
    <row r="12" spans="1:4" x14ac:dyDescent="0.2">
      <c r="A12" s="1" t="s">
        <v>244</v>
      </c>
      <c r="B12" s="1" t="s">
        <v>1136</v>
      </c>
      <c r="C12" s="1" t="s">
        <v>5558</v>
      </c>
      <c r="D12" s="1" t="s">
        <v>5557</v>
      </c>
    </row>
    <row r="13" spans="1:4" x14ac:dyDescent="0.2">
      <c r="A13" s="1" t="s">
        <v>6774</v>
      </c>
      <c r="B13" s="1" t="s">
        <v>1137</v>
      </c>
      <c r="C13" s="1" t="s">
        <v>5556</v>
      </c>
    </row>
    <row r="14" spans="1:4" x14ac:dyDescent="0.2">
      <c r="A14" s="1" t="s">
        <v>1069</v>
      </c>
      <c r="B14" s="1" t="s">
        <v>1137</v>
      </c>
      <c r="C14" s="1" t="s">
        <v>5558</v>
      </c>
    </row>
    <row r="15" spans="1:4" x14ac:dyDescent="0.2">
      <c r="A15" s="7" t="s">
        <v>5559</v>
      </c>
    </row>
    <row r="16" spans="1:4" x14ac:dyDescent="0.2">
      <c r="A16" s="7" t="s">
        <v>5560</v>
      </c>
    </row>
    <row r="17" spans="1:4" x14ac:dyDescent="0.2">
      <c r="A17" s="1" t="s">
        <v>1673</v>
      </c>
      <c r="B17" s="1" t="s">
        <v>9762</v>
      </c>
      <c r="C17" s="1" t="s">
        <v>5562</v>
      </c>
    </row>
    <row r="18" spans="1:4" x14ac:dyDescent="0.2">
      <c r="A18" s="1" t="s">
        <v>5561</v>
      </c>
      <c r="B18" s="1" t="s">
        <v>1187</v>
      </c>
      <c r="C18" s="1" t="s">
        <v>5562</v>
      </c>
    </row>
    <row r="19" spans="1:4" x14ac:dyDescent="0.2">
      <c r="A19" s="1" t="s">
        <v>5563</v>
      </c>
      <c r="B19" s="1" t="s">
        <v>1189</v>
      </c>
      <c r="C19" s="1" t="s">
        <v>5562</v>
      </c>
      <c r="D19" s="1" t="s">
        <v>5564</v>
      </c>
    </row>
    <row r="20" spans="1:4" x14ac:dyDescent="0.2">
      <c r="A20" s="1" t="s">
        <v>5565</v>
      </c>
      <c r="B20" s="1" t="s">
        <v>1188</v>
      </c>
      <c r="C20" s="1" t="s">
        <v>5562</v>
      </c>
    </row>
    <row r="21" spans="1:4" x14ac:dyDescent="0.2">
      <c r="A21" s="1" t="s">
        <v>5566</v>
      </c>
      <c r="B21" s="1" t="s">
        <v>300</v>
      </c>
      <c r="C21" s="1" t="s">
        <v>5562</v>
      </c>
      <c r="D21" s="1" t="s">
        <v>5567</v>
      </c>
    </row>
    <row r="22" spans="1:4" x14ac:dyDescent="0.2">
      <c r="A22" s="1" t="s">
        <v>5568</v>
      </c>
      <c r="B22" s="1" t="s">
        <v>217</v>
      </c>
      <c r="C22" s="1" t="s">
        <v>5562</v>
      </c>
      <c r="D22" s="1" t="s">
        <v>5569</v>
      </c>
    </row>
    <row r="23" spans="1:4" x14ac:dyDescent="0.2">
      <c r="A23" s="1" t="s">
        <v>5570</v>
      </c>
      <c r="B23" s="1" t="s">
        <v>218</v>
      </c>
      <c r="C23" s="1" t="s">
        <v>5562</v>
      </c>
      <c r="D23" s="1" t="s">
        <v>5571</v>
      </c>
    </row>
    <row r="24" spans="1:4" x14ac:dyDescent="0.2">
      <c r="A24" s="1" t="s">
        <v>5572</v>
      </c>
      <c r="B24" s="1" t="s">
        <v>301</v>
      </c>
      <c r="C24" s="1" t="s">
        <v>5562</v>
      </c>
      <c r="D24" s="1" t="s">
        <v>5573</v>
      </c>
    </row>
    <row r="25" spans="1:4" x14ac:dyDescent="0.2">
      <c r="A25" s="1" t="s">
        <v>5574</v>
      </c>
      <c r="B25" s="1" t="s">
        <v>220</v>
      </c>
      <c r="C25" s="1" t="s">
        <v>5562</v>
      </c>
      <c r="D25" s="1" t="s">
        <v>5575</v>
      </c>
    </row>
    <row r="26" spans="1:4" x14ac:dyDescent="0.2">
      <c r="A26" s="1" t="s">
        <v>5576</v>
      </c>
      <c r="B26" s="1" t="s">
        <v>1190</v>
      </c>
      <c r="C26" s="1" t="s">
        <v>5562</v>
      </c>
      <c r="D26" s="1" t="s">
        <v>5577</v>
      </c>
    </row>
    <row r="27" spans="1:4" x14ac:dyDescent="0.2">
      <c r="A27" s="1" t="s">
        <v>5578</v>
      </c>
      <c r="B27" s="1" t="s">
        <v>221</v>
      </c>
      <c r="C27" s="1" t="s">
        <v>5562</v>
      </c>
      <c r="D27" s="1" t="s">
        <v>5579</v>
      </c>
    </row>
    <row r="28" spans="1:4" x14ac:dyDescent="0.2">
      <c r="A28" s="1" t="s">
        <v>5580</v>
      </c>
      <c r="B28" s="1" t="s">
        <v>222</v>
      </c>
      <c r="C28" s="1" t="s">
        <v>5562</v>
      </c>
      <c r="D28" s="1" t="s">
        <v>5581</v>
      </c>
    </row>
    <row r="29" spans="1:4" x14ac:dyDescent="0.2">
      <c r="A29" s="1" t="s">
        <v>5582</v>
      </c>
      <c r="B29" s="1" t="s">
        <v>223</v>
      </c>
      <c r="C29" s="1" t="s">
        <v>5562</v>
      </c>
      <c r="D29" s="1" t="s">
        <v>5583</v>
      </c>
    </row>
    <row r="30" spans="1:4" x14ac:dyDescent="0.2">
      <c r="A30" s="1" t="s">
        <v>5584</v>
      </c>
      <c r="B30" s="1" t="s">
        <v>1191</v>
      </c>
      <c r="C30" s="1" t="s">
        <v>5562</v>
      </c>
      <c r="D30" s="1" t="s">
        <v>5585</v>
      </c>
    </row>
    <row r="31" spans="1:4" x14ac:dyDescent="0.2">
      <c r="A31" s="1" t="s">
        <v>5586</v>
      </c>
      <c r="B31" s="1" t="s">
        <v>1192</v>
      </c>
      <c r="C31" s="1" t="s">
        <v>5562</v>
      </c>
      <c r="D31" s="1" t="s">
        <v>5587</v>
      </c>
    </row>
    <row r="32" spans="1:4" x14ac:dyDescent="0.2">
      <c r="A32" s="1" t="s">
        <v>5588</v>
      </c>
      <c r="B32" s="1" t="s">
        <v>224</v>
      </c>
      <c r="C32" s="1" t="s">
        <v>5562</v>
      </c>
      <c r="D32" s="1" t="s">
        <v>5589</v>
      </c>
    </row>
    <row r="33" spans="1:4" x14ac:dyDescent="0.2">
      <c r="A33" s="1" t="s">
        <v>5590</v>
      </c>
      <c r="B33" s="1" t="s">
        <v>225</v>
      </c>
      <c r="C33" s="1" t="s">
        <v>5562</v>
      </c>
      <c r="D33" s="1" t="s">
        <v>5591</v>
      </c>
    </row>
    <row r="34" spans="1:4" x14ac:dyDescent="0.2">
      <c r="A34" s="1" t="s">
        <v>5592</v>
      </c>
      <c r="B34" s="1" t="s">
        <v>226</v>
      </c>
      <c r="C34" s="1" t="s">
        <v>5562</v>
      </c>
      <c r="D34" s="1" t="s">
        <v>5593</v>
      </c>
    </row>
    <row r="35" spans="1:4" x14ac:dyDescent="0.2">
      <c r="A35" s="1" t="s">
        <v>5594</v>
      </c>
      <c r="B35" s="1" t="s">
        <v>227</v>
      </c>
      <c r="C35" s="1" t="s">
        <v>5562</v>
      </c>
      <c r="D35" s="1" t="s">
        <v>5595</v>
      </c>
    </row>
    <row r="36" spans="1:4" x14ac:dyDescent="0.2">
      <c r="A36" s="1" t="s">
        <v>5596</v>
      </c>
      <c r="B36" s="1" t="s">
        <v>228</v>
      </c>
      <c r="C36" s="1" t="s">
        <v>5562</v>
      </c>
      <c r="D36" s="1" t="s">
        <v>5597</v>
      </c>
    </row>
    <row r="37" spans="1:4" x14ac:dyDescent="0.2">
      <c r="A37" s="1" t="s">
        <v>5598</v>
      </c>
      <c r="B37" s="1" t="s">
        <v>229</v>
      </c>
      <c r="C37" s="1" t="s">
        <v>5562</v>
      </c>
      <c r="D37" s="1" t="s">
        <v>5599</v>
      </c>
    </row>
    <row r="38" spans="1:4" x14ac:dyDescent="0.2">
      <c r="A38" s="1" t="s">
        <v>5600</v>
      </c>
      <c r="B38" s="1" t="s">
        <v>230</v>
      </c>
      <c r="C38" s="1" t="s">
        <v>5562</v>
      </c>
      <c r="D38" s="1" t="s">
        <v>5601</v>
      </c>
    </row>
    <row r="39" spans="1:4" x14ac:dyDescent="0.2">
      <c r="A39" s="1" t="s">
        <v>5602</v>
      </c>
      <c r="B39" s="1" t="s">
        <v>1193</v>
      </c>
      <c r="C39" s="1" t="s">
        <v>5562</v>
      </c>
      <c r="D39" s="1" t="s">
        <v>5603</v>
      </c>
    </row>
    <row r="40" spans="1:4" x14ac:dyDescent="0.2">
      <c r="A40" s="1" t="s">
        <v>5604</v>
      </c>
      <c r="B40" s="1" t="s">
        <v>231</v>
      </c>
      <c r="C40" s="1" t="s">
        <v>5562</v>
      </c>
      <c r="D40" s="1" t="s">
        <v>5605</v>
      </c>
    </row>
    <row r="41" spans="1:4" x14ac:dyDescent="0.2">
      <c r="A41" s="1" t="s">
        <v>5606</v>
      </c>
      <c r="B41" s="1" t="s">
        <v>232</v>
      </c>
      <c r="C41" s="1" t="s">
        <v>5562</v>
      </c>
      <c r="D41" s="1" t="s">
        <v>5607</v>
      </c>
    </row>
    <row r="42" spans="1:4" x14ac:dyDescent="0.2">
      <c r="A42" s="1" t="s">
        <v>5608</v>
      </c>
      <c r="B42" s="1" t="s">
        <v>233</v>
      </c>
      <c r="C42" s="1" t="s">
        <v>5562</v>
      </c>
      <c r="D42" s="1" t="s">
        <v>5609</v>
      </c>
    </row>
    <row r="43" spans="1:4" x14ac:dyDescent="0.2">
      <c r="A43" s="1" t="s">
        <v>5610</v>
      </c>
      <c r="B43" s="1" t="s">
        <v>234</v>
      </c>
      <c r="C43" s="1" t="s">
        <v>5562</v>
      </c>
      <c r="D43" s="1" t="s">
        <v>5611</v>
      </c>
    </row>
    <row r="44" spans="1:4" x14ac:dyDescent="0.2">
      <c r="A44" s="1" t="s">
        <v>4771</v>
      </c>
      <c r="B44" s="1" t="s">
        <v>1196</v>
      </c>
      <c r="C44" s="1" t="s">
        <v>5562</v>
      </c>
      <c r="D44" s="1" t="s">
        <v>5612</v>
      </c>
    </row>
    <row r="45" spans="1:4" x14ac:dyDescent="0.2">
      <c r="A45" s="1" t="s">
        <v>5613</v>
      </c>
      <c r="B45" s="1" t="s">
        <v>1194</v>
      </c>
      <c r="C45" s="1" t="s">
        <v>5562</v>
      </c>
    </row>
    <row r="46" spans="1:4" x14ac:dyDescent="0.2">
      <c r="A46" s="1" t="s">
        <v>9763</v>
      </c>
      <c r="B46" s="1" t="s">
        <v>9764</v>
      </c>
      <c r="C46" s="1" t="s">
        <v>5562</v>
      </c>
    </row>
    <row r="47" spans="1:4" x14ac:dyDescent="0.2">
      <c r="A47" s="1" t="s">
        <v>5614</v>
      </c>
      <c r="B47" s="1" t="s">
        <v>5615</v>
      </c>
      <c r="C47" s="1" t="s">
        <v>5562</v>
      </c>
    </row>
    <row r="48" spans="1:4" x14ac:dyDescent="0.2">
      <c r="A48" s="1" t="s">
        <v>9765</v>
      </c>
      <c r="B48" s="1" t="s">
        <v>9766</v>
      </c>
      <c r="C48" s="1" t="s">
        <v>5562</v>
      </c>
    </row>
    <row r="49" spans="1:4" x14ac:dyDescent="0.2">
      <c r="A49" s="7" t="s">
        <v>5616</v>
      </c>
    </row>
    <row r="50" spans="1:4" x14ac:dyDescent="0.2">
      <c r="A50" s="1" t="s">
        <v>5617</v>
      </c>
      <c r="B50" s="1" t="s">
        <v>1140</v>
      </c>
      <c r="C50" s="1" t="s">
        <v>5562</v>
      </c>
    </row>
    <row r="51" spans="1:4" x14ac:dyDescent="0.2">
      <c r="A51" s="1" t="s">
        <v>5618</v>
      </c>
      <c r="B51" s="1" t="s">
        <v>1138</v>
      </c>
      <c r="C51" s="1" t="s">
        <v>5619</v>
      </c>
      <c r="D51" s="1" t="s">
        <v>5620</v>
      </c>
    </row>
    <row r="52" spans="1:4" x14ac:dyDescent="0.2">
      <c r="A52" s="1" t="s">
        <v>7565</v>
      </c>
      <c r="B52" s="1" t="s">
        <v>158</v>
      </c>
      <c r="C52" s="1" t="s">
        <v>5619</v>
      </c>
    </row>
    <row r="53" spans="1:4" x14ac:dyDescent="0.2">
      <c r="A53" s="1" t="s">
        <v>7566</v>
      </c>
      <c r="B53" s="1" t="s">
        <v>1139</v>
      </c>
      <c r="C53" s="1" t="s">
        <v>5619</v>
      </c>
      <c r="D53" s="1" t="s">
        <v>5621</v>
      </c>
    </row>
    <row r="54" spans="1:4" x14ac:dyDescent="0.2">
      <c r="A54" s="1" t="s">
        <v>75</v>
      </c>
      <c r="B54" s="1" t="s">
        <v>159</v>
      </c>
      <c r="C54" s="1" t="s">
        <v>5619</v>
      </c>
    </row>
    <row r="55" spans="1:4" x14ac:dyDescent="0.2">
      <c r="A55" s="1" t="s">
        <v>74</v>
      </c>
      <c r="B55" s="1" t="s">
        <v>157</v>
      </c>
      <c r="D55" s="1" t="s">
        <v>5622</v>
      </c>
    </row>
    <row r="56" spans="1:4" x14ac:dyDescent="0.2">
      <c r="A56" s="7" t="s">
        <v>7601</v>
      </c>
    </row>
    <row r="57" spans="1:4" x14ac:dyDescent="0.2">
      <c r="A57" s="1" t="s">
        <v>7602</v>
      </c>
      <c r="B57" s="1" t="s">
        <v>7022</v>
      </c>
      <c r="C57" s="1" t="s">
        <v>5900</v>
      </c>
    </row>
    <row r="58" spans="1:4" x14ac:dyDescent="0.2">
      <c r="A58" s="7" t="s">
        <v>5623</v>
      </c>
    </row>
    <row r="59" spans="1:4" x14ac:dyDescent="0.2">
      <c r="A59" s="1" t="s">
        <v>5624</v>
      </c>
      <c r="B59" s="1" t="s">
        <v>1141</v>
      </c>
      <c r="C59" s="1" t="s">
        <v>5619</v>
      </c>
      <c r="D59" s="1" t="s">
        <v>5625</v>
      </c>
    </row>
    <row r="60" spans="1:4" x14ac:dyDescent="0.2">
      <c r="A60" s="1" t="s">
        <v>5626</v>
      </c>
      <c r="B60" s="1" t="s">
        <v>160</v>
      </c>
      <c r="C60" s="1" t="s">
        <v>5619</v>
      </c>
      <c r="D60" s="1" t="s">
        <v>5627</v>
      </c>
    </row>
    <row r="61" spans="1:4" x14ac:dyDescent="0.2">
      <c r="A61" s="1" t="s">
        <v>5628</v>
      </c>
      <c r="B61" s="1" t="s">
        <v>161</v>
      </c>
      <c r="C61" s="1" t="s">
        <v>5619</v>
      </c>
    </row>
    <row r="62" spans="1:4" x14ac:dyDescent="0.2">
      <c r="A62" s="1" t="s">
        <v>5629</v>
      </c>
      <c r="B62" s="1" t="s">
        <v>190</v>
      </c>
      <c r="C62" s="1" t="s">
        <v>5619</v>
      </c>
    </row>
    <row r="63" spans="1:4" x14ac:dyDescent="0.2">
      <c r="A63" s="1" t="s">
        <v>5154</v>
      </c>
      <c r="B63" s="1" t="s">
        <v>5273</v>
      </c>
    </row>
    <row r="64" spans="1:4" x14ac:dyDescent="0.2">
      <c r="A64" s="7" t="s">
        <v>5630</v>
      </c>
    </row>
    <row r="65" spans="1:4" x14ac:dyDescent="0.2">
      <c r="A65" s="1" t="s">
        <v>5631</v>
      </c>
      <c r="B65" s="1" t="s">
        <v>5280</v>
      </c>
      <c r="C65" s="1" t="s">
        <v>5619</v>
      </c>
      <c r="D65" s="1" t="s">
        <v>5632</v>
      </c>
    </row>
    <row r="66" spans="1:4" x14ac:dyDescent="0.2">
      <c r="A66" s="1" t="s">
        <v>5633</v>
      </c>
      <c r="B66" s="1" t="s">
        <v>5281</v>
      </c>
      <c r="C66" s="1" t="s">
        <v>5619</v>
      </c>
      <c r="D66" s="1" t="s">
        <v>5634</v>
      </c>
    </row>
    <row r="67" spans="1:4" x14ac:dyDescent="0.2">
      <c r="A67" s="1" t="s">
        <v>5635</v>
      </c>
      <c r="B67" s="1" t="s">
        <v>5282</v>
      </c>
      <c r="C67" s="1" t="s">
        <v>5619</v>
      </c>
      <c r="D67" s="1" t="s">
        <v>5636</v>
      </c>
    </row>
    <row r="68" spans="1:4" x14ac:dyDescent="0.2">
      <c r="A68" s="1" t="s">
        <v>5637</v>
      </c>
      <c r="B68" s="1" t="s">
        <v>5283</v>
      </c>
      <c r="C68" s="1" t="s">
        <v>5619</v>
      </c>
    </row>
    <row r="69" spans="1:4" x14ac:dyDescent="0.2">
      <c r="A69" s="1" t="s">
        <v>5638</v>
      </c>
      <c r="B69" s="1" t="s">
        <v>5284</v>
      </c>
      <c r="C69" s="1" t="s">
        <v>5619</v>
      </c>
      <c r="D69" s="1" t="s">
        <v>5639</v>
      </c>
    </row>
    <row r="70" spans="1:4" x14ac:dyDescent="0.2">
      <c r="A70" s="1" t="s">
        <v>5640</v>
      </c>
      <c r="B70" s="1" t="s">
        <v>5285</v>
      </c>
      <c r="C70" s="1" t="s">
        <v>5619</v>
      </c>
      <c r="D70" s="1" t="s">
        <v>5641</v>
      </c>
    </row>
    <row r="71" spans="1:4" x14ac:dyDescent="0.2">
      <c r="A71" s="1" t="s">
        <v>5642</v>
      </c>
      <c r="B71" s="1" t="s">
        <v>196</v>
      </c>
      <c r="C71" s="1" t="s">
        <v>5619</v>
      </c>
      <c r="D71" s="1" t="s">
        <v>5643</v>
      </c>
    </row>
    <row r="72" spans="1:4" x14ac:dyDescent="0.2">
      <c r="A72" s="1" t="s">
        <v>5644</v>
      </c>
      <c r="B72" s="1" t="s">
        <v>197</v>
      </c>
      <c r="C72" s="1" t="s">
        <v>5619</v>
      </c>
      <c r="D72" s="1" t="s">
        <v>5645</v>
      </c>
    </row>
    <row r="73" spans="1:4" x14ac:dyDescent="0.2">
      <c r="A73" s="1" t="s">
        <v>5646</v>
      </c>
      <c r="B73" s="1" t="s">
        <v>198</v>
      </c>
      <c r="C73" s="1" t="s">
        <v>5619</v>
      </c>
      <c r="D73" s="1" t="s">
        <v>5647</v>
      </c>
    </row>
    <row r="74" spans="1:4" x14ac:dyDescent="0.2">
      <c r="A74" s="1" t="s">
        <v>5648</v>
      </c>
      <c r="B74" s="1" t="s">
        <v>5286</v>
      </c>
      <c r="C74" s="1" t="s">
        <v>5619</v>
      </c>
    </row>
    <row r="75" spans="1:4" x14ac:dyDescent="0.2">
      <c r="A75" s="1" t="s">
        <v>5649</v>
      </c>
      <c r="B75" s="1" t="s">
        <v>199</v>
      </c>
      <c r="C75" s="1" t="s">
        <v>5619</v>
      </c>
      <c r="D75" s="1" t="s">
        <v>5650</v>
      </c>
    </row>
    <row r="76" spans="1:4" x14ac:dyDescent="0.2">
      <c r="A76" s="1" t="s">
        <v>5651</v>
      </c>
      <c r="B76" s="1" t="s">
        <v>5287</v>
      </c>
      <c r="C76" s="1" t="s">
        <v>5619</v>
      </c>
    </row>
    <row r="77" spans="1:4" x14ac:dyDescent="0.2">
      <c r="A77" s="1" t="s">
        <v>5652</v>
      </c>
      <c r="B77" s="1" t="s">
        <v>200</v>
      </c>
      <c r="C77" s="1" t="s">
        <v>5619</v>
      </c>
      <c r="D77" s="1" t="s">
        <v>5653</v>
      </c>
    </row>
    <row r="78" spans="1:4" x14ac:dyDescent="0.2">
      <c r="A78" s="1" t="s">
        <v>5654</v>
      </c>
      <c r="B78" s="1" t="s">
        <v>5288</v>
      </c>
      <c r="C78" s="1" t="s">
        <v>5619</v>
      </c>
    </row>
    <row r="79" spans="1:4" x14ac:dyDescent="0.2">
      <c r="A79" s="1" t="s">
        <v>5655</v>
      </c>
      <c r="B79" s="1" t="s">
        <v>5289</v>
      </c>
      <c r="C79" s="1" t="s">
        <v>5619</v>
      </c>
    </row>
    <row r="80" spans="1:4" x14ac:dyDescent="0.2">
      <c r="A80" s="1" t="s">
        <v>5656</v>
      </c>
      <c r="B80" s="1" t="s">
        <v>201</v>
      </c>
      <c r="C80" s="1" t="s">
        <v>5619</v>
      </c>
      <c r="D80" s="1" t="s">
        <v>5657</v>
      </c>
    </row>
    <row r="81" spans="1:4" x14ac:dyDescent="0.2">
      <c r="A81" s="1" t="s">
        <v>5658</v>
      </c>
      <c r="B81" s="1" t="s">
        <v>5290</v>
      </c>
      <c r="C81" s="1" t="s">
        <v>5619</v>
      </c>
    </row>
    <row r="82" spans="1:4" x14ac:dyDescent="0.2">
      <c r="A82" s="1" t="s">
        <v>5659</v>
      </c>
      <c r="B82" s="1" t="s">
        <v>5291</v>
      </c>
      <c r="C82" s="1" t="s">
        <v>5619</v>
      </c>
    </row>
    <row r="83" spans="1:4" x14ac:dyDescent="0.2">
      <c r="A83" s="1" t="s">
        <v>5660</v>
      </c>
      <c r="B83" s="1" t="s">
        <v>202</v>
      </c>
      <c r="C83" s="1" t="s">
        <v>5619</v>
      </c>
      <c r="D83" s="1" t="s">
        <v>5661</v>
      </c>
    </row>
    <row r="84" spans="1:4" x14ac:dyDescent="0.2">
      <c r="A84" s="1" t="s">
        <v>5662</v>
      </c>
      <c r="B84" s="1" t="s">
        <v>5292</v>
      </c>
      <c r="C84" s="1" t="s">
        <v>5619</v>
      </c>
      <c r="D84" s="1" t="s">
        <v>5663</v>
      </c>
    </row>
    <row r="85" spans="1:4" x14ac:dyDescent="0.2">
      <c r="A85" s="1" t="s">
        <v>5664</v>
      </c>
      <c r="B85" s="1" t="s">
        <v>203</v>
      </c>
      <c r="C85" s="1" t="s">
        <v>5619</v>
      </c>
      <c r="D85" s="1" t="s">
        <v>5665</v>
      </c>
    </row>
    <row r="86" spans="1:4" x14ac:dyDescent="0.2">
      <c r="A86" s="1" t="s">
        <v>5666</v>
      </c>
      <c r="B86" s="1" t="s">
        <v>204</v>
      </c>
      <c r="C86" s="1" t="s">
        <v>5619</v>
      </c>
    </row>
    <row r="87" spans="1:4" x14ac:dyDescent="0.2">
      <c r="A87" s="1" t="s">
        <v>5667</v>
      </c>
      <c r="B87" s="1" t="s">
        <v>205</v>
      </c>
      <c r="C87" s="1" t="s">
        <v>5619</v>
      </c>
      <c r="D87" s="1" t="s">
        <v>5668</v>
      </c>
    </row>
    <row r="88" spans="1:4" x14ac:dyDescent="0.2">
      <c r="A88" s="1" t="s">
        <v>5669</v>
      </c>
      <c r="B88" s="1" t="s">
        <v>5293</v>
      </c>
      <c r="C88" s="1" t="s">
        <v>5619</v>
      </c>
      <c r="D88" s="1" t="s">
        <v>5670</v>
      </c>
    </row>
    <row r="89" spans="1:4" x14ac:dyDescent="0.2">
      <c r="A89" s="1" t="s">
        <v>5671</v>
      </c>
      <c r="B89" s="1" t="s">
        <v>206</v>
      </c>
      <c r="C89" s="1" t="s">
        <v>5619</v>
      </c>
      <c r="D89" s="1" t="s">
        <v>5672</v>
      </c>
    </row>
    <row r="90" spans="1:4" x14ac:dyDescent="0.2">
      <c r="A90" s="1" t="s">
        <v>9767</v>
      </c>
      <c r="B90" s="1" t="s">
        <v>9768</v>
      </c>
      <c r="C90" s="1" t="s">
        <v>5619</v>
      </c>
    </row>
    <row r="91" spans="1:4" x14ac:dyDescent="0.2">
      <c r="A91" s="1" t="s">
        <v>5673</v>
      </c>
      <c r="B91" s="1" t="s">
        <v>5294</v>
      </c>
      <c r="C91" s="1" t="s">
        <v>5619</v>
      </c>
      <c r="D91" s="1" t="s">
        <v>5674</v>
      </c>
    </row>
    <row r="92" spans="1:4" x14ac:dyDescent="0.2">
      <c r="A92" s="1" t="s">
        <v>5675</v>
      </c>
      <c r="B92" s="1" t="s">
        <v>5295</v>
      </c>
      <c r="C92" s="1" t="s">
        <v>5619</v>
      </c>
      <c r="D92" s="1" t="s">
        <v>5676</v>
      </c>
    </row>
    <row r="93" spans="1:4" x14ac:dyDescent="0.2">
      <c r="A93" s="1" t="s">
        <v>5677</v>
      </c>
      <c r="B93" s="1" t="s">
        <v>5296</v>
      </c>
      <c r="C93" s="1" t="s">
        <v>5619</v>
      </c>
      <c r="D93" s="1" t="s">
        <v>5678</v>
      </c>
    </row>
    <row r="94" spans="1:4" x14ac:dyDescent="0.2">
      <c r="A94" s="1" t="s">
        <v>5679</v>
      </c>
      <c r="B94" s="1" t="s">
        <v>5297</v>
      </c>
      <c r="C94" s="1" t="s">
        <v>5619</v>
      </c>
      <c r="D94" s="1" t="s">
        <v>5680</v>
      </c>
    </row>
    <row r="95" spans="1:4" x14ac:dyDescent="0.2">
      <c r="A95" s="1" t="s">
        <v>5681</v>
      </c>
      <c r="B95" s="1" t="s">
        <v>5298</v>
      </c>
      <c r="C95" s="1" t="s">
        <v>5619</v>
      </c>
    </row>
    <row r="96" spans="1:4" x14ac:dyDescent="0.2">
      <c r="A96" s="1" t="s">
        <v>9769</v>
      </c>
      <c r="B96" s="1" t="s">
        <v>9771</v>
      </c>
      <c r="C96" s="1" t="s">
        <v>5619</v>
      </c>
    </row>
    <row r="97" spans="1:4" x14ac:dyDescent="0.2">
      <c r="A97" s="1" t="s">
        <v>9770</v>
      </c>
      <c r="B97" s="1" t="s">
        <v>9772</v>
      </c>
      <c r="C97" s="1" t="s">
        <v>5619</v>
      </c>
    </row>
    <row r="98" spans="1:4" x14ac:dyDescent="0.2">
      <c r="A98" s="1" t="s">
        <v>5682</v>
      </c>
      <c r="B98" s="1" t="s">
        <v>5299</v>
      </c>
      <c r="C98" s="1" t="s">
        <v>5619</v>
      </c>
      <c r="D98" s="1" t="s">
        <v>5683</v>
      </c>
    </row>
    <row r="99" spans="1:4" x14ac:dyDescent="0.2">
      <c r="A99" s="1" t="s">
        <v>5684</v>
      </c>
      <c r="B99" s="1" t="s">
        <v>5300</v>
      </c>
      <c r="C99" s="1" t="s">
        <v>5619</v>
      </c>
      <c r="D99" s="1" t="s">
        <v>5685</v>
      </c>
    </row>
    <row r="100" spans="1:4" x14ac:dyDescent="0.2">
      <c r="A100" s="1" t="s">
        <v>5686</v>
      </c>
      <c r="B100" s="1" t="s">
        <v>5301</v>
      </c>
      <c r="C100" s="1" t="s">
        <v>5619</v>
      </c>
    </row>
    <row r="101" spans="1:4" x14ac:dyDescent="0.2">
      <c r="A101" s="1" t="s">
        <v>9773</v>
      </c>
      <c r="B101" s="1" t="s">
        <v>9774</v>
      </c>
      <c r="C101" s="1" t="s">
        <v>5619</v>
      </c>
    </row>
    <row r="102" spans="1:4" x14ac:dyDescent="0.2">
      <c r="A102" s="1" t="s">
        <v>5687</v>
      </c>
      <c r="B102" s="1" t="s">
        <v>5302</v>
      </c>
      <c r="C102" s="1" t="s">
        <v>5619</v>
      </c>
      <c r="D102" s="1" t="s">
        <v>5688</v>
      </c>
    </row>
    <row r="103" spans="1:4" x14ac:dyDescent="0.2">
      <c r="A103" s="1" t="s">
        <v>5689</v>
      </c>
      <c r="B103" s="1" t="s">
        <v>5303</v>
      </c>
      <c r="C103" s="1" t="s">
        <v>5619</v>
      </c>
    </row>
    <row r="104" spans="1:4" x14ac:dyDescent="0.2">
      <c r="A104" s="1" t="s">
        <v>5690</v>
      </c>
      <c r="B104" s="1" t="s">
        <v>5304</v>
      </c>
      <c r="C104" s="1" t="s">
        <v>5619</v>
      </c>
      <c r="D104" s="1" t="s">
        <v>5691</v>
      </c>
    </row>
    <row r="105" spans="1:4" x14ac:dyDescent="0.2">
      <c r="A105" s="1" t="s">
        <v>9775</v>
      </c>
      <c r="B105" s="1" t="s">
        <v>9776</v>
      </c>
      <c r="C105" s="1" t="s">
        <v>5619</v>
      </c>
    </row>
    <row r="106" spans="1:4" x14ac:dyDescent="0.2">
      <c r="A106" s="1" t="s">
        <v>5692</v>
      </c>
      <c r="B106" s="1" t="s">
        <v>5305</v>
      </c>
      <c r="C106" s="1" t="s">
        <v>5619</v>
      </c>
      <c r="D106" s="1" t="s">
        <v>5693</v>
      </c>
    </row>
    <row r="107" spans="1:4" x14ac:dyDescent="0.2">
      <c r="A107" s="1" t="s">
        <v>5694</v>
      </c>
      <c r="B107" s="1" t="s">
        <v>5306</v>
      </c>
      <c r="C107" s="1" t="s">
        <v>5619</v>
      </c>
      <c r="D107" s="1" t="s">
        <v>5695</v>
      </c>
    </row>
    <row r="108" spans="1:4" x14ac:dyDescent="0.2">
      <c r="A108" s="1" t="s">
        <v>9777</v>
      </c>
      <c r="B108" s="1" t="s">
        <v>5697</v>
      </c>
      <c r="C108" s="1" t="s">
        <v>5619</v>
      </c>
    </row>
    <row r="109" spans="1:4" x14ac:dyDescent="0.2">
      <c r="A109" s="1" t="s">
        <v>9778</v>
      </c>
      <c r="B109" s="1" t="s">
        <v>9779</v>
      </c>
      <c r="C109" s="1" t="s">
        <v>5619</v>
      </c>
    </row>
    <row r="110" spans="1:4" x14ac:dyDescent="0.2">
      <c r="A110" s="1" t="s">
        <v>5696</v>
      </c>
      <c r="B110" s="1" t="s">
        <v>9780</v>
      </c>
      <c r="C110" s="1" t="s">
        <v>5619</v>
      </c>
      <c r="D110" s="1" t="s">
        <v>5698</v>
      </c>
    </row>
    <row r="111" spans="1:4" x14ac:dyDescent="0.2">
      <c r="A111" s="1" t="s">
        <v>5699</v>
      </c>
      <c r="B111" s="1" t="s">
        <v>5307</v>
      </c>
      <c r="C111" s="1" t="s">
        <v>5619</v>
      </c>
    </row>
    <row r="112" spans="1:4" x14ac:dyDescent="0.2">
      <c r="A112" s="1" t="s">
        <v>5700</v>
      </c>
      <c r="B112" s="1" t="s">
        <v>5308</v>
      </c>
      <c r="C112" s="1" t="s">
        <v>5619</v>
      </c>
    </row>
    <row r="113" spans="1:4" x14ac:dyDescent="0.2">
      <c r="A113" s="1" t="s">
        <v>5701</v>
      </c>
      <c r="B113" s="1" t="s">
        <v>5309</v>
      </c>
      <c r="C113" s="1" t="s">
        <v>5619</v>
      </c>
    </row>
    <row r="114" spans="1:4" x14ac:dyDescent="0.2">
      <c r="A114" s="1" t="s">
        <v>5702</v>
      </c>
      <c r="B114" s="1" t="s">
        <v>5310</v>
      </c>
      <c r="C114" s="1" t="s">
        <v>5619</v>
      </c>
    </row>
    <row r="115" spans="1:4" x14ac:dyDescent="0.2">
      <c r="A115" s="1" t="s">
        <v>9781</v>
      </c>
      <c r="B115" s="1" t="s">
        <v>9782</v>
      </c>
      <c r="C115" s="1" t="s">
        <v>5619</v>
      </c>
    </row>
    <row r="116" spans="1:4" x14ac:dyDescent="0.2">
      <c r="A116" s="1" t="s">
        <v>5703</v>
      </c>
      <c r="B116" s="1" t="s">
        <v>5311</v>
      </c>
      <c r="C116" s="1" t="s">
        <v>5619</v>
      </c>
      <c r="D116" s="1" t="s">
        <v>5704</v>
      </c>
    </row>
    <row r="117" spans="1:4" x14ac:dyDescent="0.2">
      <c r="A117" s="1" t="s">
        <v>5705</v>
      </c>
      <c r="B117" s="1" t="s">
        <v>5312</v>
      </c>
      <c r="C117" s="1" t="s">
        <v>5619</v>
      </c>
    </row>
    <row r="118" spans="1:4" x14ac:dyDescent="0.2">
      <c r="A118" s="1" t="s">
        <v>5706</v>
      </c>
      <c r="B118" s="1" t="s">
        <v>5313</v>
      </c>
      <c r="C118" s="1" t="s">
        <v>5619</v>
      </c>
    </row>
    <row r="119" spans="1:4" x14ac:dyDescent="0.2">
      <c r="A119" s="1" t="s">
        <v>5707</v>
      </c>
      <c r="B119" s="1" t="s">
        <v>5314</v>
      </c>
      <c r="C119" s="1" t="s">
        <v>5619</v>
      </c>
      <c r="D119" s="1" t="s">
        <v>5708</v>
      </c>
    </row>
    <row r="120" spans="1:4" x14ac:dyDescent="0.2">
      <c r="A120" s="1" t="s">
        <v>5709</v>
      </c>
      <c r="B120" s="1" t="s">
        <v>5315</v>
      </c>
      <c r="C120" s="1" t="s">
        <v>5619</v>
      </c>
      <c r="D120" s="1" t="s">
        <v>5710</v>
      </c>
    </row>
    <row r="121" spans="1:4" x14ac:dyDescent="0.2">
      <c r="A121" s="1" t="s">
        <v>5711</v>
      </c>
      <c r="B121" s="1" t="s">
        <v>5316</v>
      </c>
      <c r="C121" s="1" t="s">
        <v>5619</v>
      </c>
      <c r="D121" s="1" t="s">
        <v>5712</v>
      </c>
    </row>
    <row r="122" spans="1:4" x14ac:dyDescent="0.2">
      <c r="A122" s="1" t="s">
        <v>5713</v>
      </c>
      <c r="B122" s="1" t="s">
        <v>5317</v>
      </c>
      <c r="C122" s="1" t="s">
        <v>5619</v>
      </c>
    </row>
    <row r="123" spans="1:4" x14ac:dyDescent="0.2">
      <c r="A123" s="1" t="s">
        <v>5714</v>
      </c>
      <c r="B123" s="1" t="s">
        <v>5318</v>
      </c>
      <c r="C123" s="1" t="s">
        <v>5619</v>
      </c>
    </row>
    <row r="124" spans="1:4" x14ac:dyDescent="0.2">
      <c r="A124" s="1" t="s">
        <v>7571</v>
      </c>
      <c r="B124" s="1" t="s">
        <v>5318</v>
      </c>
      <c r="C124" s="1" t="s">
        <v>5619</v>
      </c>
    </row>
    <row r="125" spans="1:4" x14ac:dyDescent="0.2">
      <c r="A125" s="1" t="s">
        <v>5715</v>
      </c>
      <c r="B125" s="1" t="s">
        <v>5319</v>
      </c>
      <c r="C125" s="1" t="s">
        <v>5619</v>
      </c>
    </row>
    <row r="126" spans="1:4" x14ac:dyDescent="0.2">
      <c r="A126" s="1" t="s">
        <v>5716</v>
      </c>
      <c r="B126" s="1" t="s">
        <v>5320</v>
      </c>
      <c r="C126" s="1" t="s">
        <v>5619</v>
      </c>
      <c r="D126" s="1" t="s">
        <v>5717</v>
      </c>
    </row>
    <row r="127" spans="1:4" x14ac:dyDescent="0.2">
      <c r="A127" s="1" t="s">
        <v>9783</v>
      </c>
      <c r="B127" s="1" t="s">
        <v>9784</v>
      </c>
      <c r="C127" s="1" t="s">
        <v>5619</v>
      </c>
    </row>
    <row r="128" spans="1:4" x14ac:dyDescent="0.2">
      <c r="A128" s="1" t="s">
        <v>5718</v>
      </c>
      <c r="B128" s="1" t="s">
        <v>208</v>
      </c>
      <c r="C128" s="1" t="s">
        <v>5619</v>
      </c>
      <c r="D128" s="1" t="s">
        <v>5719</v>
      </c>
    </row>
    <row r="129" spans="1:4" x14ac:dyDescent="0.2">
      <c r="A129" s="1" t="s">
        <v>5720</v>
      </c>
      <c r="B129" s="1" t="s">
        <v>5321</v>
      </c>
      <c r="C129" s="1" t="s">
        <v>5619</v>
      </c>
    </row>
    <row r="130" spans="1:4" x14ac:dyDescent="0.2">
      <c r="A130" s="1" t="s">
        <v>5721</v>
      </c>
      <c r="B130" s="1" t="s">
        <v>5322</v>
      </c>
      <c r="C130" s="1" t="s">
        <v>5619</v>
      </c>
    </row>
    <row r="131" spans="1:4" x14ac:dyDescent="0.2">
      <c r="A131" s="1" t="s">
        <v>5722</v>
      </c>
      <c r="B131" s="1" t="s">
        <v>5324</v>
      </c>
      <c r="C131" s="1" t="s">
        <v>5619</v>
      </c>
      <c r="D131" s="1" t="s">
        <v>5723</v>
      </c>
    </row>
    <row r="132" spans="1:4" x14ac:dyDescent="0.2">
      <c r="A132" s="1" t="s">
        <v>7572</v>
      </c>
      <c r="B132" s="1" t="s">
        <v>5323</v>
      </c>
      <c r="C132" s="1" t="s">
        <v>5619</v>
      </c>
    </row>
    <row r="133" spans="1:4" x14ac:dyDescent="0.2">
      <c r="A133" s="1" t="s">
        <v>5724</v>
      </c>
      <c r="B133" s="1" t="s">
        <v>5325</v>
      </c>
      <c r="C133" s="1" t="s">
        <v>5619</v>
      </c>
      <c r="D133" s="1" t="s">
        <v>5725</v>
      </c>
    </row>
    <row r="134" spans="1:4" x14ac:dyDescent="0.2">
      <c r="A134" s="1" t="s">
        <v>5726</v>
      </c>
      <c r="B134" s="1" t="s">
        <v>5326</v>
      </c>
      <c r="C134" s="1" t="s">
        <v>5619</v>
      </c>
    </row>
    <row r="135" spans="1:4" x14ac:dyDescent="0.2">
      <c r="A135" s="1" t="s">
        <v>5727</v>
      </c>
      <c r="B135" s="1" t="s">
        <v>5327</v>
      </c>
      <c r="C135" s="1" t="s">
        <v>5619</v>
      </c>
      <c r="D135" s="1" t="s">
        <v>5728</v>
      </c>
    </row>
    <row r="136" spans="1:4" x14ac:dyDescent="0.2">
      <c r="A136" s="1" t="s">
        <v>9787</v>
      </c>
      <c r="B136" s="1" t="s">
        <v>9788</v>
      </c>
      <c r="C136" s="1" t="s">
        <v>5619</v>
      </c>
    </row>
    <row r="137" spans="1:4" x14ac:dyDescent="0.2">
      <c r="A137" s="1" t="s">
        <v>5729</v>
      </c>
      <c r="B137" s="1" t="s">
        <v>5328</v>
      </c>
      <c r="C137" s="1" t="s">
        <v>5619</v>
      </c>
    </row>
    <row r="138" spans="1:4" x14ac:dyDescent="0.2">
      <c r="A138" s="1" t="s">
        <v>9785</v>
      </c>
      <c r="B138" s="1" t="s">
        <v>9786</v>
      </c>
      <c r="C138" s="1" t="s">
        <v>5619</v>
      </c>
    </row>
    <row r="139" spans="1:4" x14ac:dyDescent="0.2">
      <c r="A139" s="1" t="s">
        <v>5730</v>
      </c>
      <c r="B139" s="1" t="s">
        <v>209</v>
      </c>
      <c r="C139" s="1" t="s">
        <v>5619</v>
      </c>
      <c r="D139" s="1" t="s">
        <v>5731</v>
      </c>
    </row>
    <row r="140" spans="1:4" x14ac:dyDescent="0.2">
      <c r="A140" s="1" t="s">
        <v>5732</v>
      </c>
      <c r="B140" s="1" t="s">
        <v>5329</v>
      </c>
      <c r="C140" s="1" t="s">
        <v>5619</v>
      </c>
    </row>
    <row r="141" spans="1:4" x14ac:dyDescent="0.2">
      <c r="A141" s="1" t="s">
        <v>5733</v>
      </c>
      <c r="B141" s="1" t="s">
        <v>5330</v>
      </c>
      <c r="C141" s="1" t="s">
        <v>5619</v>
      </c>
      <c r="D141" s="1" t="s">
        <v>5734</v>
      </c>
    </row>
    <row r="142" spans="1:4" x14ac:dyDescent="0.2">
      <c r="A142" s="1" t="s">
        <v>5735</v>
      </c>
      <c r="B142" s="1" t="s">
        <v>5331</v>
      </c>
      <c r="C142" s="1" t="s">
        <v>5619</v>
      </c>
    </row>
    <row r="143" spans="1:4" x14ac:dyDescent="0.2">
      <c r="A143" s="1" t="s">
        <v>9789</v>
      </c>
      <c r="B143" s="1" t="s">
        <v>9790</v>
      </c>
      <c r="C143" s="1" t="s">
        <v>5619</v>
      </c>
    </row>
    <row r="144" spans="1:4" x14ac:dyDescent="0.2">
      <c r="A144" s="1" t="s">
        <v>5736</v>
      </c>
      <c r="B144" s="1" t="s">
        <v>210</v>
      </c>
      <c r="C144" s="1" t="s">
        <v>5619</v>
      </c>
      <c r="D144" s="1" t="s">
        <v>5737</v>
      </c>
    </row>
    <row r="145" spans="1:4" x14ac:dyDescent="0.2">
      <c r="A145" s="1" t="s">
        <v>5738</v>
      </c>
      <c r="B145" s="1" t="s">
        <v>5332</v>
      </c>
      <c r="C145" s="1" t="s">
        <v>5619</v>
      </c>
    </row>
    <row r="146" spans="1:4" x14ac:dyDescent="0.2">
      <c r="A146" s="1" t="s">
        <v>9791</v>
      </c>
      <c r="B146" s="1" t="s">
        <v>9792</v>
      </c>
      <c r="C146" s="1" t="s">
        <v>5619</v>
      </c>
    </row>
    <row r="147" spans="1:4" x14ac:dyDescent="0.2">
      <c r="A147" s="1" t="s">
        <v>5739</v>
      </c>
      <c r="B147" s="1" t="s">
        <v>211</v>
      </c>
      <c r="C147" s="1" t="s">
        <v>5619</v>
      </c>
      <c r="D147" s="1" t="s">
        <v>5740</v>
      </c>
    </row>
    <row r="148" spans="1:4" x14ac:dyDescent="0.2">
      <c r="A148" s="1" t="s">
        <v>5741</v>
      </c>
      <c r="B148" s="1" t="s">
        <v>5333</v>
      </c>
      <c r="C148" s="1" t="s">
        <v>5619</v>
      </c>
      <c r="D148" s="1" t="s">
        <v>5742</v>
      </c>
    </row>
    <row r="149" spans="1:4" x14ac:dyDescent="0.2">
      <c r="A149" s="1" t="s">
        <v>5743</v>
      </c>
      <c r="B149" s="1" t="s">
        <v>5334</v>
      </c>
      <c r="C149" s="1" t="s">
        <v>5619</v>
      </c>
    </row>
    <row r="150" spans="1:4" x14ac:dyDescent="0.2">
      <c r="A150" s="1" t="s">
        <v>5744</v>
      </c>
      <c r="B150" s="1" t="s">
        <v>5335</v>
      </c>
      <c r="C150" s="1" t="s">
        <v>5619</v>
      </c>
      <c r="D150" s="1" t="s">
        <v>5745</v>
      </c>
    </row>
    <row r="151" spans="1:4" x14ac:dyDescent="0.2">
      <c r="A151" s="1" t="s">
        <v>5746</v>
      </c>
      <c r="B151" s="1" t="s">
        <v>212</v>
      </c>
      <c r="C151" s="1" t="s">
        <v>5619</v>
      </c>
      <c r="D151" s="1" t="s">
        <v>5747</v>
      </c>
    </row>
    <row r="152" spans="1:4" x14ac:dyDescent="0.2">
      <c r="A152" s="1" t="s">
        <v>9793</v>
      </c>
      <c r="B152" s="1" t="s">
        <v>9794</v>
      </c>
      <c r="C152" s="1" t="s">
        <v>5619</v>
      </c>
    </row>
    <row r="153" spans="1:4" x14ac:dyDescent="0.2">
      <c r="A153" s="1" t="s">
        <v>5748</v>
      </c>
      <c r="B153" s="1" t="s">
        <v>5749</v>
      </c>
      <c r="C153" s="1" t="s">
        <v>5619</v>
      </c>
    </row>
    <row r="154" spans="1:4" x14ac:dyDescent="0.2">
      <c r="A154" s="1" t="s">
        <v>5750</v>
      </c>
      <c r="B154" s="1" t="s">
        <v>5336</v>
      </c>
      <c r="C154" s="1" t="s">
        <v>5619</v>
      </c>
      <c r="D154" s="1" t="s">
        <v>5751</v>
      </c>
    </row>
    <row r="155" spans="1:4" x14ac:dyDescent="0.2">
      <c r="A155" s="1" t="s">
        <v>5752</v>
      </c>
      <c r="B155" s="1" t="s">
        <v>5338</v>
      </c>
      <c r="C155" s="1" t="s">
        <v>5619</v>
      </c>
      <c r="D155" s="1" t="s">
        <v>5753</v>
      </c>
    </row>
    <row r="156" spans="1:4" x14ac:dyDescent="0.2">
      <c r="A156" s="1" t="s">
        <v>5754</v>
      </c>
      <c r="B156" s="1" t="s">
        <v>5339</v>
      </c>
      <c r="C156" s="1" t="s">
        <v>5619</v>
      </c>
    </row>
    <row r="157" spans="1:4" x14ac:dyDescent="0.2">
      <c r="A157" s="1" t="s">
        <v>5755</v>
      </c>
      <c r="B157" s="1" t="s">
        <v>5340</v>
      </c>
      <c r="C157" s="1" t="s">
        <v>5619</v>
      </c>
    </row>
    <row r="158" spans="1:4" x14ac:dyDescent="0.2">
      <c r="A158" s="1" t="s">
        <v>5756</v>
      </c>
      <c r="B158" s="1" t="s">
        <v>5341</v>
      </c>
      <c r="C158" s="1" t="s">
        <v>5619</v>
      </c>
      <c r="D158" s="1" t="s">
        <v>5757</v>
      </c>
    </row>
    <row r="159" spans="1:4" x14ac:dyDescent="0.2">
      <c r="A159" s="1" t="s">
        <v>5758</v>
      </c>
      <c r="B159" s="1" t="s">
        <v>5342</v>
      </c>
      <c r="C159" s="1" t="s">
        <v>5619</v>
      </c>
    </row>
    <row r="160" spans="1:4" x14ac:dyDescent="0.2">
      <c r="A160" s="1" t="s">
        <v>5759</v>
      </c>
      <c r="B160" s="1" t="s">
        <v>213</v>
      </c>
      <c r="C160" s="1" t="s">
        <v>5619</v>
      </c>
      <c r="D160" s="1" t="s">
        <v>5760</v>
      </c>
    </row>
    <row r="161" spans="1:4" x14ac:dyDescent="0.2">
      <c r="A161" s="1" t="s">
        <v>5761</v>
      </c>
      <c r="B161" s="1" t="s">
        <v>5343</v>
      </c>
      <c r="C161" s="1" t="s">
        <v>5619</v>
      </c>
    </row>
    <row r="162" spans="1:4" x14ac:dyDescent="0.2">
      <c r="A162" s="1" t="s">
        <v>9795</v>
      </c>
      <c r="B162" s="1" t="s">
        <v>9796</v>
      </c>
      <c r="C162" s="1" t="s">
        <v>5619</v>
      </c>
    </row>
    <row r="163" spans="1:4" x14ac:dyDescent="0.2">
      <c r="A163" s="1" t="s">
        <v>5762</v>
      </c>
      <c r="B163" s="1" t="s">
        <v>5344</v>
      </c>
      <c r="C163" s="1" t="s">
        <v>5619</v>
      </c>
      <c r="D163" s="1" t="s">
        <v>5763</v>
      </c>
    </row>
    <row r="164" spans="1:4" x14ac:dyDescent="0.2">
      <c r="A164" s="1" t="s">
        <v>5764</v>
      </c>
      <c r="B164" s="1" t="s">
        <v>5345</v>
      </c>
      <c r="C164" s="1" t="s">
        <v>5619</v>
      </c>
    </row>
    <row r="165" spans="1:4" x14ac:dyDescent="0.2">
      <c r="A165" s="1" t="s">
        <v>5765</v>
      </c>
      <c r="B165" s="1" t="s">
        <v>214</v>
      </c>
      <c r="C165" s="1" t="s">
        <v>5619</v>
      </c>
      <c r="D165" s="1" t="s">
        <v>5766</v>
      </c>
    </row>
    <row r="166" spans="1:4" x14ac:dyDescent="0.2">
      <c r="A166" s="1" t="s">
        <v>5767</v>
      </c>
      <c r="B166" s="1" t="s">
        <v>5346</v>
      </c>
      <c r="C166" s="1" t="s">
        <v>5619</v>
      </c>
    </row>
    <row r="167" spans="1:4" x14ac:dyDescent="0.2">
      <c r="A167" s="1" t="s">
        <v>5768</v>
      </c>
      <c r="B167" s="1" t="s">
        <v>5347</v>
      </c>
      <c r="C167" s="1" t="s">
        <v>5619</v>
      </c>
    </row>
    <row r="168" spans="1:4" x14ac:dyDescent="0.2">
      <c r="A168" s="1" t="s">
        <v>5769</v>
      </c>
      <c r="B168" s="1" t="s">
        <v>215</v>
      </c>
      <c r="C168" s="1" t="s">
        <v>5619</v>
      </c>
      <c r="D168" s="1" t="s">
        <v>5770</v>
      </c>
    </row>
    <row r="169" spans="1:4" x14ac:dyDescent="0.2">
      <c r="A169" s="1" t="s">
        <v>5771</v>
      </c>
      <c r="B169" s="1" t="s">
        <v>5348</v>
      </c>
      <c r="C169" s="1" t="s">
        <v>5619</v>
      </c>
      <c r="D169" s="1" t="s">
        <v>5772</v>
      </c>
    </row>
    <row r="170" spans="1:4" x14ac:dyDescent="0.2">
      <c r="A170" s="1" t="s">
        <v>5773</v>
      </c>
      <c r="B170" s="1" t="s">
        <v>5349</v>
      </c>
      <c r="C170" s="1" t="s">
        <v>5619</v>
      </c>
      <c r="D170" s="1" t="s">
        <v>5774</v>
      </c>
    </row>
    <row r="171" spans="1:4" x14ac:dyDescent="0.2">
      <c r="A171" s="1" t="s">
        <v>5775</v>
      </c>
      <c r="B171" s="1" t="s">
        <v>5350</v>
      </c>
      <c r="C171" s="1" t="s">
        <v>5619</v>
      </c>
      <c r="D171" s="1" t="s">
        <v>5776</v>
      </c>
    </row>
    <row r="172" spans="1:4" x14ac:dyDescent="0.2">
      <c r="A172" s="1" t="s">
        <v>5777</v>
      </c>
      <c r="B172" s="1" t="s">
        <v>5351</v>
      </c>
      <c r="C172" s="1" t="s">
        <v>5619</v>
      </c>
      <c r="D172" s="1" t="s">
        <v>5778</v>
      </c>
    </row>
    <row r="173" spans="1:4" x14ac:dyDescent="0.2">
      <c r="A173" s="1" t="s">
        <v>5779</v>
      </c>
      <c r="B173" s="1" t="s">
        <v>5352</v>
      </c>
      <c r="C173" s="1" t="s">
        <v>5619</v>
      </c>
    </row>
    <row r="174" spans="1:4" x14ac:dyDescent="0.2">
      <c r="A174" s="1" t="s">
        <v>5780</v>
      </c>
      <c r="B174" s="1" t="s">
        <v>5353</v>
      </c>
      <c r="C174" s="1" t="s">
        <v>5619</v>
      </c>
    </row>
    <row r="175" spans="1:4" x14ac:dyDescent="0.2">
      <c r="A175" s="1" t="s">
        <v>5781</v>
      </c>
      <c r="B175" s="1" t="s">
        <v>5354</v>
      </c>
      <c r="C175" s="1" t="s">
        <v>5619</v>
      </c>
      <c r="D175" s="1" t="s">
        <v>5782</v>
      </c>
    </row>
    <row r="176" spans="1:4" x14ac:dyDescent="0.2">
      <c r="A176" s="1" t="s">
        <v>5783</v>
      </c>
      <c r="B176" s="1" t="s">
        <v>5355</v>
      </c>
      <c r="C176" s="1" t="s">
        <v>5619</v>
      </c>
    </row>
    <row r="177" spans="1:4" x14ac:dyDescent="0.2">
      <c r="A177" s="1" t="s">
        <v>5784</v>
      </c>
      <c r="B177" s="1" t="s">
        <v>5356</v>
      </c>
      <c r="C177" s="1" t="s">
        <v>5619</v>
      </c>
      <c r="D177" s="1" t="s">
        <v>5785</v>
      </c>
    </row>
    <row r="178" spans="1:4" x14ac:dyDescent="0.2">
      <c r="A178" s="1" t="s">
        <v>5786</v>
      </c>
      <c r="B178" s="1" t="s">
        <v>216</v>
      </c>
      <c r="C178" s="1" t="s">
        <v>5619</v>
      </c>
      <c r="D178" s="1" t="s">
        <v>5787</v>
      </c>
    </row>
    <row r="179" spans="1:4" x14ac:dyDescent="0.2">
      <c r="A179" s="1" t="s">
        <v>5788</v>
      </c>
      <c r="B179" s="1" t="s">
        <v>5357</v>
      </c>
      <c r="C179" s="1" t="s">
        <v>5619</v>
      </c>
      <c r="D179" s="1" t="s">
        <v>5789</v>
      </c>
    </row>
    <row r="180" spans="1:4" x14ac:dyDescent="0.2">
      <c r="A180" s="1" t="s">
        <v>5790</v>
      </c>
      <c r="B180" s="1" t="s">
        <v>5358</v>
      </c>
      <c r="C180" s="1" t="s">
        <v>5619</v>
      </c>
      <c r="D180" s="1" t="s">
        <v>5791</v>
      </c>
    </row>
    <row r="181" spans="1:4" x14ac:dyDescent="0.2">
      <c r="A181" s="1" t="s">
        <v>5792</v>
      </c>
      <c r="B181" s="1" t="s">
        <v>5359</v>
      </c>
      <c r="C181" s="1" t="s">
        <v>5619</v>
      </c>
      <c r="D181" s="1" t="s">
        <v>5793</v>
      </c>
    </row>
    <row r="182" spans="1:4" x14ac:dyDescent="0.2">
      <c r="A182" s="1" t="s">
        <v>5794</v>
      </c>
      <c r="B182" s="1" t="s">
        <v>5360</v>
      </c>
      <c r="C182" s="1" t="s">
        <v>5619</v>
      </c>
      <c r="D182" s="1" t="s">
        <v>5795</v>
      </c>
    </row>
    <row r="183" spans="1:4" x14ac:dyDescent="0.2">
      <c r="A183" s="1" t="s">
        <v>5796</v>
      </c>
      <c r="B183" s="1" t="s">
        <v>5361</v>
      </c>
      <c r="C183" s="1" t="s">
        <v>5619</v>
      </c>
    </row>
    <row r="184" spans="1:4" x14ac:dyDescent="0.2">
      <c r="A184" s="1" t="s">
        <v>5797</v>
      </c>
      <c r="B184" s="1" t="s">
        <v>5362</v>
      </c>
      <c r="C184" s="1" t="s">
        <v>5619</v>
      </c>
    </row>
    <row r="185" spans="1:4" x14ac:dyDescent="0.2">
      <c r="A185" s="1" t="s">
        <v>5798</v>
      </c>
      <c r="B185" s="1" t="s">
        <v>5363</v>
      </c>
      <c r="C185" s="1" t="s">
        <v>5619</v>
      </c>
      <c r="D185" s="1" t="s">
        <v>5799</v>
      </c>
    </row>
    <row r="186" spans="1:4" x14ac:dyDescent="0.2">
      <c r="A186" s="1" t="s">
        <v>5800</v>
      </c>
      <c r="B186" s="1" t="s">
        <v>5364</v>
      </c>
      <c r="C186" s="1" t="s">
        <v>5619</v>
      </c>
    </row>
    <row r="187" spans="1:4" x14ac:dyDescent="0.2">
      <c r="A187" s="1" t="s">
        <v>5801</v>
      </c>
      <c r="B187" s="1" t="s">
        <v>5365</v>
      </c>
      <c r="C187" s="1" t="s">
        <v>5619</v>
      </c>
      <c r="D187" s="1" t="s">
        <v>5802</v>
      </c>
    </row>
    <row r="188" spans="1:4" x14ac:dyDescent="0.2">
      <c r="A188" s="1" t="s">
        <v>5803</v>
      </c>
      <c r="B188" s="1" t="s">
        <v>5366</v>
      </c>
      <c r="C188" s="1" t="s">
        <v>5619</v>
      </c>
      <c r="D188" s="1" t="s">
        <v>5804</v>
      </c>
    </row>
    <row r="189" spans="1:4" x14ac:dyDescent="0.2">
      <c r="A189" s="1" t="s">
        <v>5805</v>
      </c>
      <c r="B189" s="1" t="s">
        <v>5367</v>
      </c>
      <c r="C189" s="1" t="s">
        <v>5619</v>
      </c>
      <c r="D189" s="1" t="s">
        <v>5806</v>
      </c>
    </row>
    <row r="190" spans="1:4" x14ac:dyDescent="0.2">
      <c r="A190" s="1" t="s">
        <v>5807</v>
      </c>
      <c r="B190" s="1" t="s">
        <v>5368</v>
      </c>
      <c r="C190" s="1" t="s">
        <v>5619</v>
      </c>
    </row>
    <row r="191" spans="1:4" x14ac:dyDescent="0.2">
      <c r="A191" s="1" t="s">
        <v>5808</v>
      </c>
      <c r="B191" s="1" t="s">
        <v>5369</v>
      </c>
      <c r="C191" s="1" t="s">
        <v>5619</v>
      </c>
      <c r="D191" s="1" t="s">
        <v>5809</v>
      </c>
    </row>
    <row r="192" spans="1:4" x14ac:dyDescent="0.2">
      <c r="A192" s="1" t="s">
        <v>5810</v>
      </c>
      <c r="B192" s="1" t="s">
        <v>5370</v>
      </c>
      <c r="C192" s="1" t="s">
        <v>5619</v>
      </c>
    </row>
    <row r="193" spans="1:4" x14ac:dyDescent="0.2">
      <c r="A193" s="1" t="s">
        <v>5811</v>
      </c>
      <c r="B193" s="1" t="s">
        <v>5371</v>
      </c>
      <c r="C193" s="1" t="s">
        <v>5619</v>
      </c>
      <c r="D193" s="1" t="s">
        <v>5812</v>
      </c>
    </row>
    <row r="194" spans="1:4" x14ac:dyDescent="0.2">
      <c r="A194" s="1" t="s">
        <v>5813</v>
      </c>
      <c r="B194" s="1" t="s">
        <v>5372</v>
      </c>
      <c r="C194" s="1" t="s">
        <v>5619</v>
      </c>
      <c r="D194" s="1" t="s">
        <v>5814</v>
      </c>
    </row>
    <row r="195" spans="1:4" x14ac:dyDescent="0.2">
      <c r="A195" s="1" t="s">
        <v>5815</v>
      </c>
      <c r="B195" s="1" t="s">
        <v>5373</v>
      </c>
      <c r="C195" s="1" t="s">
        <v>5619</v>
      </c>
      <c r="D195" s="1" t="s">
        <v>5816</v>
      </c>
    </row>
    <row r="196" spans="1:4" x14ac:dyDescent="0.2">
      <c r="A196" s="1" t="s">
        <v>5817</v>
      </c>
      <c r="B196" s="1" t="s">
        <v>5374</v>
      </c>
      <c r="C196" s="1" t="s">
        <v>5619</v>
      </c>
    </row>
    <row r="197" spans="1:4" x14ac:dyDescent="0.2">
      <c r="A197" s="1" t="s">
        <v>5818</v>
      </c>
      <c r="B197" s="1" t="s">
        <v>5375</v>
      </c>
      <c r="C197" s="1" t="s">
        <v>5619</v>
      </c>
      <c r="D197" s="1" t="s">
        <v>5819</v>
      </c>
    </row>
    <row r="198" spans="1:4" x14ac:dyDescent="0.2">
      <c r="A198" s="1" t="s">
        <v>5820</v>
      </c>
      <c r="B198" s="1" t="s">
        <v>5376</v>
      </c>
      <c r="C198" s="1" t="s">
        <v>5619</v>
      </c>
      <c r="D198" s="1" t="s">
        <v>5821</v>
      </c>
    </row>
    <row r="199" spans="1:4" x14ac:dyDescent="0.2">
      <c r="A199" s="1" t="s">
        <v>5822</v>
      </c>
      <c r="B199" s="1" t="s">
        <v>5377</v>
      </c>
      <c r="C199" s="1" t="s">
        <v>5619</v>
      </c>
    </row>
    <row r="200" spans="1:4" x14ac:dyDescent="0.2">
      <c r="A200" s="1" t="s">
        <v>5823</v>
      </c>
      <c r="B200" s="1" t="s">
        <v>5378</v>
      </c>
      <c r="C200" s="1" t="s">
        <v>5619</v>
      </c>
      <c r="D200" s="1" t="s">
        <v>5824</v>
      </c>
    </row>
    <row r="201" spans="1:4" x14ac:dyDescent="0.2">
      <c r="A201" s="1" t="s">
        <v>5825</v>
      </c>
      <c r="B201" s="1" t="s">
        <v>5379</v>
      </c>
      <c r="C201" s="1" t="s">
        <v>5619</v>
      </c>
    </row>
    <row r="202" spans="1:4" x14ac:dyDescent="0.2">
      <c r="A202" s="1" t="s">
        <v>5826</v>
      </c>
      <c r="B202" s="1" t="s">
        <v>5380</v>
      </c>
      <c r="C202" s="1" t="s">
        <v>5619</v>
      </c>
      <c r="D202" s="1" t="s">
        <v>5827</v>
      </c>
    </row>
    <row r="203" spans="1:4" x14ac:dyDescent="0.2">
      <c r="A203" s="1" t="s">
        <v>5828</v>
      </c>
      <c r="B203" s="1" t="s">
        <v>5381</v>
      </c>
      <c r="C203" s="1" t="s">
        <v>5619</v>
      </c>
      <c r="D203" s="1" t="s">
        <v>5829</v>
      </c>
    </row>
    <row r="204" spans="1:4" x14ac:dyDescent="0.2">
      <c r="A204" s="1" t="s">
        <v>5830</v>
      </c>
      <c r="B204" s="1" t="s">
        <v>5382</v>
      </c>
      <c r="C204" s="1" t="s">
        <v>5619</v>
      </c>
      <c r="D204" s="1" t="s">
        <v>5831</v>
      </c>
    </row>
    <row r="205" spans="1:4" x14ac:dyDescent="0.2">
      <c r="A205" s="1" t="s">
        <v>5832</v>
      </c>
      <c r="B205" s="1" t="s">
        <v>5383</v>
      </c>
      <c r="C205" s="1" t="s">
        <v>5619</v>
      </c>
      <c r="D205" s="1" t="s">
        <v>5833</v>
      </c>
    </row>
    <row r="206" spans="1:4" x14ac:dyDescent="0.2">
      <c r="A206" s="1" t="s">
        <v>5834</v>
      </c>
      <c r="B206" s="1" t="s">
        <v>5384</v>
      </c>
      <c r="C206" s="1" t="s">
        <v>5619</v>
      </c>
      <c r="D206" s="1" t="s">
        <v>5835</v>
      </c>
    </row>
    <row r="207" spans="1:4" x14ac:dyDescent="0.2">
      <c r="A207" s="1" t="s">
        <v>5836</v>
      </c>
      <c r="B207" s="1" t="s">
        <v>5385</v>
      </c>
      <c r="C207" s="1" t="s">
        <v>5619</v>
      </c>
    </row>
    <row r="208" spans="1:4" x14ac:dyDescent="0.2">
      <c r="A208" s="1" t="s">
        <v>5837</v>
      </c>
      <c r="B208" s="1" t="s">
        <v>5386</v>
      </c>
      <c r="C208" s="1" t="s">
        <v>5619</v>
      </c>
      <c r="D208" s="1" t="s">
        <v>5838</v>
      </c>
    </row>
    <row r="209" spans="1:4" x14ac:dyDescent="0.2">
      <c r="A209" s="1" t="s">
        <v>5839</v>
      </c>
      <c r="B209" s="1" t="s">
        <v>5387</v>
      </c>
      <c r="C209" s="1" t="s">
        <v>5619</v>
      </c>
      <c r="D209" s="1" t="s">
        <v>5840</v>
      </c>
    </row>
    <row r="210" spans="1:4" x14ac:dyDescent="0.2">
      <c r="A210" s="1" t="s">
        <v>5841</v>
      </c>
      <c r="B210" s="1" t="s">
        <v>5388</v>
      </c>
      <c r="C210" s="1" t="s">
        <v>5619</v>
      </c>
    </row>
    <row r="211" spans="1:4" x14ac:dyDescent="0.2">
      <c r="A211" s="1" t="s">
        <v>5842</v>
      </c>
      <c r="B211" s="1" t="s">
        <v>5389</v>
      </c>
      <c r="C211" s="1" t="s">
        <v>5619</v>
      </c>
    </row>
    <row r="212" spans="1:4" x14ac:dyDescent="0.2">
      <c r="A212" s="1" t="s">
        <v>6601</v>
      </c>
      <c r="B212" s="1" t="s">
        <v>6676</v>
      </c>
      <c r="C212" s="1" t="s">
        <v>5619</v>
      </c>
    </row>
    <row r="213" spans="1:4" x14ac:dyDescent="0.2">
      <c r="A213" s="1" t="s">
        <v>5843</v>
      </c>
      <c r="B213" s="1" t="s">
        <v>5390</v>
      </c>
      <c r="C213" s="1" t="s">
        <v>5619</v>
      </c>
    </row>
    <row r="214" spans="1:4" x14ac:dyDescent="0.2">
      <c r="A214" s="1" t="s">
        <v>5844</v>
      </c>
      <c r="B214" s="1" t="s">
        <v>5391</v>
      </c>
      <c r="C214" s="1" t="s">
        <v>5619</v>
      </c>
    </row>
    <row r="215" spans="1:4" x14ac:dyDescent="0.2">
      <c r="A215" s="1" t="s">
        <v>6600</v>
      </c>
      <c r="B215" s="1" t="s">
        <v>6675</v>
      </c>
      <c r="C215" s="1" t="s">
        <v>5619</v>
      </c>
    </row>
    <row r="216" spans="1:4" x14ac:dyDescent="0.2">
      <c r="A216" s="1" t="s">
        <v>6600</v>
      </c>
      <c r="B216" s="1" t="s">
        <v>6676</v>
      </c>
      <c r="C216" s="1" t="s">
        <v>5619</v>
      </c>
    </row>
    <row r="217" spans="1:4" x14ac:dyDescent="0.2">
      <c r="A217" s="1" t="s">
        <v>5845</v>
      </c>
      <c r="B217" s="1" t="s">
        <v>5392</v>
      </c>
      <c r="C217" s="1" t="s">
        <v>5619</v>
      </c>
    </row>
    <row r="218" spans="1:4" x14ac:dyDescent="0.2">
      <c r="A218" s="1" t="s">
        <v>5846</v>
      </c>
      <c r="B218" s="1" t="s">
        <v>5274</v>
      </c>
      <c r="C218" s="1" t="s">
        <v>5619</v>
      </c>
    </row>
    <row r="219" spans="1:4" x14ac:dyDescent="0.2">
      <c r="A219" s="1" t="s">
        <v>5847</v>
      </c>
      <c r="B219" s="1" t="s">
        <v>1142</v>
      </c>
      <c r="C219" s="1" t="s">
        <v>5619</v>
      </c>
    </row>
    <row r="220" spans="1:4" x14ac:dyDescent="0.2">
      <c r="A220" s="1" t="s">
        <v>5848</v>
      </c>
      <c r="B220" s="1" t="s">
        <v>1143</v>
      </c>
      <c r="C220" s="1" t="s">
        <v>5619</v>
      </c>
    </row>
    <row r="221" spans="1:4" x14ac:dyDescent="0.2">
      <c r="A221" s="1" t="s">
        <v>5849</v>
      </c>
      <c r="B221" s="1" t="s">
        <v>1144</v>
      </c>
      <c r="C221" s="1" t="s">
        <v>5619</v>
      </c>
    </row>
    <row r="222" spans="1:4" x14ac:dyDescent="0.2">
      <c r="A222" s="1" t="s">
        <v>5850</v>
      </c>
      <c r="B222" s="1" t="s">
        <v>1146</v>
      </c>
      <c r="C222" s="1" t="s">
        <v>5619</v>
      </c>
    </row>
    <row r="223" spans="1:4" x14ac:dyDescent="0.2">
      <c r="A223" s="1" t="s">
        <v>5851</v>
      </c>
      <c r="B223" s="1" t="s">
        <v>162</v>
      </c>
      <c r="C223" s="1" t="s">
        <v>5619</v>
      </c>
    </row>
    <row r="224" spans="1:4" x14ac:dyDescent="0.2">
      <c r="A224" s="1" t="s">
        <v>5852</v>
      </c>
      <c r="B224" s="1" t="s">
        <v>5277</v>
      </c>
      <c r="C224" s="1" t="s">
        <v>5619</v>
      </c>
      <c r="D224" s="1" t="s">
        <v>5853</v>
      </c>
    </row>
    <row r="225" spans="1:4" x14ac:dyDescent="0.2">
      <c r="A225" s="1" t="s">
        <v>7603</v>
      </c>
      <c r="B225" s="1" t="s">
        <v>6596</v>
      </c>
      <c r="C225" s="1" t="s">
        <v>5619</v>
      </c>
    </row>
    <row r="226" spans="1:4" x14ac:dyDescent="0.2">
      <c r="A226" s="1" t="s">
        <v>5854</v>
      </c>
      <c r="B226" s="1" t="s">
        <v>5276</v>
      </c>
      <c r="C226" s="1" t="s">
        <v>5619</v>
      </c>
      <c r="D226" s="1" t="s">
        <v>5855</v>
      </c>
    </row>
    <row r="227" spans="1:4" x14ac:dyDescent="0.2">
      <c r="A227" s="1" t="s">
        <v>7604</v>
      </c>
      <c r="B227" s="1" t="s">
        <v>6597</v>
      </c>
      <c r="C227" s="1" t="s">
        <v>5619</v>
      </c>
    </row>
    <row r="228" spans="1:4" x14ac:dyDescent="0.2">
      <c r="A228" s="1" t="s">
        <v>5856</v>
      </c>
      <c r="B228" s="1" t="s">
        <v>5275</v>
      </c>
      <c r="C228" s="1" t="s">
        <v>5619</v>
      </c>
      <c r="D228" s="1" t="s">
        <v>5857</v>
      </c>
    </row>
    <row r="229" spans="1:4" x14ac:dyDescent="0.2">
      <c r="A229" s="1" t="s">
        <v>7605</v>
      </c>
      <c r="B229" s="1" t="s">
        <v>6594</v>
      </c>
      <c r="C229" s="1" t="s">
        <v>5619</v>
      </c>
    </row>
    <row r="230" spans="1:4" x14ac:dyDescent="0.2">
      <c r="A230" s="1" t="s">
        <v>7606</v>
      </c>
      <c r="B230" s="1" t="s">
        <v>6595</v>
      </c>
      <c r="C230" s="1" t="s">
        <v>5619</v>
      </c>
    </row>
    <row r="231" spans="1:4" x14ac:dyDescent="0.2">
      <c r="A231" s="1" t="s">
        <v>9797</v>
      </c>
      <c r="B231" s="1" t="s">
        <v>9798</v>
      </c>
      <c r="C231" s="1" t="s">
        <v>5619</v>
      </c>
    </row>
    <row r="232" spans="1:4" x14ac:dyDescent="0.2">
      <c r="A232" s="1" t="s">
        <v>5858</v>
      </c>
      <c r="B232" s="1" t="s">
        <v>5279</v>
      </c>
      <c r="C232" s="1" t="s">
        <v>5619</v>
      </c>
      <c r="D232" s="1" t="s">
        <v>5859</v>
      </c>
    </row>
    <row r="233" spans="1:4" x14ac:dyDescent="0.2">
      <c r="A233" s="1" t="s">
        <v>5860</v>
      </c>
      <c r="B233" s="1" t="s">
        <v>5278</v>
      </c>
      <c r="C233" s="1" t="s">
        <v>5619</v>
      </c>
      <c r="D233" s="1" t="s">
        <v>5861</v>
      </c>
    </row>
    <row r="234" spans="1:4" x14ac:dyDescent="0.2">
      <c r="A234" s="1" t="s">
        <v>9799</v>
      </c>
      <c r="B234" s="1" t="s">
        <v>9800</v>
      </c>
      <c r="C234" s="1" t="s">
        <v>5619</v>
      </c>
    </row>
    <row r="235" spans="1:4" x14ac:dyDescent="0.2">
      <c r="A235" s="1" t="s">
        <v>5862</v>
      </c>
      <c r="B235" s="1" t="s">
        <v>1199</v>
      </c>
      <c r="C235" s="1" t="s">
        <v>5619</v>
      </c>
    </row>
    <row r="236" spans="1:4" x14ac:dyDescent="0.2">
      <c r="A236" s="7" t="s">
        <v>5863</v>
      </c>
    </row>
    <row r="237" spans="1:4" x14ac:dyDescent="0.2">
      <c r="A237" s="1" t="s">
        <v>5864</v>
      </c>
      <c r="B237" s="1" t="s">
        <v>189</v>
      </c>
      <c r="C237" s="1" t="s">
        <v>5619</v>
      </c>
    </row>
    <row r="238" spans="1:4" x14ac:dyDescent="0.2">
      <c r="A238" s="7" t="s">
        <v>5865</v>
      </c>
    </row>
    <row r="239" spans="1:4" x14ac:dyDescent="0.2">
      <c r="A239" s="1" t="s">
        <v>5866</v>
      </c>
      <c r="B239" s="1" t="s">
        <v>1200</v>
      </c>
      <c r="C239" s="1" t="s">
        <v>5619</v>
      </c>
    </row>
    <row r="240" spans="1:4" x14ac:dyDescent="0.2">
      <c r="A240" s="7" t="s">
        <v>5867</v>
      </c>
    </row>
    <row r="241" spans="1:4" x14ac:dyDescent="0.2">
      <c r="A241" s="1" t="s">
        <v>5868</v>
      </c>
      <c r="B241" s="1" t="s">
        <v>163</v>
      </c>
      <c r="C241" s="1" t="s">
        <v>5619</v>
      </c>
      <c r="D241" s="1" t="s">
        <v>5869</v>
      </c>
    </row>
    <row r="242" spans="1:4" x14ac:dyDescent="0.2">
      <c r="A242" s="1" t="s">
        <v>7028</v>
      </c>
      <c r="B242" s="1" t="s">
        <v>164</v>
      </c>
      <c r="C242" s="1" t="s">
        <v>5619</v>
      </c>
      <c r="D242" s="1" t="s">
        <v>5870</v>
      </c>
    </row>
    <row r="243" spans="1:4" x14ac:dyDescent="0.2">
      <c r="A243" s="1" t="s">
        <v>5871</v>
      </c>
      <c r="B243" s="1" t="s">
        <v>1147</v>
      </c>
      <c r="C243" s="1" t="s">
        <v>5619</v>
      </c>
    </row>
    <row r="244" spans="1:4" x14ac:dyDescent="0.2">
      <c r="A244" s="7" t="s">
        <v>5872</v>
      </c>
    </row>
    <row r="245" spans="1:4" x14ac:dyDescent="0.2">
      <c r="A245" s="1" t="s">
        <v>5873</v>
      </c>
      <c r="B245" s="1" t="s">
        <v>5874</v>
      </c>
      <c r="C245" s="1" t="s">
        <v>5619</v>
      </c>
      <c r="D245" s="1" t="s">
        <v>5875</v>
      </c>
    </row>
    <row r="246" spans="1:4" x14ac:dyDescent="0.2">
      <c r="A246" s="1" t="s">
        <v>7594</v>
      </c>
      <c r="B246" s="1" t="s">
        <v>7597</v>
      </c>
      <c r="C246" s="1" t="s">
        <v>5619</v>
      </c>
      <c r="D246" s="1" t="s">
        <v>7600</v>
      </c>
    </row>
    <row r="247" spans="1:4" x14ac:dyDescent="0.2">
      <c r="A247" s="1" t="s">
        <v>7595</v>
      </c>
      <c r="B247" s="1" t="s">
        <v>7598</v>
      </c>
      <c r="C247" s="1" t="s">
        <v>5619</v>
      </c>
    </row>
    <row r="248" spans="1:4" x14ac:dyDescent="0.2">
      <c r="A248" s="1" t="s">
        <v>7596</v>
      </c>
      <c r="B248" s="1" t="s">
        <v>7599</v>
      </c>
      <c r="C248" s="1" t="s">
        <v>5619</v>
      </c>
    </row>
    <row r="249" spans="1:4" x14ac:dyDescent="0.2">
      <c r="A249" s="7" t="s">
        <v>5876</v>
      </c>
    </row>
    <row r="250" spans="1:4" x14ac:dyDescent="0.2">
      <c r="A250" s="1" t="s">
        <v>9801</v>
      </c>
      <c r="B250" s="1" t="s">
        <v>180</v>
      </c>
      <c r="C250" s="1" t="s">
        <v>5619</v>
      </c>
    </row>
    <row r="251" spans="1:4" x14ac:dyDescent="0.2">
      <c r="A251" s="1" t="s">
        <v>5877</v>
      </c>
      <c r="B251" s="1" t="s">
        <v>181</v>
      </c>
      <c r="C251" s="1" t="s">
        <v>5619</v>
      </c>
      <c r="D251" s="1" t="s">
        <v>5878</v>
      </c>
    </row>
    <row r="252" spans="1:4" x14ac:dyDescent="0.2">
      <c r="A252" s="1" t="s">
        <v>9802</v>
      </c>
      <c r="B252" s="1" t="s">
        <v>9803</v>
      </c>
      <c r="C252" s="1" t="s">
        <v>5619</v>
      </c>
    </row>
    <row r="253" spans="1:4" x14ac:dyDescent="0.2">
      <c r="A253" s="7" t="s">
        <v>5879</v>
      </c>
    </row>
    <row r="254" spans="1:4" x14ac:dyDescent="0.2">
      <c r="A254" s="1" t="s">
        <v>5880</v>
      </c>
      <c r="B254" s="1" t="s">
        <v>5881</v>
      </c>
      <c r="C254" s="1" t="s">
        <v>5619</v>
      </c>
    </row>
    <row r="255" spans="1:4" x14ac:dyDescent="0.2">
      <c r="A255" s="7" t="s">
        <v>9804</v>
      </c>
    </row>
    <row r="256" spans="1:4" x14ac:dyDescent="0.2">
      <c r="A256" s="1" t="s">
        <v>9805</v>
      </c>
      <c r="B256" s="1" t="s">
        <v>7203</v>
      </c>
      <c r="C256" s="1" t="s">
        <v>5619</v>
      </c>
    </row>
    <row r="257" spans="1:4" x14ac:dyDescent="0.2">
      <c r="A257" s="1" t="s">
        <v>9806</v>
      </c>
      <c r="B257" s="1" t="s">
        <v>9809</v>
      </c>
      <c r="C257" s="1" t="s">
        <v>5619</v>
      </c>
    </row>
    <row r="258" spans="1:4" x14ac:dyDescent="0.2">
      <c r="A258" s="1" t="s">
        <v>9807</v>
      </c>
      <c r="B258" s="1" t="s">
        <v>9810</v>
      </c>
      <c r="C258" s="1" t="s">
        <v>5619</v>
      </c>
    </row>
    <row r="259" spans="1:4" x14ac:dyDescent="0.2">
      <c r="A259" s="1" t="s">
        <v>9808</v>
      </c>
      <c r="B259" s="1" t="s">
        <v>9811</v>
      </c>
      <c r="C259" s="1" t="s">
        <v>5619</v>
      </c>
    </row>
    <row r="260" spans="1:4" x14ac:dyDescent="0.2">
      <c r="A260" s="7" t="s">
        <v>5882</v>
      </c>
    </row>
    <row r="261" spans="1:4" x14ac:dyDescent="0.2">
      <c r="A261" s="1" t="s">
        <v>5883</v>
      </c>
      <c r="B261" s="1" t="s">
        <v>165</v>
      </c>
      <c r="C261" s="1" t="s">
        <v>5619</v>
      </c>
    </row>
    <row r="262" spans="1:4" x14ac:dyDescent="0.2">
      <c r="A262" s="1" t="s">
        <v>5884</v>
      </c>
      <c r="B262" s="1" t="s">
        <v>1148</v>
      </c>
      <c r="C262" s="1" t="s">
        <v>5619</v>
      </c>
    </row>
    <row r="263" spans="1:4" x14ac:dyDescent="0.2">
      <c r="A263" s="1" t="s">
        <v>7417</v>
      </c>
      <c r="B263" s="1" t="s">
        <v>9814</v>
      </c>
      <c r="C263" s="1" t="s">
        <v>5619</v>
      </c>
    </row>
    <row r="264" spans="1:4" x14ac:dyDescent="0.2">
      <c r="A264" s="1" t="s">
        <v>7420</v>
      </c>
      <c r="B264" s="1" t="s">
        <v>9815</v>
      </c>
      <c r="C264" s="1" t="s">
        <v>5619</v>
      </c>
    </row>
    <row r="265" spans="1:4" x14ac:dyDescent="0.2">
      <c r="A265" s="1" t="s">
        <v>7587</v>
      </c>
      <c r="B265" s="1" t="s">
        <v>9816</v>
      </c>
      <c r="C265" s="1" t="s">
        <v>5619</v>
      </c>
      <c r="D265" s="1" t="s">
        <v>7591</v>
      </c>
    </row>
    <row r="266" spans="1:4" x14ac:dyDescent="0.2">
      <c r="A266" s="1" t="s">
        <v>9812</v>
      </c>
      <c r="B266" s="1" t="s">
        <v>9813</v>
      </c>
      <c r="C266" s="1" t="s">
        <v>5619</v>
      </c>
    </row>
    <row r="267" spans="1:4" x14ac:dyDescent="0.2">
      <c r="A267" s="1" t="s">
        <v>7592</v>
      </c>
      <c r="B267" s="1" t="s">
        <v>9818</v>
      </c>
      <c r="C267" s="1" t="s">
        <v>5619</v>
      </c>
      <c r="D267" s="1" t="s">
        <v>7593</v>
      </c>
    </row>
    <row r="268" spans="1:4" x14ac:dyDescent="0.2">
      <c r="A268" s="1" t="s">
        <v>9819</v>
      </c>
      <c r="B268" s="1" t="s">
        <v>9820</v>
      </c>
      <c r="C268" s="1" t="s">
        <v>5619</v>
      </c>
    </row>
    <row r="269" spans="1:4" x14ac:dyDescent="0.2">
      <c r="A269" s="1" t="s">
        <v>7589</v>
      </c>
      <c r="B269" s="1" t="s">
        <v>9817</v>
      </c>
      <c r="C269" s="1" t="s">
        <v>5619</v>
      </c>
      <c r="D269" s="1" t="s">
        <v>7590</v>
      </c>
    </row>
    <row r="270" spans="1:4" x14ac:dyDescent="0.2">
      <c r="A270" s="7" t="s">
        <v>5885</v>
      </c>
    </row>
    <row r="271" spans="1:4" x14ac:dyDescent="0.2">
      <c r="A271" s="1" t="s">
        <v>5886</v>
      </c>
      <c r="B271" s="1" t="s">
        <v>281</v>
      </c>
      <c r="C271" s="1" t="s">
        <v>5619</v>
      </c>
      <c r="D271" s="1" t="s">
        <v>5887</v>
      </c>
    </row>
    <row r="272" spans="1:4" x14ac:dyDescent="0.2">
      <c r="A272" s="1" t="s">
        <v>5888</v>
      </c>
      <c r="B272" s="1" t="s">
        <v>166</v>
      </c>
      <c r="C272" s="1" t="s">
        <v>5619</v>
      </c>
      <c r="D272" s="1" t="s">
        <v>5889</v>
      </c>
    </row>
    <row r="273" spans="1:4" x14ac:dyDescent="0.2">
      <c r="A273" s="1" t="s">
        <v>7573</v>
      </c>
      <c r="B273" s="1" t="s">
        <v>7150</v>
      </c>
      <c r="C273" s="1" t="s">
        <v>5619</v>
      </c>
      <c r="D273" s="1" t="s">
        <v>7574</v>
      </c>
    </row>
    <row r="274" spans="1:4" x14ac:dyDescent="0.2">
      <c r="A274" s="1" t="s">
        <v>7575</v>
      </c>
      <c r="B274" s="1" t="s">
        <v>9822</v>
      </c>
      <c r="C274" s="1" t="s">
        <v>5619</v>
      </c>
      <c r="D274" s="1" t="s">
        <v>7576</v>
      </c>
    </row>
    <row r="275" spans="1:4" x14ac:dyDescent="0.2">
      <c r="A275" s="1" t="s">
        <v>7577</v>
      </c>
      <c r="B275" s="1" t="s">
        <v>9823</v>
      </c>
      <c r="C275" s="1" t="s">
        <v>5619</v>
      </c>
      <c r="D275" s="1" t="s">
        <v>7578</v>
      </c>
    </row>
    <row r="276" spans="1:4" x14ac:dyDescent="0.2">
      <c r="A276" s="1" t="s">
        <v>7579</v>
      </c>
      <c r="B276" s="1" t="s">
        <v>7149</v>
      </c>
      <c r="C276" s="1" t="s">
        <v>5619</v>
      </c>
      <c r="D276" s="1" t="s">
        <v>7580</v>
      </c>
    </row>
    <row r="277" spans="1:4" x14ac:dyDescent="0.2">
      <c r="A277" s="1" t="s">
        <v>9825</v>
      </c>
      <c r="B277" s="1" t="s">
        <v>9824</v>
      </c>
      <c r="C277" s="1" t="s">
        <v>5619</v>
      </c>
    </row>
    <row r="278" spans="1:4" x14ac:dyDescent="0.2">
      <c r="A278" s="1" t="s">
        <v>5890</v>
      </c>
      <c r="B278" s="1" t="s">
        <v>167</v>
      </c>
      <c r="C278" s="1" t="s">
        <v>5619</v>
      </c>
    </row>
    <row r="279" spans="1:4" x14ac:dyDescent="0.2">
      <c r="A279" s="1" t="s">
        <v>9821</v>
      </c>
      <c r="B279" s="1" t="s">
        <v>7148</v>
      </c>
      <c r="C279" s="1" t="s">
        <v>5619</v>
      </c>
    </row>
    <row r="280" spans="1:4" x14ac:dyDescent="0.2">
      <c r="A280" s="7" t="s">
        <v>7583</v>
      </c>
    </row>
    <row r="281" spans="1:4" x14ac:dyDescent="0.2">
      <c r="A281" s="1" t="s">
        <v>7569</v>
      </c>
      <c r="B281" s="1" t="s">
        <v>7217</v>
      </c>
      <c r="C281" s="1" t="s">
        <v>5619</v>
      </c>
    </row>
    <row r="282" spans="1:4" x14ac:dyDescent="0.2">
      <c r="A282" s="1" t="s">
        <v>9826</v>
      </c>
      <c r="B282" s="1" t="s">
        <v>9829</v>
      </c>
      <c r="C282" s="1" t="s">
        <v>5619</v>
      </c>
    </row>
    <row r="283" spans="1:4" x14ac:dyDescent="0.2">
      <c r="A283" s="1" t="s">
        <v>9827</v>
      </c>
      <c r="B283" s="1" t="s">
        <v>9830</v>
      </c>
      <c r="C283" s="1" t="s">
        <v>5619</v>
      </c>
    </row>
    <row r="284" spans="1:4" x14ac:dyDescent="0.2">
      <c r="A284" s="1" t="s">
        <v>9828</v>
      </c>
      <c r="B284" s="1" t="s">
        <v>9831</v>
      </c>
      <c r="C284" s="1" t="s">
        <v>5619</v>
      </c>
    </row>
    <row r="285" spans="1:4" x14ac:dyDescent="0.2">
      <c r="A285" s="1" t="s">
        <v>7582</v>
      </c>
      <c r="B285" s="1" t="s">
        <v>7220</v>
      </c>
      <c r="C285" s="1" t="s">
        <v>5619</v>
      </c>
    </row>
    <row r="286" spans="1:4" x14ac:dyDescent="0.2">
      <c r="A286" s="7" t="s">
        <v>156</v>
      </c>
    </row>
    <row r="287" spans="1:4" x14ac:dyDescent="0.2">
      <c r="A287" s="1" t="s">
        <v>5891</v>
      </c>
      <c r="B287" s="1" t="s">
        <v>156</v>
      </c>
      <c r="C287" s="1" t="s">
        <v>5619</v>
      </c>
      <c r="D287" s="1" t="s">
        <v>5892</v>
      </c>
    </row>
    <row r="288" spans="1:4" x14ac:dyDescent="0.2">
      <c r="A288" s="1" t="s">
        <v>5893</v>
      </c>
      <c r="B288" s="1" t="s">
        <v>275</v>
      </c>
      <c r="C288" s="1" t="s">
        <v>5619</v>
      </c>
    </row>
    <row r="289" spans="1:4" x14ac:dyDescent="0.2">
      <c r="A289" s="7" t="s">
        <v>5894</v>
      </c>
    </row>
    <row r="290" spans="1:4" x14ac:dyDescent="0.2">
      <c r="A290" s="1" t="s">
        <v>5895</v>
      </c>
      <c r="B290" s="1" t="s">
        <v>168</v>
      </c>
      <c r="C290" s="1" t="s">
        <v>5619</v>
      </c>
    </row>
    <row r="291" spans="1:4" x14ac:dyDescent="0.2">
      <c r="A291" s="7" t="s">
        <v>5896</v>
      </c>
    </row>
    <row r="292" spans="1:4" x14ac:dyDescent="0.2">
      <c r="A292" s="1" t="s">
        <v>9832</v>
      </c>
      <c r="B292" s="1" t="s">
        <v>9833</v>
      </c>
      <c r="C292" s="1" t="s">
        <v>5619</v>
      </c>
    </row>
    <row r="293" spans="1:4" x14ac:dyDescent="0.2">
      <c r="A293" s="1" t="s">
        <v>5897</v>
      </c>
      <c r="B293" s="1" t="s">
        <v>302</v>
      </c>
      <c r="C293" s="1" t="s">
        <v>5562</v>
      </c>
    </row>
    <row r="294" spans="1:4" s="11" customFormat="1" x14ac:dyDescent="0.2">
      <c r="A294" s="11" t="s">
        <v>7665</v>
      </c>
      <c r="B294" s="11" t="s">
        <v>7681</v>
      </c>
      <c r="C294" s="11" t="s">
        <v>5562</v>
      </c>
      <c r="D294" s="11" t="s">
        <v>9834</v>
      </c>
    </row>
    <row r="295" spans="1:4" s="11" customFormat="1" x14ac:dyDescent="0.2">
      <c r="A295" s="11" t="s">
        <v>7666</v>
      </c>
      <c r="B295" s="11" t="s">
        <v>7682</v>
      </c>
      <c r="C295" s="11" t="s">
        <v>5562</v>
      </c>
      <c r="D295" s="11" t="s">
        <v>9835</v>
      </c>
    </row>
    <row r="296" spans="1:4" s="11" customFormat="1" x14ac:dyDescent="0.2">
      <c r="A296" s="11" t="s">
        <v>7667</v>
      </c>
      <c r="B296" s="11" t="s">
        <v>9836</v>
      </c>
      <c r="C296" s="11" t="s">
        <v>5562</v>
      </c>
      <c r="D296" s="11" t="s">
        <v>9837</v>
      </c>
    </row>
    <row r="297" spans="1:4" s="11" customFormat="1" x14ac:dyDescent="0.2">
      <c r="A297" s="11" t="s">
        <v>7668</v>
      </c>
      <c r="B297" s="11" t="s">
        <v>9838</v>
      </c>
      <c r="C297" s="11" t="s">
        <v>5562</v>
      </c>
      <c r="D297" s="11" t="s">
        <v>9839</v>
      </c>
    </row>
    <row r="298" spans="1:4" s="11" customFormat="1" x14ac:dyDescent="0.2">
      <c r="A298" s="11" t="s">
        <v>7669</v>
      </c>
      <c r="B298" s="11" t="s">
        <v>7685</v>
      </c>
      <c r="C298" s="11" t="s">
        <v>5562</v>
      </c>
    </row>
    <row r="299" spans="1:4" s="11" customFormat="1" x14ac:dyDescent="0.2">
      <c r="A299" s="11" t="s">
        <v>7670</v>
      </c>
      <c r="B299" s="11" t="s">
        <v>7686</v>
      </c>
      <c r="C299" s="11" t="s">
        <v>5562</v>
      </c>
      <c r="D299" s="11" t="s">
        <v>7686</v>
      </c>
    </row>
    <row r="300" spans="1:4" s="11" customFormat="1" x14ac:dyDescent="0.2">
      <c r="A300" s="11" t="s">
        <v>7671</v>
      </c>
      <c r="B300" s="11" t="s">
        <v>7687</v>
      </c>
      <c r="C300" s="11" t="s">
        <v>5562</v>
      </c>
      <c r="D300" s="11" t="s">
        <v>9840</v>
      </c>
    </row>
    <row r="301" spans="1:4" s="11" customFormat="1" x14ac:dyDescent="0.2">
      <c r="A301" s="11" t="s">
        <v>7672</v>
      </c>
      <c r="B301" s="11" t="s">
        <v>9841</v>
      </c>
      <c r="C301" s="11" t="s">
        <v>5562</v>
      </c>
      <c r="D301" s="11" t="s">
        <v>9842</v>
      </c>
    </row>
    <row r="302" spans="1:4" s="11" customFormat="1" x14ac:dyDescent="0.2">
      <c r="A302" s="11" t="s">
        <v>7673</v>
      </c>
      <c r="B302" s="11" t="s">
        <v>9843</v>
      </c>
      <c r="C302" s="11" t="s">
        <v>5562</v>
      </c>
      <c r="D302" s="11" t="s">
        <v>9843</v>
      </c>
    </row>
    <row r="303" spans="1:4" s="11" customFormat="1" x14ac:dyDescent="0.2">
      <c r="A303" s="11" t="s">
        <v>7674</v>
      </c>
      <c r="B303" s="11" t="s">
        <v>9844</v>
      </c>
      <c r="C303" s="11" t="s">
        <v>5562</v>
      </c>
      <c r="D303" s="11" t="s">
        <v>9844</v>
      </c>
    </row>
    <row r="304" spans="1:4" s="11" customFormat="1" x14ac:dyDescent="0.2">
      <c r="A304" s="11" t="s">
        <v>7675</v>
      </c>
      <c r="B304" s="11" t="s">
        <v>9845</v>
      </c>
      <c r="C304" s="11" t="s">
        <v>5562</v>
      </c>
      <c r="D304" s="11" t="s">
        <v>9845</v>
      </c>
    </row>
    <row r="305" spans="1:4" s="11" customFormat="1" x14ac:dyDescent="0.2">
      <c r="A305" s="11" t="s">
        <v>7676</v>
      </c>
      <c r="B305" s="11" t="s">
        <v>9846</v>
      </c>
      <c r="C305" s="11" t="s">
        <v>5562</v>
      </c>
      <c r="D305" s="11" t="s">
        <v>9846</v>
      </c>
    </row>
    <row r="306" spans="1:4" s="11" customFormat="1" x14ac:dyDescent="0.2">
      <c r="A306" s="11" t="s">
        <v>9847</v>
      </c>
      <c r="B306" s="11" t="s">
        <v>9848</v>
      </c>
      <c r="C306" s="11" t="s">
        <v>5562</v>
      </c>
      <c r="D306" s="11" t="s">
        <v>9849</v>
      </c>
    </row>
    <row r="307" spans="1:4" s="11" customFormat="1" x14ac:dyDescent="0.2">
      <c r="A307" s="11" t="s">
        <v>7678</v>
      </c>
      <c r="B307" s="11" t="s">
        <v>9850</v>
      </c>
      <c r="C307" s="11" t="s">
        <v>5562</v>
      </c>
      <c r="D307" s="11" t="s">
        <v>9851</v>
      </c>
    </row>
    <row r="308" spans="1:4" s="11" customFormat="1" x14ac:dyDescent="0.2">
      <c r="A308" s="11" t="s">
        <v>9852</v>
      </c>
      <c r="B308" s="11" t="s">
        <v>7695</v>
      </c>
      <c r="C308" s="11" t="s">
        <v>5562</v>
      </c>
      <c r="D308" s="11" t="s">
        <v>9853</v>
      </c>
    </row>
    <row r="309" spans="1:4" s="11" customFormat="1" x14ac:dyDescent="0.2">
      <c r="A309" s="11" t="s">
        <v>9854</v>
      </c>
      <c r="B309" s="11" t="s">
        <v>9855</v>
      </c>
      <c r="C309" s="11" t="s">
        <v>5562</v>
      </c>
      <c r="D309" s="11" t="s">
        <v>9856</v>
      </c>
    </row>
    <row r="310" spans="1:4" x14ac:dyDescent="0.2">
      <c r="A310" s="7" t="s">
        <v>5898</v>
      </c>
    </row>
    <row r="311" spans="1:4" x14ac:dyDescent="0.2">
      <c r="A311" s="1" t="s">
        <v>5899</v>
      </c>
      <c r="B311" s="1" t="s">
        <v>1149</v>
      </c>
      <c r="C311" s="1" t="s">
        <v>5900</v>
      </c>
      <c r="D311" s="1" t="s">
        <v>5901</v>
      </c>
    </row>
    <row r="312" spans="1:4" x14ac:dyDescent="0.2">
      <c r="A312" s="1" t="s">
        <v>5902</v>
      </c>
      <c r="B312" s="1" t="s">
        <v>283</v>
      </c>
      <c r="C312" s="1" t="s">
        <v>5900</v>
      </c>
      <c r="D312" s="1" t="s">
        <v>5901</v>
      </c>
    </row>
    <row r="313" spans="1:4" x14ac:dyDescent="0.2">
      <c r="A313" s="1" t="s">
        <v>9857</v>
      </c>
      <c r="B313" s="1" t="s">
        <v>7154</v>
      </c>
      <c r="C313" s="1" t="s">
        <v>5900</v>
      </c>
    </row>
    <row r="314" spans="1:4" x14ac:dyDescent="0.2">
      <c r="A314" s="1" t="s">
        <v>5903</v>
      </c>
      <c r="B314" s="1" t="s">
        <v>1150</v>
      </c>
      <c r="C314" s="1" t="s">
        <v>5900</v>
      </c>
      <c r="D314" s="1" t="s">
        <v>5901</v>
      </c>
    </row>
    <row r="315" spans="1:4" x14ac:dyDescent="0.2">
      <c r="A315" s="1" t="s">
        <v>5904</v>
      </c>
      <c r="B315" s="1" t="s">
        <v>1151</v>
      </c>
      <c r="C315" s="1" t="s">
        <v>5900</v>
      </c>
      <c r="D315" s="1" t="s">
        <v>5901</v>
      </c>
    </row>
    <row r="316" spans="1:4" x14ac:dyDescent="0.2">
      <c r="A316" s="1" t="s">
        <v>5905</v>
      </c>
      <c r="B316" s="1" t="s">
        <v>169</v>
      </c>
      <c r="C316" s="1" t="s">
        <v>5562</v>
      </c>
      <c r="D316" s="1" t="s">
        <v>5901</v>
      </c>
    </row>
    <row r="317" spans="1:4" x14ac:dyDescent="0.2">
      <c r="A317" s="1" t="s">
        <v>5906</v>
      </c>
      <c r="B317" s="1" t="s">
        <v>1152</v>
      </c>
      <c r="C317" s="1" t="s">
        <v>5562</v>
      </c>
      <c r="D317" s="1" t="s">
        <v>5901</v>
      </c>
    </row>
    <row r="318" spans="1:4" x14ac:dyDescent="0.2">
      <c r="A318" s="1" t="s">
        <v>5907</v>
      </c>
      <c r="B318" s="1" t="s">
        <v>284</v>
      </c>
      <c r="C318" s="1" t="s">
        <v>5900</v>
      </c>
      <c r="D318" s="1" t="s">
        <v>5901</v>
      </c>
    </row>
    <row r="319" spans="1:4" x14ac:dyDescent="0.2">
      <c r="A319" s="1" t="s">
        <v>5908</v>
      </c>
      <c r="B319" s="1" t="s">
        <v>1153</v>
      </c>
      <c r="C319" s="1" t="s">
        <v>5900</v>
      </c>
      <c r="D319" s="1" t="s">
        <v>5901</v>
      </c>
    </row>
    <row r="320" spans="1:4" x14ac:dyDescent="0.2">
      <c r="A320" s="1" t="s">
        <v>5909</v>
      </c>
      <c r="B320" s="1" t="s">
        <v>170</v>
      </c>
      <c r="C320" s="1" t="s">
        <v>5562</v>
      </c>
    </row>
    <row r="321" spans="1:4" x14ac:dyDescent="0.2">
      <c r="A321" s="1" t="s">
        <v>5910</v>
      </c>
      <c r="B321" s="1" t="s">
        <v>171</v>
      </c>
      <c r="C321" s="1" t="s">
        <v>5562</v>
      </c>
      <c r="D321" s="1" t="s">
        <v>5911</v>
      </c>
    </row>
    <row r="322" spans="1:4" x14ac:dyDescent="0.2">
      <c r="A322" s="1" t="s">
        <v>5912</v>
      </c>
      <c r="B322" s="1" t="s">
        <v>1154</v>
      </c>
      <c r="C322" s="1" t="s">
        <v>5900</v>
      </c>
      <c r="D322" s="1" t="s">
        <v>5901</v>
      </c>
    </row>
    <row r="323" spans="1:4" x14ac:dyDescent="0.2">
      <c r="A323" s="1" t="s">
        <v>5913</v>
      </c>
      <c r="B323" s="1" t="s">
        <v>172</v>
      </c>
      <c r="C323" s="1" t="s">
        <v>5562</v>
      </c>
      <c r="D323" s="1" t="s">
        <v>5901</v>
      </c>
    </row>
    <row r="324" spans="1:4" x14ac:dyDescent="0.2">
      <c r="A324" s="1" t="s">
        <v>5914</v>
      </c>
      <c r="B324" s="1" t="s">
        <v>173</v>
      </c>
      <c r="C324" s="1" t="s">
        <v>5562</v>
      </c>
      <c r="D324" s="1" t="s">
        <v>5901</v>
      </c>
    </row>
    <row r="325" spans="1:4" x14ac:dyDescent="0.2">
      <c r="A325" s="1" t="s">
        <v>5915</v>
      </c>
      <c r="B325" s="1" t="s">
        <v>286</v>
      </c>
      <c r="C325" s="1" t="s">
        <v>5562</v>
      </c>
      <c r="D325" s="1" t="s">
        <v>5901</v>
      </c>
    </row>
    <row r="326" spans="1:4" x14ac:dyDescent="0.2">
      <c r="A326" s="1" t="s">
        <v>5916</v>
      </c>
      <c r="B326" s="1" t="s">
        <v>1155</v>
      </c>
      <c r="C326" s="1" t="s">
        <v>5900</v>
      </c>
      <c r="D326" s="1" t="s">
        <v>5901</v>
      </c>
    </row>
    <row r="327" spans="1:4" x14ac:dyDescent="0.2">
      <c r="A327" s="1" t="s">
        <v>5917</v>
      </c>
      <c r="B327" s="1" t="s">
        <v>174</v>
      </c>
      <c r="C327" s="1" t="s">
        <v>5562</v>
      </c>
      <c r="D327" s="1" t="s">
        <v>5901</v>
      </c>
    </row>
    <row r="328" spans="1:4" x14ac:dyDescent="0.2">
      <c r="A328" s="1" t="s">
        <v>5918</v>
      </c>
      <c r="B328" s="1" t="s">
        <v>1156</v>
      </c>
      <c r="C328" s="1" t="s">
        <v>5562</v>
      </c>
    </row>
    <row r="329" spans="1:4" x14ac:dyDescent="0.2">
      <c r="A329" s="1" t="s">
        <v>5919</v>
      </c>
      <c r="B329" s="1" t="s">
        <v>1157</v>
      </c>
      <c r="C329" s="1" t="s">
        <v>5900</v>
      </c>
      <c r="D329" s="1" t="s">
        <v>5901</v>
      </c>
    </row>
    <row r="330" spans="1:4" x14ac:dyDescent="0.2">
      <c r="A330" s="1" t="s">
        <v>5920</v>
      </c>
      <c r="B330" s="1" t="s">
        <v>175</v>
      </c>
      <c r="C330" s="1" t="s">
        <v>5562</v>
      </c>
      <c r="D330" s="1" t="s">
        <v>5901</v>
      </c>
    </row>
    <row r="331" spans="1:4" x14ac:dyDescent="0.2">
      <c r="A331" s="1" t="s">
        <v>5921</v>
      </c>
      <c r="B331" s="1" t="s">
        <v>1158</v>
      </c>
      <c r="C331" s="1" t="s">
        <v>5562</v>
      </c>
      <c r="D331" s="1" t="s">
        <v>5901</v>
      </c>
    </row>
    <row r="332" spans="1:4" x14ac:dyDescent="0.2">
      <c r="A332" s="1" t="s">
        <v>5922</v>
      </c>
      <c r="B332" s="1" t="s">
        <v>1159</v>
      </c>
      <c r="C332" s="1" t="s">
        <v>5562</v>
      </c>
      <c r="D332" s="1" t="s">
        <v>5901</v>
      </c>
    </row>
    <row r="333" spans="1:4" x14ac:dyDescent="0.2">
      <c r="A333" s="1" t="s">
        <v>23</v>
      </c>
      <c r="B333" s="1" t="s">
        <v>1160</v>
      </c>
      <c r="C333" s="1" t="s">
        <v>5900</v>
      </c>
      <c r="D333" s="1" t="s">
        <v>5901</v>
      </c>
    </row>
    <row r="334" spans="1:4" x14ac:dyDescent="0.2">
      <c r="A334" s="1" t="s">
        <v>5923</v>
      </c>
      <c r="B334" s="1" t="s">
        <v>1161</v>
      </c>
      <c r="C334" s="1" t="s">
        <v>5900</v>
      </c>
    </row>
    <row r="335" spans="1:4" x14ac:dyDescent="0.2">
      <c r="A335" s="1" t="s">
        <v>5924</v>
      </c>
      <c r="B335" s="1" t="s">
        <v>1162</v>
      </c>
      <c r="C335" s="1" t="s">
        <v>5900</v>
      </c>
      <c r="D335" s="1" t="s">
        <v>5901</v>
      </c>
    </row>
    <row r="336" spans="1:4" x14ac:dyDescent="0.2">
      <c r="A336" s="1" t="s">
        <v>5925</v>
      </c>
      <c r="B336" s="1" t="s">
        <v>176</v>
      </c>
      <c r="C336" s="1" t="s">
        <v>5562</v>
      </c>
      <c r="D336" s="1" t="s">
        <v>5901</v>
      </c>
    </row>
    <row r="337" spans="1:4" x14ac:dyDescent="0.2">
      <c r="A337" s="7" t="s">
        <v>5926</v>
      </c>
    </row>
    <row r="338" spans="1:4" x14ac:dyDescent="0.2">
      <c r="A338" s="1" t="s">
        <v>5902</v>
      </c>
      <c r="B338" s="1" t="s">
        <v>283</v>
      </c>
      <c r="C338" s="1" t="s">
        <v>5900</v>
      </c>
    </row>
    <row r="339" spans="1:4" x14ac:dyDescent="0.2">
      <c r="A339" s="1" t="s">
        <v>5927</v>
      </c>
      <c r="B339" s="1" t="s">
        <v>1163</v>
      </c>
      <c r="C339" s="1" t="s">
        <v>5900</v>
      </c>
      <c r="D339" s="1" t="s">
        <v>5901</v>
      </c>
    </row>
    <row r="340" spans="1:4" x14ac:dyDescent="0.2">
      <c r="A340" s="1" t="s">
        <v>5928</v>
      </c>
      <c r="B340" s="1" t="s">
        <v>1164</v>
      </c>
      <c r="C340" s="1" t="s">
        <v>5900</v>
      </c>
      <c r="D340" s="1" t="s">
        <v>5901</v>
      </c>
    </row>
    <row r="341" spans="1:4" x14ac:dyDescent="0.2">
      <c r="A341" s="1" t="s">
        <v>5929</v>
      </c>
      <c r="B341" s="1" t="s">
        <v>1165</v>
      </c>
      <c r="C341" s="1" t="s">
        <v>5900</v>
      </c>
      <c r="D341" s="1" t="s">
        <v>5901</v>
      </c>
    </row>
    <row r="342" spans="1:4" x14ac:dyDescent="0.2">
      <c r="A342" s="1" t="s">
        <v>9858</v>
      </c>
      <c r="B342" s="1" t="s">
        <v>7156</v>
      </c>
      <c r="C342" s="1" t="s">
        <v>5900</v>
      </c>
    </row>
    <row r="343" spans="1:4" x14ac:dyDescent="0.2">
      <c r="A343" s="1" t="s">
        <v>5930</v>
      </c>
      <c r="B343" s="1" t="s">
        <v>287</v>
      </c>
      <c r="C343" s="1" t="s">
        <v>5900</v>
      </c>
      <c r="D343" s="1" t="s">
        <v>5901</v>
      </c>
    </row>
    <row r="344" spans="1:4" x14ac:dyDescent="0.2">
      <c r="A344" s="1" t="s">
        <v>7585</v>
      </c>
      <c r="B344" s="1" t="s">
        <v>7157</v>
      </c>
      <c r="C344" s="1" t="s">
        <v>5900</v>
      </c>
      <c r="D344" s="1" t="s">
        <v>7586</v>
      </c>
    </row>
    <row r="345" spans="1:4" x14ac:dyDescent="0.2">
      <c r="A345" s="1" t="s">
        <v>5931</v>
      </c>
      <c r="B345" s="1" t="s">
        <v>1166</v>
      </c>
      <c r="C345" s="1" t="s">
        <v>5900</v>
      </c>
      <c r="D345" s="1" t="s">
        <v>5901</v>
      </c>
    </row>
    <row r="346" spans="1:4" x14ac:dyDescent="0.2">
      <c r="A346" s="1" t="s">
        <v>5932</v>
      </c>
      <c r="B346" s="1" t="s">
        <v>1167</v>
      </c>
      <c r="C346" s="1" t="s">
        <v>5900</v>
      </c>
    </row>
    <row r="347" spans="1:4" x14ac:dyDescent="0.2">
      <c r="A347" s="7" t="s">
        <v>5933</v>
      </c>
    </row>
    <row r="348" spans="1:4" x14ac:dyDescent="0.2">
      <c r="A348" s="7" t="s">
        <v>5934</v>
      </c>
    </row>
    <row r="349" spans="1:4" x14ac:dyDescent="0.2">
      <c r="A349" s="7" t="s">
        <v>5935</v>
      </c>
    </row>
    <row r="350" spans="1:4" x14ac:dyDescent="0.2">
      <c r="A350" s="1" t="s">
        <v>5936</v>
      </c>
      <c r="B350" s="1" t="s">
        <v>5937</v>
      </c>
      <c r="C350" s="1" t="s">
        <v>5900</v>
      </c>
      <c r="D350" s="1" t="s">
        <v>5938</v>
      </c>
    </row>
    <row r="351" spans="1:4" x14ac:dyDescent="0.2">
      <c r="A351" s="1" t="s">
        <v>5939</v>
      </c>
      <c r="B351" s="1" t="s">
        <v>289</v>
      </c>
      <c r="C351" s="1" t="s">
        <v>5900</v>
      </c>
      <c r="D351" s="1" t="s">
        <v>5940</v>
      </c>
    </row>
    <row r="352" spans="1:4" x14ac:dyDescent="0.2">
      <c r="A352" s="1" t="s">
        <v>6677</v>
      </c>
      <c r="C352" s="1" t="s">
        <v>5900</v>
      </c>
    </row>
    <row r="353" spans="1:4" x14ac:dyDescent="0.2">
      <c r="A353" s="1" t="s">
        <v>5941</v>
      </c>
      <c r="B353" s="1" t="s">
        <v>1169</v>
      </c>
      <c r="C353" s="1" t="s">
        <v>5900</v>
      </c>
      <c r="D353" s="1" t="s">
        <v>5942</v>
      </c>
    </row>
    <row r="354" spans="1:4" x14ac:dyDescent="0.2">
      <c r="A354" s="1" t="s">
        <v>5943</v>
      </c>
      <c r="B354" s="1" t="s">
        <v>1171</v>
      </c>
      <c r="C354" s="1" t="s">
        <v>5900</v>
      </c>
    </row>
    <row r="355" spans="1:4" x14ac:dyDescent="0.2">
      <c r="A355" s="1" t="s">
        <v>5944</v>
      </c>
      <c r="B355" s="1" t="s">
        <v>1170</v>
      </c>
      <c r="C355" s="1" t="s">
        <v>5900</v>
      </c>
    </row>
    <row r="356" spans="1:4" x14ac:dyDescent="0.2">
      <c r="A356" s="1" t="s">
        <v>6678</v>
      </c>
      <c r="B356" s="1" t="s">
        <v>6579</v>
      </c>
      <c r="C356" s="1" t="s">
        <v>5900</v>
      </c>
    </row>
    <row r="357" spans="1:4" x14ac:dyDescent="0.2">
      <c r="A357" s="1" t="s">
        <v>5945</v>
      </c>
      <c r="B357" s="1" t="s">
        <v>5946</v>
      </c>
      <c r="C357" s="1" t="s">
        <v>5900</v>
      </c>
    </row>
    <row r="358" spans="1:4" x14ac:dyDescent="0.2">
      <c r="A358" s="7" t="s">
        <v>5947</v>
      </c>
    </row>
    <row r="359" spans="1:4" x14ac:dyDescent="0.2">
      <c r="A359" s="1" t="s">
        <v>5948</v>
      </c>
      <c r="B359" s="1" t="s">
        <v>1172</v>
      </c>
      <c r="C359" s="1" t="s">
        <v>5900</v>
      </c>
      <c r="D359" s="1" t="s">
        <v>5949</v>
      </c>
    </row>
    <row r="360" spans="1:4" x14ac:dyDescent="0.2">
      <c r="A360" s="1" t="s">
        <v>5950</v>
      </c>
      <c r="B360" s="1" t="s">
        <v>1173</v>
      </c>
      <c r="C360" s="1" t="s">
        <v>5900</v>
      </c>
      <c r="D360" s="1" t="s">
        <v>5951</v>
      </c>
    </row>
    <row r="361" spans="1:4" x14ac:dyDescent="0.2">
      <c r="A361" s="1" t="s">
        <v>5952</v>
      </c>
      <c r="B361" s="1" t="s">
        <v>5953</v>
      </c>
      <c r="C361" s="1" t="s">
        <v>5900</v>
      </c>
    </row>
    <row r="362" spans="1:4" x14ac:dyDescent="0.2">
      <c r="A362" s="1" t="s">
        <v>5954</v>
      </c>
      <c r="B362" s="1" t="s">
        <v>5955</v>
      </c>
      <c r="C362" s="1" t="s">
        <v>5900</v>
      </c>
      <c r="D362" s="1" t="s">
        <v>5956</v>
      </c>
    </row>
    <row r="363" spans="1:4" x14ac:dyDescent="0.2">
      <c r="A363" s="1" t="s">
        <v>6679</v>
      </c>
      <c r="B363" s="1" t="s">
        <v>6680</v>
      </c>
      <c r="C363" s="1" t="s">
        <v>5900</v>
      </c>
    </row>
    <row r="364" spans="1:4" x14ac:dyDescent="0.2">
      <c r="A364" s="1" t="s">
        <v>5957</v>
      </c>
      <c r="B364" s="1" t="s">
        <v>293</v>
      </c>
      <c r="C364" s="1" t="s">
        <v>5900</v>
      </c>
    </row>
    <row r="365" spans="1:4" x14ac:dyDescent="0.2">
      <c r="A365" s="1" t="s">
        <v>5958</v>
      </c>
      <c r="B365" s="1" t="s">
        <v>294</v>
      </c>
      <c r="C365" s="1" t="s">
        <v>5900</v>
      </c>
    </row>
    <row r="366" spans="1:4" x14ac:dyDescent="0.2">
      <c r="A366" s="1" t="s">
        <v>5959</v>
      </c>
      <c r="B366" s="1" t="s">
        <v>5960</v>
      </c>
      <c r="C366" s="1" t="s">
        <v>5900</v>
      </c>
    </row>
    <row r="367" spans="1:4" x14ac:dyDescent="0.2">
      <c r="A367" s="1" t="s">
        <v>9859</v>
      </c>
      <c r="B367" s="1" t="s">
        <v>9860</v>
      </c>
      <c r="C367" s="1" t="s">
        <v>5900</v>
      </c>
    </row>
    <row r="368" spans="1:4" x14ac:dyDescent="0.2">
      <c r="A368" s="7" t="s">
        <v>5961</v>
      </c>
    </row>
    <row r="369" spans="1:4" x14ac:dyDescent="0.2">
      <c r="A369" s="1" t="s">
        <v>5962</v>
      </c>
      <c r="B369" s="1" t="s">
        <v>1174</v>
      </c>
      <c r="C369" s="1" t="s">
        <v>5900</v>
      </c>
      <c r="D369" s="1" t="s">
        <v>5963</v>
      </c>
    </row>
    <row r="370" spans="1:4" x14ac:dyDescent="0.2">
      <c r="A370" s="1" t="s">
        <v>7570</v>
      </c>
      <c r="B370" s="1" t="s">
        <v>6826</v>
      </c>
      <c r="C370" s="1" t="s">
        <v>5900</v>
      </c>
    </row>
    <row r="371" spans="1:4" x14ac:dyDescent="0.2">
      <c r="A371" s="1" t="s">
        <v>5964</v>
      </c>
      <c r="B371" s="1" t="s">
        <v>1175</v>
      </c>
      <c r="C371" s="1" t="s">
        <v>5900</v>
      </c>
    </row>
    <row r="372" spans="1:4" x14ac:dyDescent="0.2">
      <c r="A372" s="7" t="s">
        <v>5965</v>
      </c>
    </row>
    <row r="373" spans="1:4" x14ac:dyDescent="0.2">
      <c r="A373" s="1" t="s">
        <v>5966</v>
      </c>
      <c r="B373" s="1" t="s">
        <v>7060</v>
      </c>
      <c r="C373" s="1" t="s">
        <v>5562</v>
      </c>
    </row>
    <row r="374" spans="1:4" s="11" customFormat="1" x14ac:dyDescent="0.2">
      <c r="A374" s="11" t="s">
        <v>9866</v>
      </c>
      <c r="B374" s="11" t="s">
        <v>9862</v>
      </c>
      <c r="C374" s="11" t="s">
        <v>5562</v>
      </c>
    </row>
    <row r="375" spans="1:4" s="11" customFormat="1" x14ac:dyDescent="0.2">
      <c r="A375" s="11" t="s">
        <v>9867</v>
      </c>
      <c r="B375" s="11" t="s">
        <v>7061</v>
      </c>
      <c r="C375" s="11" t="s">
        <v>5562</v>
      </c>
    </row>
    <row r="376" spans="1:4" s="11" customFormat="1" x14ac:dyDescent="0.2">
      <c r="A376" s="11" t="s">
        <v>9868</v>
      </c>
      <c r="B376" s="11" t="s">
        <v>7062</v>
      </c>
      <c r="C376" s="11" t="s">
        <v>5562</v>
      </c>
    </row>
    <row r="377" spans="1:4" s="11" customFormat="1" x14ac:dyDescent="0.2">
      <c r="A377" s="11" t="s">
        <v>9870</v>
      </c>
      <c r="B377" s="11" t="s">
        <v>9863</v>
      </c>
      <c r="C377" s="11" t="s">
        <v>5562</v>
      </c>
    </row>
    <row r="378" spans="1:4" s="11" customFormat="1" x14ac:dyDescent="0.2">
      <c r="A378" s="11" t="s">
        <v>9871</v>
      </c>
      <c r="B378" s="11" t="s">
        <v>7063</v>
      </c>
      <c r="C378" s="11" t="s">
        <v>5562</v>
      </c>
    </row>
    <row r="379" spans="1:4" s="11" customFormat="1" x14ac:dyDescent="0.2">
      <c r="A379" s="11" t="s">
        <v>9872</v>
      </c>
      <c r="B379" s="11" t="s">
        <v>9864</v>
      </c>
      <c r="C379" s="11" t="s">
        <v>5562</v>
      </c>
    </row>
    <row r="380" spans="1:4" s="11" customFormat="1" x14ac:dyDescent="0.2">
      <c r="A380" s="11" t="s">
        <v>9873</v>
      </c>
      <c r="B380" s="11" t="s">
        <v>7064</v>
      </c>
      <c r="C380" s="11" t="s">
        <v>5562</v>
      </c>
    </row>
    <row r="381" spans="1:4" s="11" customFormat="1" x14ac:dyDescent="0.2">
      <c r="A381" s="11" t="s">
        <v>9869</v>
      </c>
      <c r="B381" s="11" t="s">
        <v>9865</v>
      </c>
      <c r="C381" s="11" t="s">
        <v>5562</v>
      </c>
    </row>
    <row r="382" spans="1:4" x14ac:dyDescent="0.2">
      <c r="A382" s="1" t="s">
        <v>5967</v>
      </c>
      <c r="B382" s="1" t="s">
        <v>5968</v>
      </c>
      <c r="C382" s="1" t="s">
        <v>5562</v>
      </c>
    </row>
    <row r="383" spans="1:4" x14ac:dyDescent="0.2">
      <c r="A383" s="63" t="s">
        <v>6820</v>
      </c>
      <c r="B383" s="63" t="s">
        <v>5968</v>
      </c>
      <c r="C383" s="63" t="s">
        <v>9861</v>
      </c>
    </row>
    <row r="384" spans="1:4" x14ac:dyDescent="0.2">
      <c r="A384" s="7" t="s">
        <v>5969</v>
      </c>
    </row>
    <row r="385" spans="1:4" x14ac:dyDescent="0.2">
      <c r="A385" s="7" t="s">
        <v>5970</v>
      </c>
    </row>
    <row r="386" spans="1:4" x14ac:dyDescent="0.2">
      <c r="A386" s="1" t="s">
        <v>5971</v>
      </c>
      <c r="B386" s="1" t="s">
        <v>177</v>
      </c>
      <c r="C386" s="1" t="s">
        <v>5562</v>
      </c>
    </row>
    <row r="387" spans="1:4" x14ac:dyDescent="0.2">
      <c r="A387" s="1" t="s">
        <v>6681</v>
      </c>
      <c r="B387" s="1" t="s">
        <v>6682</v>
      </c>
      <c r="C387" s="1" t="s">
        <v>5562</v>
      </c>
    </row>
    <row r="388" spans="1:4" x14ac:dyDescent="0.2">
      <c r="A388" s="7" t="s">
        <v>5972</v>
      </c>
    </row>
    <row r="389" spans="1:4" x14ac:dyDescent="0.2">
      <c r="A389" s="1" t="s">
        <v>5973</v>
      </c>
      <c r="B389" s="1" t="s">
        <v>178</v>
      </c>
      <c r="C389" s="1" t="s">
        <v>5562</v>
      </c>
    </row>
    <row r="390" spans="1:4" x14ac:dyDescent="0.2">
      <c r="A390" s="7" t="s">
        <v>5974</v>
      </c>
    </row>
    <row r="391" spans="1:4" x14ac:dyDescent="0.2">
      <c r="A391" s="1" t="s">
        <v>5975</v>
      </c>
      <c r="B391" s="1" t="s">
        <v>1184</v>
      </c>
      <c r="C391" s="1" t="s">
        <v>5900</v>
      </c>
      <c r="D391" s="1" t="s">
        <v>5976</v>
      </c>
    </row>
    <row r="392" spans="1:4" x14ac:dyDescent="0.2">
      <c r="A392" s="1" t="s">
        <v>5977</v>
      </c>
      <c r="B392" s="1" t="s">
        <v>5978</v>
      </c>
      <c r="C392" s="1" t="s">
        <v>5900</v>
      </c>
    </row>
    <row r="393" spans="1:4" x14ac:dyDescent="0.2">
      <c r="A393" s="7" t="s">
        <v>5979</v>
      </c>
    </row>
    <row r="394" spans="1:4" x14ac:dyDescent="0.2">
      <c r="A394" s="1" t="s">
        <v>5980</v>
      </c>
      <c r="B394" s="1" t="s">
        <v>1178</v>
      </c>
      <c r="C394" s="1" t="s">
        <v>5562</v>
      </c>
      <c r="D394" s="1" t="s">
        <v>5981</v>
      </c>
    </row>
    <row r="395" spans="1:4" x14ac:dyDescent="0.2">
      <c r="A395" s="1" t="s">
        <v>5982</v>
      </c>
      <c r="B395" s="1" t="s">
        <v>179</v>
      </c>
      <c r="C395" s="1" t="s">
        <v>5562</v>
      </c>
    </row>
    <row r="396" spans="1:4" x14ac:dyDescent="0.2">
      <c r="A396" s="7" t="s">
        <v>1179</v>
      </c>
    </row>
    <row r="397" spans="1:4" x14ac:dyDescent="0.2">
      <c r="A397" s="1" t="s">
        <v>5983</v>
      </c>
      <c r="B397" s="1" t="s">
        <v>1179</v>
      </c>
      <c r="C397" s="1" t="s">
        <v>5562</v>
      </c>
    </row>
    <row r="398" spans="1:4" x14ac:dyDescent="0.2">
      <c r="A398" s="7" t="s">
        <v>5984</v>
      </c>
    </row>
    <row r="399" spans="1:4" x14ac:dyDescent="0.2">
      <c r="A399" s="1" t="s">
        <v>5985</v>
      </c>
      <c r="B399" s="1" t="s">
        <v>1180</v>
      </c>
      <c r="C399" s="1" t="s">
        <v>5562</v>
      </c>
    </row>
    <row r="400" spans="1:4" x14ac:dyDescent="0.2">
      <c r="A400" s="1" t="s">
        <v>5986</v>
      </c>
      <c r="B400" s="1" t="s">
        <v>5987</v>
      </c>
      <c r="C400" s="1" t="s">
        <v>5562</v>
      </c>
    </row>
    <row r="401" spans="1:4" x14ac:dyDescent="0.2">
      <c r="A401" s="1" t="s">
        <v>6683</v>
      </c>
      <c r="B401" s="1" t="s">
        <v>6684</v>
      </c>
      <c r="C401" s="1" t="s">
        <v>5562</v>
      </c>
    </row>
    <row r="402" spans="1:4" x14ac:dyDescent="0.2">
      <c r="A402" s="1" t="s">
        <v>5988</v>
      </c>
      <c r="B402" s="1" t="s">
        <v>1182</v>
      </c>
      <c r="C402" s="1" t="s">
        <v>5562</v>
      </c>
      <c r="D402" s="1" t="s">
        <v>5989</v>
      </c>
    </row>
    <row r="403" spans="1:4" x14ac:dyDescent="0.2">
      <c r="A403" s="1" t="s">
        <v>7584</v>
      </c>
      <c r="B403" s="1" t="s">
        <v>5990</v>
      </c>
      <c r="C403" s="1" t="s">
        <v>5562</v>
      </c>
    </row>
    <row r="404" spans="1:4" x14ac:dyDescent="0.2">
      <c r="A404" s="7" t="s">
        <v>5991</v>
      </c>
    </row>
    <row r="405" spans="1:4" x14ac:dyDescent="0.2">
      <c r="A405" s="1" t="s">
        <v>5992</v>
      </c>
      <c r="B405" s="1" t="s">
        <v>1185</v>
      </c>
      <c r="C405" s="1" t="s">
        <v>5900</v>
      </c>
      <c r="D405" s="1" t="s">
        <v>5993</v>
      </c>
    </row>
    <row r="406" spans="1:4" x14ac:dyDescent="0.2">
      <c r="A406" s="7" t="s">
        <v>5994</v>
      </c>
    </row>
    <row r="407" spans="1:4" x14ac:dyDescent="0.2">
      <c r="A407" s="1" t="s">
        <v>5995</v>
      </c>
      <c r="B407" s="1" t="s">
        <v>297</v>
      </c>
      <c r="C407" s="1" t="s">
        <v>5562</v>
      </c>
      <c r="D407" s="1" t="s">
        <v>5996</v>
      </c>
    </row>
    <row r="408" spans="1:4" x14ac:dyDescent="0.2">
      <c r="A408" s="1" t="s">
        <v>5997</v>
      </c>
      <c r="B408" s="1" t="s">
        <v>298</v>
      </c>
      <c r="C408" s="1" t="s">
        <v>5562</v>
      </c>
    </row>
    <row r="409" spans="1:4" x14ac:dyDescent="0.2">
      <c r="A409" s="1" t="s">
        <v>5998</v>
      </c>
      <c r="B409" s="1" t="s">
        <v>299</v>
      </c>
      <c r="C409" s="1" t="s">
        <v>5562</v>
      </c>
    </row>
    <row r="410" spans="1:4" x14ac:dyDescent="0.2">
      <c r="A410" s="1" t="s">
        <v>5999</v>
      </c>
      <c r="B410" s="1" t="s">
        <v>6000</v>
      </c>
      <c r="C410" s="1" t="s">
        <v>5562</v>
      </c>
    </row>
    <row r="411" spans="1:4" x14ac:dyDescent="0.2">
      <c r="A411" s="7" t="s">
        <v>6670</v>
      </c>
    </row>
    <row r="412" spans="1:4" x14ac:dyDescent="0.2">
      <c r="A412" s="1" t="s">
        <v>6671</v>
      </c>
      <c r="B412" s="1" t="s">
        <v>6673</v>
      </c>
      <c r="C412" s="1" t="s">
        <v>5900</v>
      </c>
    </row>
    <row r="413" spans="1:4" x14ac:dyDescent="0.2">
      <c r="A413" s="1" t="s">
        <v>6672</v>
      </c>
      <c r="B413" s="1" t="s">
        <v>6674</v>
      </c>
      <c r="C413" s="1" t="s">
        <v>5900</v>
      </c>
    </row>
    <row r="414" spans="1:4" x14ac:dyDescent="0.2">
      <c r="A414" s="7" t="s">
        <v>6001</v>
      </c>
    </row>
    <row r="415" spans="1:4" x14ac:dyDescent="0.2">
      <c r="A415" s="1" t="s">
        <v>6002</v>
      </c>
      <c r="B415" s="1" t="s">
        <v>1201</v>
      </c>
      <c r="C415" s="1" t="s">
        <v>5562</v>
      </c>
      <c r="D415" s="1" t="s">
        <v>6003</v>
      </c>
    </row>
    <row r="416" spans="1:4" x14ac:dyDescent="0.2">
      <c r="A416" s="7" t="s">
        <v>6004</v>
      </c>
    </row>
    <row r="417" spans="1:4" x14ac:dyDescent="0.2">
      <c r="A417" s="1" t="s">
        <v>6005</v>
      </c>
      <c r="B417" s="1" t="s">
        <v>1206</v>
      </c>
      <c r="C417" s="1" t="s">
        <v>5562</v>
      </c>
    </row>
    <row r="418" spans="1:4" x14ac:dyDescent="0.2">
      <c r="A418" s="1" t="s">
        <v>6006</v>
      </c>
      <c r="B418" s="1" t="s">
        <v>1205</v>
      </c>
      <c r="C418" s="1" t="s">
        <v>5562</v>
      </c>
    </row>
    <row r="419" spans="1:4" x14ac:dyDescent="0.2">
      <c r="A419" s="1" t="s">
        <v>6007</v>
      </c>
      <c r="B419" s="1" t="s">
        <v>6008</v>
      </c>
      <c r="C419" s="1" t="s">
        <v>5562</v>
      </c>
    </row>
    <row r="420" spans="1:4" x14ac:dyDescent="0.2">
      <c r="A420" s="1" t="s">
        <v>6009</v>
      </c>
      <c r="B420" s="1" t="s">
        <v>1203</v>
      </c>
      <c r="C420" s="1" t="s">
        <v>5562</v>
      </c>
      <c r="D420" s="1" t="s">
        <v>6010</v>
      </c>
    </row>
    <row r="421" spans="1:4" x14ac:dyDescent="0.2">
      <c r="A421" s="1" t="s">
        <v>6011</v>
      </c>
      <c r="B421" s="1" t="s">
        <v>1202</v>
      </c>
      <c r="C421" s="1" t="s">
        <v>5562</v>
      </c>
    </row>
    <row r="422" spans="1:4" x14ac:dyDescent="0.2">
      <c r="A422" s="1" t="s">
        <v>6012</v>
      </c>
      <c r="B422" s="1" t="s">
        <v>1204</v>
      </c>
      <c r="C422" s="1" t="s">
        <v>5562</v>
      </c>
    </row>
    <row r="423" spans="1:4" x14ac:dyDescent="0.2">
      <c r="B423" s="1" t="s">
        <v>6013</v>
      </c>
    </row>
    <row r="424" spans="1:4" x14ac:dyDescent="0.2">
      <c r="A424" s="1" t="s">
        <v>6014</v>
      </c>
      <c r="B424" s="1" t="s">
        <v>1197</v>
      </c>
      <c r="C424" s="1" t="s">
        <v>5562</v>
      </c>
    </row>
    <row r="425" spans="1:4" x14ac:dyDescent="0.2">
      <c r="A425" s="1" t="s">
        <v>6015</v>
      </c>
      <c r="B425" s="1" t="s">
        <v>1198</v>
      </c>
      <c r="C425" s="1" t="s">
        <v>5562</v>
      </c>
    </row>
    <row r="426" spans="1:4" x14ac:dyDescent="0.2">
      <c r="A426" s="7" t="s">
        <v>6016</v>
      </c>
    </row>
    <row r="427" spans="1:4" x14ac:dyDescent="0.2">
      <c r="A427" s="7" t="s">
        <v>6017</v>
      </c>
    </row>
    <row r="428" spans="1:4" x14ac:dyDescent="0.2">
      <c r="A428" s="7" t="s">
        <v>6018</v>
      </c>
    </row>
    <row r="429" spans="1:4" x14ac:dyDescent="0.2">
      <c r="A429" s="1" t="s">
        <v>7581</v>
      </c>
      <c r="B429" s="1" t="s">
        <v>6772</v>
      </c>
      <c r="C429" s="1" t="s">
        <v>5900</v>
      </c>
    </row>
    <row r="430" spans="1:4" x14ac:dyDescent="0.2">
      <c r="A430" s="1" t="s">
        <v>6019</v>
      </c>
      <c r="B430" s="1" t="s">
        <v>304</v>
      </c>
      <c r="C430" s="1" t="s">
        <v>5900</v>
      </c>
    </row>
    <row r="431" spans="1:4" x14ac:dyDescent="0.2">
      <c r="A431" s="1" t="s">
        <v>6020</v>
      </c>
      <c r="B431" s="1" t="s">
        <v>303</v>
      </c>
      <c r="C431" s="1" t="s">
        <v>5900</v>
      </c>
    </row>
    <row r="432" spans="1:4" x14ac:dyDescent="0.2">
      <c r="A432" s="1" t="s">
        <v>6021</v>
      </c>
      <c r="B432" s="1" t="s">
        <v>305</v>
      </c>
      <c r="C432" s="1" t="s">
        <v>5900</v>
      </c>
    </row>
    <row r="433" spans="1:3" x14ac:dyDescent="0.2">
      <c r="A433" s="7" t="s">
        <v>6022</v>
      </c>
    </row>
    <row r="434" spans="1:3" x14ac:dyDescent="0.2">
      <c r="A434" s="1" t="s">
        <v>6023</v>
      </c>
      <c r="B434" s="1" t="s">
        <v>6024</v>
      </c>
      <c r="C434" s="1" t="s">
        <v>5562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B782"/>
  <sheetViews>
    <sheetView workbookViewId="0"/>
  </sheetViews>
  <sheetFormatPr baseColWidth="10" defaultColWidth="11.5" defaultRowHeight="14" x14ac:dyDescent="0.2"/>
  <cols>
    <col min="1" max="1" width="6.5" style="1" bestFit="1" customWidth="1"/>
    <col min="2" max="16384" width="11.5" style="1"/>
  </cols>
  <sheetData>
    <row r="1" spans="1:2" x14ac:dyDescent="0.2">
      <c r="A1" s="2" t="s">
        <v>240</v>
      </c>
      <c r="B1" s="2" t="s">
        <v>6025</v>
      </c>
    </row>
    <row r="3" spans="1:2" x14ac:dyDescent="0.2">
      <c r="A3" s="1" t="s">
        <v>315</v>
      </c>
      <c r="B3" s="1" t="s">
        <v>6026</v>
      </c>
    </row>
    <row r="4" spans="1:2" x14ac:dyDescent="0.2">
      <c r="A4" s="1" t="s">
        <v>355</v>
      </c>
      <c r="B4" s="1" t="s">
        <v>6027</v>
      </c>
    </row>
    <row r="5" spans="1:2" x14ac:dyDescent="0.2">
      <c r="A5" s="1" t="s">
        <v>409</v>
      </c>
      <c r="B5" s="1" t="s">
        <v>6028</v>
      </c>
    </row>
    <row r="6" spans="1:2" x14ac:dyDescent="0.2">
      <c r="A6" s="1" t="s">
        <v>449</v>
      </c>
      <c r="B6" s="1" t="s">
        <v>6029</v>
      </c>
    </row>
    <row r="7" spans="1:2" x14ac:dyDescent="0.2">
      <c r="A7" s="1" t="s">
        <v>481</v>
      </c>
      <c r="B7" s="1" t="s">
        <v>6030</v>
      </c>
    </row>
    <row r="8" spans="1:2" x14ac:dyDescent="0.2">
      <c r="A8" s="1" t="s">
        <v>6031</v>
      </c>
      <c r="B8" s="1" t="s">
        <v>6032</v>
      </c>
    </row>
    <row r="9" spans="1:2" x14ac:dyDescent="0.2">
      <c r="A9" s="1" t="s">
        <v>565</v>
      </c>
      <c r="B9" s="1" t="s">
        <v>6033</v>
      </c>
    </row>
    <row r="10" spans="1:2" x14ac:dyDescent="0.2">
      <c r="A10" s="1" t="s">
        <v>580</v>
      </c>
      <c r="B10" s="1" t="s">
        <v>6034</v>
      </c>
    </row>
    <row r="11" spans="1:2" x14ac:dyDescent="0.2">
      <c r="A11" s="1" t="s">
        <v>607</v>
      </c>
      <c r="B11" s="1" t="s">
        <v>6035</v>
      </c>
    </row>
    <row r="12" spans="1:2" x14ac:dyDescent="0.2">
      <c r="A12" s="1" t="s">
        <v>634</v>
      </c>
      <c r="B12" s="1" t="s">
        <v>6036</v>
      </c>
    </row>
    <row r="13" spans="1:2" x14ac:dyDescent="0.2">
      <c r="A13" s="1" t="s">
        <v>665</v>
      </c>
      <c r="B13" s="1" t="s">
        <v>6037</v>
      </c>
    </row>
    <row r="14" spans="1:2" x14ac:dyDescent="0.2">
      <c r="A14" s="1" t="s">
        <v>708</v>
      </c>
      <c r="B14" s="1" t="s">
        <v>6038</v>
      </c>
    </row>
    <row r="15" spans="1:2" x14ac:dyDescent="0.2">
      <c r="A15" s="1" t="s">
        <v>750</v>
      </c>
      <c r="B15" s="1" t="s">
        <v>6039</v>
      </c>
    </row>
    <row r="16" spans="1:2" x14ac:dyDescent="0.2">
      <c r="A16" s="1" t="s">
        <v>758</v>
      </c>
      <c r="B16" s="1" t="s">
        <v>6040</v>
      </c>
    </row>
    <row r="17" spans="1:2" x14ac:dyDescent="0.2">
      <c r="A17" s="1" t="s">
        <v>773</v>
      </c>
      <c r="B17" s="1" t="s">
        <v>6041</v>
      </c>
    </row>
    <row r="18" spans="1:2" x14ac:dyDescent="0.2">
      <c r="A18" s="1" t="s">
        <v>799</v>
      </c>
      <c r="B18" s="1" t="s">
        <v>6042</v>
      </c>
    </row>
    <row r="19" spans="1:2" x14ac:dyDescent="0.2">
      <c r="A19" s="1" t="s">
        <v>818</v>
      </c>
      <c r="B19" s="1" t="s">
        <v>6043</v>
      </c>
    </row>
    <row r="20" spans="1:2" x14ac:dyDescent="0.2">
      <c r="A20" s="1" t="s">
        <v>843</v>
      </c>
      <c r="B20" s="1" t="s">
        <v>6044</v>
      </c>
    </row>
    <row r="21" spans="1:2" x14ac:dyDescent="0.2">
      <c r="A21" s="1" t="s">
        <v>847</v>
      </c>
      <c r="B21" s="1" t="s">
        <v>6045</v>
      </c>
    </row>
    <row r="22" spans="1:2" x14ac:dyDescent="0.2">
      <c r="A22" s="1" t="s">
        <v>857</v>
      </c>
      <c r="B22" s="1" t="s">
        <v>6046</v>
      </c>
    </row>
    <row r="23" spans="1:2" x14ac:dyDescent="0.2">
      <c r="A23" s="1" t="s">
        <v>905</v>
      </c>
      <c r="B23" s="1" t="s">
        <v>6047</v>
      </c>
    </row>
    <row r="24" spans="1:2" x14ac:dyDescent="0.2">
      <c r="A24" s="1" t="s">
        <v>929</v>
      </c>
      <c r="B24" s="1" t="s">
        <v>6048</v>
      </c>
    </row>
    <row r="25" spans="1:2" x14ac:dyDescent="0.2">
      <c r="A25" s="1" t="s">
        <v>941</v>
      </c>
      <c r="B25" s="1" t="s">
        <v>6049</v>
      </c>
    </row>
    <row r="26" spans="1:2" x14ac:dyDescent="0.2">
      <c r="A26" s="1" t="s">
        <v>958</v>
      </c>
      <c r="B26" s="1" t="s">
        <v>6050</v>
      </c>
    </row>
    <row r="27" spans="1:2" x14ac:dyDescent="0.2">
      <c r="A27" s="1" t="s">
        <v>968</v>
      </c>
      <c r="B27" s="1" t="s">
        <v>6051</v>
      </c>
    </row>
    <row r="28" spans="1:2" x14ac:dyDescent="0.2">
      <c r="A28" s="1" t="s">
        <v>1004</v>
      </c>
      <c r="B28" s="1" t="s">
        <v>6052</v>
      </c>
    </row>
    <row r="29" spans="1:2" x14ac:dyDescent="0.2">
      <c r="A29" s="1" t="s">
        <v>1011</v>
      </c>
      <c r="B29" s="1" t="s">
        <v>6053</v>
      </c>
    </row>
    <row r="30" spans="1:2" x14ac:dyDescent="0.2">
      <c r="A30" s="1" t="s">
        <v>1030</v>
      </c>
      <c r="B30" s="1" t="s">
        <v>6054</v>
      </c>
    </row>
    <row r="31" spans="1:2" x14ac:dyDescent="0.2">
      <c r="A31" s="1" t="s">
        <v>1044</v>
      </c>
      <c r="B31" s="1" t="s">
        <v>6055</v>
      </c>
    </row>
    <row r="32" spans="1:2" x14ac:dyDescent="0.2">
      <c r="A32" s="1" t="s">
        <v>1213</v>
      </c>
      <c r="B32" s="1" t="s">
        <v>6056</v>
      </c>
    </row>
    <row r="33" spans="1:2" x14ac:dyDescent="0.2">
      <c r="A33" s="1" t="s">
        <v>1253</v>
      </c>
      <c r="B33" s="1" t="s">
        <v>6057</v>
      </c>
    </row>
    <row r="34" spans="1:2" x14ac:dyDescent="0.2">
      <c r="A34" s="1" t="s">
        <v>1270</v>
      </c>
      <c r="B34" s="1" t="s">
        <v>6058</v>
      </c>
    </row>
    <row r="35" spans="1:2" x14ac:dyDescent="0.2">
      <c r="A35" s="1" t="s">
        <v>1285</v>
      </c>
      <c r="B35" s="1" t="s">
        <v>6059</v>
      </c>
    </row>
    <row r="36" spans="1:2" x14ac:dyDescent="0.2">
      <c r="A36" s="1" t="s">
        <v>1294</v>
      </c>
      <c r="B36" s="1" t="s">
        <v>6060</v>
      </c>
    </row>
    <row r="37" spans="1:2" x14ac:dyDescent="0.2">
      <c r="A37" s="1" t="s">
        <v>1318</v>
      </c>
      <c r="B37" s="1" t="s">
        <v>6061</v>
      </c>
    </row>
    <row r="38" spans="1:2" x14ac:dyDescent="0.2">
      <c r="A38" s="1" t="s">
        <v>1341</v>
      </c>
      <c r="B38" s="1" t="s">
        <v>6062</v>
      </c>
    </row>
    <row r="39" spans="1:2" x14ac:dyDescent="0.2">
      <c r="A39" s="1" t="s">
        <v>1346</v>
      </c>
      <c r="B39" s="1" t="s">
        <v>6063</v>
      </c>
    </row>
    <row r="40" spans="1:2" x14ac:dyDescent="0.2">
      <c r="A40" s="1" t="s">
        <v>1364</v>
      </c>
      <c r="B40" s="1" t="s">
        <v>6064</v>
      </c>
    </row>
    <row r="41" spans="1:2" x14ac:dyDescent="0.2">
      <c r="A41" s="1" t="s">
        <v>1378</v>
      </c>
      <c r="B41" s="1" t="s">
        <v>6065</v>
      </c>
    </row>
    <row r="42" spans="1:2" x14ac:dyDescent="0.2">
      <c r="A42" s="1" t="s">
        <v>1387</v>
      </c>
      <c r="B42" s="1" t="s">
        <v>6066</v>
      </c>
    </row>
    <row r="43" spans="1:2" x14ac:dyDescent="0.2">
      <c r="A43" s="1" t="s">
        <v>1476</v>
      </c>
      <c r="B43" s="1" t="s">
        <v>6067</v>
      </c>
    </row>
    <row r="44" spans="1:2" x14ac:dyDescent="0.2">
      <c r="A44" s="1" t="s">
        <v>1510</v>
      </c>
      <c r="B44" s="1" t="s">
        <v>6068</v>
      </c>
    </row>
    <row r="45" spans="1:2" x14ac:dyDescent="0.2">
      <c r="A45" s="1" t="s">
        <v>1534</v>
      </c>
      <c r="B45" s="1" t="s">
        <v>6069</v>
      </c>
    </row>
    <row r="46" spans="1:2" x14ac:dyDescent="0.2">
      <c r="A46" s="1" t="s">
        <v>1544</v>
      </c>
      <c r="B46" s="1" t="s">
        <v>6070</v>
      </c>
    </row>
    <row r="47" spans="1:2" x14ac:dyDescent="0.2">
      <c r="A47" s="1" t="s">
        <v>1555</v>
      </c>
      <c r="B47" s="1" t="s">
        <v>6071</v>
      </c>
    </row>
    <row r="48" spans="1:2" x14ac:dyDescent="0.2">
      <c r="A48" s="1" t="s">
        <v>1587</v>
      </c>
      <c r="B48" s="1" t="s">
        <v>6072</v>
      </c>
    </row>
    <row r="49" spans="1:2" x14ac:dyDescent="0.2">
      <c r="A49" s="1" t="s">
        <v>1629</v>
      </c>
      <c r="B49" s="1" t="s">
        <v>6073</v>
      </c>
    </row>
    <row r="50" spans="1:2" x14ac:dyDescent="0.2">
      <c r="A50" s="1" t="s">
        <v>1671</v>
      </c>
      <c r="B50" s="1" t="s">
        <v>6074</v>
      </c>
    </row>
    <row r="51" spans="1:2" x14ac:dyDescent="0.2">
      <c r="A51" s="1" t="s">
        <v>1685</v>
      </c>
      <c r="B51" s="1" t="s">
        <v>6075</v>
      </c>
    </row>
    <row r="52" spans="1:2" x14ac:dyDescent="0.2">
      <c r="A52" s="1" t="s">
        <v>1708</v>
      </c>
      <c r="B52" s="1" t="s">
        <v>6076</v>
      </c>
    </row>
    <row r="53" spans="1:2" x14ac:dyDescent="0.2">
      <c r="A53" s="1" t="s">
        <v>1726</v>
      </c>
      <c r="B53" s="1" t="s">
        <v>6077</v>
      </c>
    </row>
    <row r="54" spans="1:2" x14ac:dyDescent="0.2">
      <c r="A54" s="1" t="s">
        <v>1745</v>
      </c>
      <c r="B54" s="1" t="s">
        <v>6078</v>
      </c>
    </row>
    <row r="55" spans="1:2" x14ac:dyDescent="0.2">
      <c r="A55" s="1" t="s">
        <v>1985</v>
      </c>
      <c r="B55" s="1" t="s">
        <v>6079</v>
      </c>
    </row>
    <row r="56" spans="1:2" x14ac:dyDescent="0.2">
      <c r="A56" s="1" t="s">
        <v>1996</v>
      </c>
      <c r="B56" s="1" t="s">
        <v>6080</v>
      </c>
    </row>
    <row r="57" spans="1:2" x14ac:dyDescent="0.2">
      <c r="A57" s="1" t="s">
        <v>2060</v>
      </c>
      <c r="B57" s="1" t="s">
        <v>6081</v>
      </c>
    </row>
    <row r="58" spans="1:2" x14ac:dyDescent="0.2">
      <c r="A58" s="1" t="s">
        <v>2068</v>
      </c>
      <c r="B58" s="1" t="s">
        <v>6082</v>
      </c>
    </row>
    <row r="59" spans="1:2" x14ac:dyDescent="0.2">
      <c r="A59" s="1" t="s">
        <v>2072</v>
      </c>
      <c r="B59" s="1" t="s">
        <v>6083</v>
      </c>
    </row>
    <row r="60" spans="1:2" x14ac:dyDescent="0.2">
      <c r="A60" s="1" t="s">
        <v>2093</v>
      </c>
      <c r="B60" s="1" t="s">
        <v>6084</v>
      </c>
    </row>
    <row r="61" spans="1:2" x14ac:dyDescent="0.2">
      <c r="A61" s="1" t="s">
        <v>2101</v>
      </c>
      <c r="B61" s="1" t="s">
        <v>6085</v>
      </c>
    </row>
    <row r="62" spans="1:2" x14ac:dyDescent="0.2">
      <c r="A62" s="1" t="s">
        <v>2109</v>
      </c>
      <c r="B62" s="1" t="s">
        <v>6086</v>
      </c>
    </row>
    <row r="63" spans="1:2" x14ac:dyDescent="0.2">
      <c r="A63" s="1" t="s">
        <v>2129</v>
      </c>
      <c r="B63" s="1" t="s">
        <v>6087</v>
      </c>
    </row>
    <row r="64" spans="1:2" x14ac:dyDescent="0.2">
      <c r="A64" s="1" t="s">
        <v>2150</v>
      </c>
      <c r="B64" s="1" t="s">
        <v>6088</v>
      </c>
    </row>
    <row r="65" spans="1:2" x14ac:dyDescent="0.2">
      <c r="A65" s="1" t="s">
        <v>2153</v>
      </c>
      <c r="B65" s="1" t="s">
        <v>6089</v>
      </c>
    </row>
    <row r="66" spans="1:2" x14ac:dyDescent="0.2">
      <c r="A66" s="1" t="s">
        <v>2166</v>
      </c>
      <c r="B66" s="1" t="s">
        <v>6090</v>
      </c>
    </row>
    <row r="67" spans="1:2" x14ac:dyDescent="0.2">
      <c r="A67" s="1" t="s">
        <v>2182</v>
      </c>
      <c r="B67" s="1" t="s">
        <v>6091</v>
      </c>
    </row>
    <row r="68" spans="1:2" x14ac:dyDescent="0.2">
      <c r="A68" s="1" t="s">
        <v>2195</v>
      </c>
      <c r="B68" s="1" t="s">
        <v>6092</v>
      </c>
    </row>
    <row r="69" spans="1:2" x14ac:dyDescent="0.2">
      <c r="A69" s="1" t="s">
        <v>2199</v>
      </c>
      <c r="B69" s="1" t="s">
        <v>6093</v>
      </c>
    </row>
    <row r="70" spans="1:2" x14ac:dyDescent="0.2">
      <c r="A70" s="1" t="s">
        <v>2227</v>
      </c>
      <c r="B70" s="1" t="s">
        <v>6094</v>
      </c>
    </row>
    <row r="71" spans="1:2" x14ac:dyDescent="0.2">
      <c r="A71" s="1" t="s">
        <v>2232</v>
      </c>
      <c r="B71" s="1" t="s">
        <v>6095</v>
      </c>
    </row>
    <row r="72" spans="1:2" x14ac:dyDescent="0.2">
      <c r="A72" s="1" t="s">
        <v>2258</v>
      </c>
      <c r="B72" s="1" t="s">
        <v>6096</v>
      </c>
    </row>
    <row r="73" spans="1:2" x14ac:dyDescent="0.2">
      <c r="A73" s="1" t="s">
        <v>2275</v>
      </c>
      <c r="B73" s="1" t="s">
        <v>6097</v>
      </c>
    </row>
    <row r="74" spans="1:2" x14ac:dyDescent="0.2">
      <c r="A74" s="1" t="s">
        <v>2303</v>
      </c>
      <c r="B74" s="1" t="s">
        <v>6098</v>
      </c>
    </row>
    <row r="75" spans="1:2" x14ac:dyDescent="0.2">
      <c r="A75" s="1" t="s">
        <v>2321</v>
      </c>
      <c r="B75" s="1" t="s">
        <v>6099</v>
      </c>
    </row>
    <row r="76" spans="1:2" x14ac:dyDescent="0.2">
      <c r="A76" s="1" t="s">
        <v>2341</v>
      </c>
      <c r="B76" s="1" t="s">
        <v>6100</v>
      </c>
    </row>
    <row r="77" spans="1:2" x14ac:dyDescent="0.2">
      <c r="A77" s="1" t="s">
        <v>2460</v>
      </c>
      <c r="B77" s="1" t="s">
        <v>6101</v>
      </c>
    </row>
    <row r="78" spans="1:2" x14ac:dyDescent="0.2">
      <c r="A78" s="1" t="s">
        <v>2530</v>
      </c>
      <c r="B78" s="1" t="s">
        <v>6102</v>
      </c>
    </row>
    <row r="79" spans="1:2" x14ac:dyDescent="0.2">
      <c r="A79" s="1" t="s">
        <v>2557</v>
      </c>
      <c r="B79" s="1" t="s">
        <v>6103</v>
      </c>
    </row>
    <row r="80" spans="1:2" x14ac:dyDescent="0.2">
      <c r="A80" s="1" t="s">
        <v>2604</v>
      </c>
      <c r="B80" s="1" t="s">
        <v>6104</v>
      </c>
    </row>
    <row r="81" spans="1:2" x14ac:dyDescent="0.2">
      <c r="A81" s="1" t="s">
        <v>2620</v>
      </c>
      <c r="B81" s="1" t="s">
        <v>6105</v>
      </c>
    </row>
    <row r="82" spans="1:2" x14ac:dyDescent="0.2">
      <c r="A82" s="1" t="s">
        <v>2646</v>
      </c>
      <c r="B82" s="1" t="s">
        <v>6106</v>
      </c>
    </row>
    <row r="83" spans="1:2" x14ac:dyDescent="0.2">
      <c r="A83" s="1" t="s">
        <v>2669</v>
      </c>
      <c r="B83" s="1" t="s">
        <v>6107</v>
      </c>
    </row>
    <row r="84" spans="1:2" x14ac:dyDescent="0.2">
      <c r="A84" s="1" t="s">
        <v>2677</v>
      </c>
      <c r="B84" s="1" t="s">
        <v>6108</v>
      </c>
    </row>
    <row r="85" spans="1:2" x14ac:dyDescent="0.2">
      <c r="A85" s="1" t="s">
        <v>2686</v>
      </c>
      <c r="B85" s="1" t="s">
        <v>6109</v>
      </c>
    </row>
    <row r="86" spans="1:2" x14ac:dyDescent="0.2">
      <c r="A86" s="1" t="s">
        <v>2703</v>
      </c>
      <c r="B86" s="1" t="s">
        <v>6110</v>
      </c>
    </row>
    <row r="87" spans="1:2" x14ac:dyDescent="0.2">
      <c r="A87" s="1" t="s">
        <v>2715</v>
      </c>
      <c r="B87" s="1" t="s">
        <v>6111</v>
      </c>
    </row>
    <row r="88" spans="1:2" x14ac:dyDescent="0.2">
      <c r="A88" s="1" t="s">
        <v>2718</v>
      </c>
      <c r="B88" s="1" t="s">
        <v>6112</v>
      </c>
    </row>
    <row r="89" spans="1:2" x14ac:dyDescent="0.2">
      <c r="A89" s="1" t="s">
        <v>2743</v>
      </c>
      <c r="B89" s="1" t="s">
        <v>6113</v>
      </c>
    </row>
    <row r="90" spans="1:2" x14ac:dyDescent="0.2">
      <c r="A90" s="1" t="s">
        <v>2813</v>
      </c>
      <c r="B90" s="1" t="s">
        <v>6114</v>
      </c>
    </row>
    <row r="91" spans="1:2" x14ac:dyDescent="0.2">
      <c r="A91" s="1" t="s">
        <v>2828</v>
      </c>
      <c r="B91" s="1" t="s">
        <v>6115</v>
      </c>
    </row>
    <row r="92" spans="1:2" x14ac:dyDescent="0.2">
      <c r="A92" s="1" t="s">
        <v>2880</v>
      </c>
      <c r="B92" s="1" t="s">
        <v>6116</v>
      </c>
    </row>
    <row r="93" spans="1:2" x14ac:dyDescent="0.2">
      <c r="A93" s="1" t="s">
        <v>2892</v>
      </c>
      <c r="B93" s="1" t="s">
        <v>6117</v>
      </c>
    </row>
    <row r="94" spans="1:2" x14ac:dyDescent="0.2">
      <c r="A94" s="1" t="s">
        <v>2899</v>
      </c>
      <c r="B94" s="1" t="s">
        <v>6118</v>
      </c>
    </row>
    <row r="95" spans="1:2" x14ac:dyDescent="0.2">
      <c r="A95" s="1" t="s">
        <v>2911</v>
      </c>
      <c r="B95" s="1" t="s">
        <v>6119</v>
      </c>
    </row>
    <row r="96" spans="1:2" x14ac:dyDescent="0.2">
      <c r="A96" s="1" t="s">
        <v>2919</v>
      </c>
      <c r="B96" s="1" t="s">
        <v>6120</v>
      </c>
    </row>
    <row r="97" spans="1:2" x14ac:dyDescent="0.2">
      <c r="A97" s="1" t="s">
        <v>2930</v>
      </c>
      <c r="B97" s="1" t="s">
        <v>6121</v>
      </c>
    </row>
    <row r="98" spans="1:2" x14ac:dyDescent="0.2">
      <c r="A98" s="1" t="s">
        <v>2944</v>
      </c>
      <c r="B98" s="1" t="s">
        <v>6122</v>
      </c>
    </row>
    <row r="99" spans="1:2" x14ac:dyDescent="0.2">
      <c r="A99" s="1" t="s">
        <v>2962</v>
      </c>
      <c r="B99" s="1" t="s">
        <v>6123</v>
      </c>
    </row>
    <row r="100" spans="1:2" x14ac:dyDescent="0.2">
      <c r="A100" s="1" t="s">
        <v>2969</v>
      </c>
      <c r="B100" s="1" t="s">
        <v>6124</v>
      </c>
    </row>
    <row r="101" spans="1:2" x14ac:dyDescent="0.2">
      <c r="A101" s="1" t="s">
        <v>2978</v>
      </c>
      <c r="B101" s="1" t="s">
        <v>6125</v>
      </c>
    </row>
    <row r="102" spans="1:2" x14ac:dyDescent="0.2">
      <c r="A102" s="1" t="s">
        <v>2994</v>
      </c>
      <c r="B102" s="1" t="s">
        <v>6126</v>
      </c>
    </row>
    <row r="103" spans="1:2" x14ac:dyDescent="0.2">
      <c r="A103" s="1" t="s">
        <v>3021</v>
      </c>
      <c r="B103" s="1" t="s">
        <v>6127</v>
      </c>
    </row>
    <row r="104" spans="1:2" x14ac:dyDescent="0.2">
      <c r="A104" s="1" t="s">
        <v>3054</v>
      </c>
      <c r="B104" s="1" t="s">
        <v>6128</v>
      </c>
    </row>
    <row r="105" spans="1:2" x14ac:dyDescent="0.2">
      <c r="A105" s="1" t="s">
        <v>3098</v>
      </c>
      <c r="B105" s="1" t="s">
        <v>6129</v>
      </c>
    </row>
    <row r="106" spans="1:2" x14ac:dyDescent="0.2">
      <c r="A106" s="1" t="s">
        <v>3197</v>
      </c>
      <c r="B106" s="1" t="s">
        <v>6130</v>
      </c>
    </row>
    <row r="107" spans="1:2" x14ac:dyDescent="0.2">
      <c r="A107" s="1" t="s">
        <v>3219</v>
      </c>
      <c r="B107" s="1" t="s">
        <v>6131</v>
      </c>
    </row>
    <row r="108" spans="1:2" x14ac:dyDescent="0.2">
      <c r="A108" s="1" t="s">
        <v>4098</v>
      </c>
      <c r="B108" s="1" t="s">
        <v>6132</v>
      </c>
    </row>
    <row r="109" spans="1:2" x14ac:dyDescent="0.2">
      <c r="A109" s="1" t="s">
        <v>4121</v>
      </c>
      <c r="B109" s="1" t="s">
        <v>6133</v>
      </c>
    </row>
    <row r="110" spans="1:2" x14ac:dyDescent="0.2">
      <c r="A110" s="1" t="s">
        <v>4143</v>
      </c>
      <c r="B110" s="1" t="s">
        <v>6134</v>
      </c>
    </row>
    <row r="111" spans="1:2" x14ac:dyDescent="0.2">
      <c r="A111" s="1" t="s">
        <v>4157</v>
      </c>
      <c r="B111" s="1" t="s">
        <v>6135</v>
      </c>
    </row>
    <row r="112" spans="1:2" x14ac:dyDescent="0.2">
      <c r="A112" s="1" t="s">
        <v>4171</v>
      </c>
      <c r="B112" s="1" t="s">
        <v>6136</v>
      </c>
    </row>
    <row r="113" spans="1:2" x14ac:dyDescent="0.2">
      <c r="A113" s="1" t="s">
        <v>4225</v>
      </c>
      <c r="B113" s="1" t="s">
        <v>6137</v>
      </c>
    </row>
    <row r="114" spans="1:2" x14ac:dyDescent="0.2">
      <c r="A114" s="1" t="s">
        <v>4267</v>
      </c>
      <c r="B114" s="1" t="s">
        <v>6138</v>
      </c>
    </row>
    <row r="115" spans="1:2" x14ac:dyDescent="0.2">
      <c r="A115" s="1" t="s">
        <v>4296</v>
      </c>
      <c r="B115" s="1" t="s">
        <v>6139</v>
      </c>
    </row>
    <row r="116" spans="1:2" x14ac:dyDescent="0.2">
      <c r="A116" s="1" t="s">
        <v>4371</v>
      </c>
      <c r="B116" s="1" t="s">
        <v>6140</v>
      </c>
    </row>
    <row r="117" spans="1:2" x14ac:dyDescent="0.2">
      <c r="A117" s="1" t="s">
        <v>4379</v>
      </c>
      <c r="B117" s="1" t="s">
        <v>6141</v>
      </c>
    </row>
    <row r="118" spans="1:2" x14ac:dyDescent="0.2">
      <c r="A118" s="1" t="s">
        <v>4448</v>
      </c>
      <c r="B118" s="1" t="s">
        <v>6142</v>
      </c>
    </row>
    <row r="119" spans="1:2" x14ac:dyDescent="0.2">
      <c r="A119" s="1" t="s">
        <v>4469</v>
      </c>
      <c r="B119" s="1" t="s">
        <v>6143</v>
      </c>
    </row>
    <row r="120" spans="1:2" x14ac:dyDescent="0.2">
      <c r="A120" s="1" t="s">
        <v>4505</v>
      </c>
      <c r="B120" s="1" t="s">
        <v>6144</v>
      </c>
    </row>
    <row r="121" spans="1:2" x14ac:dyDescent="0.2">
      <c r="A121" s="1" t="s">
        <v>4523</v>
      </c>
      <c r="B121" s="1" t="s">
        <v>6145</v>
      </c>
    </row>
    <row r="122" spans="1:2" x14ac:dyDescent="0.2">
      <c r="A122" s="1" t="s">
        <v>4561</v>
      </c>
      <c r="B122" s="1" t="s">
        <v>6146</v>
      </c>
    </row>
    <row r="123" spans="1:2" x14ac:dyDescent="0.2">
      <c r="A123" s="1" t="s">
        <v>4575</v>
      </c>
      <c r="B123" s="1" t="s">
        <v>6147</v>
      </c>
    </row>
    <row r="124" spans="1:2" x14ac:dyDescent="0.2">
      <c r="A124" s="1" t="s">
        <v>4606</v>
      </c>
      <c r="B124" s="1" t="s">
        <v>6148</v>
      </c>
    </row>
    <row r="125" spans="1:2" x14ac:dyDescent="0.2">
      <c r="A125" s="1" t="s">
        <v>4621</v>
      </c>
      <c r="B125" s="1" t="s">
        <v>6149</v>
      </c>
    </row>
    <row r="126" spans="1:2" x14ac:dyDescent="0.2">
      <c r="A126" s="1" t="s">
        <v>4643</v>
      </c>
      <c r="B126" s="1" t="s">
        <v>6150</v>
      </c>
    </row>
    <row r="127" spans="1:2" x14ac:dyDescent="0.2">
      <c r="A127" s="1" t="s">
        <v>3766</v>
      </c>
      <c r="B127" s="1" t="s">
        <v>6151</v>
      </c>
    </row>
    <row r="128" spans="1:2" x14ac:dyDescent="0.2">
      <c r="A128" s="1" t="s">
        <v>5017</v>
      </c>
      <c r="B128" s="1" t="s">
        <v>6152</v>
      </c>
    </row>
    <row r="129" spans="1:2" x14ac:dyDescent="0.2">
      <c r="A129" s="1" t="s">
        <v>5080</v>
      </c>
      <c r="B129" s="1" t="s">
        <v>6153</v>
      </c>
    </row>
    <row r="130" spans="1:2" x14ac:dyDescent="0.2">
      <c r="A130" s="1" t="s">
        <v>5150</v>
      </c>
      <c r="B130" s="1" t="s">
        <v>6154</v>
      </c>
    </row>
    <row r="131" spans="1:2" x14ac:dyDescent="0.2">
      <c r="A131" s="1" t="s">
        <v>4660</v>
      </c>
      <c r="B131" s="1" t="s">
        <v>6155</v>
      </c>
    </row>
    <row r="132" spans="1:2" x14ac:dyDescent="0.2">
      <c r="A132" s="1" t="s">
        <v>4708</v>
      </c>
      <c r="B132" s="1" t="s">
        <v>6156</v>
      </c>
    </row>
    <row r="133" spans="1:2" x14ac:dyDescent="0.2">
      <c r="A133" s="1" t="s">
        <v>4723</v>
      </c>
      <c r="B133" s="1" t="s">
        <v>6157</v>
      </c>
    </row>
    <row r="134" spans="1:2" x14ac:dyDescent="0.2">
      <c r="A134" s="1" t="s">
        <v>4747</v>
      </c>
      <c r="B134" s="1" t="s">
        <v>6158</v>
      </c>
    </row>
    <row r="135" spans="1:2" x14ac:dyDescent="0.2">
      <c r="A135" s="1" t="s">
        <v>4755</v>
      </c>
      <c r="B135" s="1" t="s">
        <v>6159</v>
      </c>
    </row>
    <row r="136" spans="1:2" x14ac:dyDescent="0.2">
      <c r="A136" s="1" t="s">
        <v>4776</v>
      </c>
      <c r="B136" s="1" t="s">
        <v>6160</v>
      </c>
    </row>
    <row r="137" spans="1:2" x14ac:dyDescent="0.2">
      <c r="A137" s="1" t="s">
        <v>4789</v>
      </c>
      <c r="B137" s="1" t="s">
        <v>6161</v>
      </c>
    </row>
    <row r="138" spans="1:2" x14ac:dyDescent="0.2">
      <c r="A138" s="1" t="s">
        <v>4794</v>
      </c>
      <c r="B138" s="1" t="s">
        <v>6162</v>
      </c>
    </row>
    <row r="139" spans="1:2" x14ac:dyDescent="0.2">
      <c r="A139" s="1" t="s">
        <v>4807</v>
      </c>
      <c r="B139" s="1" t="s">
        <v>6163</v>
      </c>
    </row>
    <row r="140" spans="1:2" x14ac:dyDescent="0.2">
      <c r="A140" s="1" t="s">
        <v>4836</v>
      </c>
      <c r="B140" s="1" t="s">
        <v>6164</v>
      </c>
    </row>
    <row r="141" spans="1:2" x14ac:dyDescent="0.2">
      <c r="A141" s="1" t="s">
        <v>4840</v>
      </c>
      <c r="B141" s="1" t="s">
        <v>6165</v>
      </c>
    </row>
    <row r="142" spans="1:2" x14ac:dyDescent="0.2">
      <c r="A142" s="1" t="s">
        <v>4856</v>
      </c>
      <c r="B142" s="1" t="s">
        <v>6166</v>
      </c>
    </row>
    <row r="143" spans="1:2" x14ac:dyDescent="0.2">
      <c r="A143" s="1" t="s">
        <v>4868</v>
      </c>
      <c r="B143" s="1" t="s">
        <v>6167</v>
      </c>
    </row>
    <row r="144" spans="1:2" x14ac:dyDescent="0.2">
      <c r="A144" s="1" t="s">
        <v>4884</v>
      </c>
      <c r="B144" s="1" t="s">
        <v>6168</v>
      </c>
    </row>
    <row r="145" spans="1:2" x14ac:dyDescent="0.2">
      <c r="A145" s="1" t="s">
        <v>4945</v>
      </c>
      <c r="B145" s="1" t="s">
        <v>6169</v>
      </c>
    </row>
    <row r="146" spans="1:2" x14ac:dyDescent="0.2">
      <c r="A146" s="1" t="s">
        <v>4954</v>
      </c>
      <c r="B146" s="1" t="s">
        <v>6170</v>
      </c>
    </row>
    <row r="147" spans="1:2" x14ac:dyDescent="0.2">
      <c r="A147" s="1" t="s">
        <v>4986</v>
      </c>
      <c r="B147" s="1" t="s">
        <v>6171</v>
      </c>
    </row>
    <row r="148" spans="1:2" x14ac:dyDescent="0.2">
      <c r="A148" s="1" t="s">
        <v>4997</v>
      </c>
      <c r="B148" s="1" t="s">
        <v>6172</v>
      </c>
    </row>
    <row r="149" spans="1:2" x14ac:dyDescent="0.2">
      <c r="A149" s="1" t="s">
        <v>5006</v>
      </c>
      <c r="B149" s="1" t="s">
        <v>6173</v>
      </c>
    </row>
    <row r="150" spans="1:2" x14ac:dyDescent="0.2">
      <c r="A150" s="1" t="s">
        <v>5092</v>
      </c>
      <c r="B150" s="1" t="s">
        <v>6174</v>
      </c>
    </row>
    <row r="151" spans="1:2" x14ac:dyDescent="0.2">
      <c r="A151" s="1" t="s">
        <v>6280</v>
      </c>
      <c r="B151" s="1" t="s">
        <v>6478</v>
      </c>
    </row>
    <row r="152" spans="1:2" x14ac:dyDescent="0.2">
      <c r="A152" s="1" t="s">
        <v>6181</v>
      </c>
      <c r="B152" s="1" t="s">
        <v>6479</v>
      </c>
    </row>
    <row r="153" spans="1:2" x14ac:dyDescent="0.2">
      <c r="A153" s="1" t="s">
        <v>6380</v>
      </c>
      <c r="B153" s="1" t="s">
        <v>6480</v>
      </c>
    </row>
    <row r="154" spans="1:2" x14ac:dyDescent="0.2">
      <c r="A154" s="1" t="s">
        <v>6386</v>
      </c>
      <c r="B154" s="1" t="s">
        <v>6481</v>
      </c>
    </row>
    <row r="155" spans="1:2" x14ac:dyDescent="0.2">
      <c r="A155" s="1" t="s">
        <v>6395</v>
      </c>
      <c r="B155" s="1" t="s">
        <v>6482</v>
      </c>
    </row>
    <row r="156" spans="1:2" x14ac:dyDescent="0.2">
      <c r="A156" s="1" t="s">
        <v>6406</v>
      </c>
      <c r="B156" s="1" t="s">
        <v>6483</v>
      </c>
    </row>
    <row r="157" spans="1:2" x14ac:dyDescent="0.2">
      <c r="A157" s="1" t="s">
        <v>6421</v>
      </c>
      <c r="B157" s="1" t="s">
        <v>6484</v>
      </c>
    </row>
    <row r="158" spans="1:2" x14ac:dyDescent="0.2">
      <c r="A158" s="1" t="s">
        <v>6429</v>
      </c>
      <c r="B158" s="1" t="s">
        <v>6485</v>
      </c>
    </row>
    <row r="159" spans="1:2" x14ac:dyDescent="0.2">
      <c r="A159" s="1" t="s">
        <v>6467</v>
      </c>
      <c r="B159" s="1" t="s">
        <v>6486</v>
      </c>
    </row>
    <row r="160" spans="1:2" x14ac:dyDescent="0.2">
      <c r="A160" s="1" t="s">
        <v>6473</v>
      </c>
      <c r="B160" s="1" t="s">
        <v>6487</v>
      </c>
    </row>
    <row r="161" spans="1:2" x14ac:dyDescent="0.2">
      <c r="A161" s="1" t="s">
        <v>6438</v>
      </c>
      <c r="B161" s="1" t="s">
        <v>6488</v>
      </c>
    </row>
    <row r="162" spans="1:2" x14ac:dyDescent="0.2">
      <c r="A162" s="1" t="s">
        <v>6459</v>
      </c>
      <c r="B162" s="1" t="s">
        <v>6489</v>
      </c>
    </row>
    <row r="163" spans="1:2" ht="15" x14ac:dyDescent="0.2">
      <c r="A163" s="30" t="s">
        <v>6603</v>
      </c>
      <c r="B163" s="1" t="s">
        <v>6604</v>
      </c>
    </row>
    <row r="164" spans="1:2" ht="15" x14ac:dyDescent="0.2">
      <c r="A164" s="30" t="s">
        <v>6605</v>
      </c>
      <c r="B164" s="1" t="s">
        <v>6606</v>
      </c>
    </row>
    <row r="165" spans="1:2" x14ac:dyDescent="0.2">
      <c r="A165" s="1" t="s">
        <v>7276</v>
      </c>
      <c r="B165" s="1" t="s">
        <v>7383</v>
      </c>
    </row>
    <row r="166" spans="1:2" x14ac:dyDescent="0.2">
      <c r="A166" s="1" t="s">
        <v>7278</v>
      </c>
      <c r="B166" s="1" t="s">
        <v>7384</v>
      </c>
    </row>
    <row r="167" spans="1:2" x14ac:dyDescent="0.2">
      <c r="A167" s="1" t="s">
        <v>7282</v>
      </c>
      <c r="B167" s="1" t="s">
        <v>7385</v>
      </c>
    </row>
    <row r="168" spans="1:2" x14ac:dyDescent="0.2">
      <c r="A168" s="1" t="s">
        <v>7284</v>
      </c>
      <c r="B168" s="1" t="s">
        <v>7386</v>
      </c>
    </row>
    <row r="169" spans="1:2" x14ac:dyDescent="0.2">
      <c r="A169" s="1" t="s">
        <v>7287</v>
      </c>
      <c r="B169" s="1" t="s">
        <v>7387</v>
      </c>
    </row>
    <row r="170" spans="1:2" x14ac:dyDescent="0.2">
      <c r="A170" s="1" t="s">
        <v>7291</v>
      </c>
      <c r="B170" s="1" t="s">
        <v>7388</v>
      </c>
    </row>
    <row r="171" spans="1:2" x14ac:dyDescent="0.2">
      <c r="A171" s="1" t="s">
        <v>7293</v>
      </c>
      <c r="B171" s="1" t="s">
        <v>7389</v>
      </c>
    </row>
    <row r="172" spans="1:2" x14ac:dyDescent="0.2">
      <c r="A172" s="1" t="s">
        <v>7296</v>
      </c>
      <c r="B172" s="1" t="s">
        <v>7390</v>
      </c>
    </row>
    <row r="173" spans="1:2" x14ac:dyDescent="0.2">
      <c r="A173" s="1" t="s">
        <v>7300</v>
      </c>
      <c r="B173" s="1" t="s">
        <v>7391</v>
      </c>
    </row>
    <row r="174" spans="1:2" x14ac:dyDescent="0.2">
      <c r="A174" s="1" t="s">
        <v>7308</v>
      </c>
      <c r="B174" s="1" t="s">
        <v>7392</v>
      </c>
    </row>
    <row r="175" spans="1:2" x14ac:dyDescent="0.2">
      <c r="A175" s="1" t="s">
        <v>7314</v>
      </c>
      <c r="B175" s="1" t="s">
        <v>7393</v>
      </c>
    </row>
    <row r="176" spans="1:2" x14ac:dyDescent="0.2">
      <c r="A176" s="1" t="s">
        <v>7317</v>
      </c>
      <c r="B176" s="1" t="s">
        <v>7394</v>
      </c>
    </row>
    <row r="177" spans="1:2" x14ac:dyDescent="0.2">
      <c r="A177" s="1" t="s">
        <v>7319</v>
      </c>
      <c r="B177" s="1" t="s">
        <v>7395</v>
      </c>
    </row>
    <row r="178" spans="1:2" x14ac:dyDescent="0.2">
      <c r="A178" s="1" t="s">
        <v>7321</v>
      </c>
      <c r="B178" s="21" t="s">
        <v>7396</v>
      </c>
    </row>
    <row r="179" spans="1:2" x14ac:dyDescent="0.2">
      <c r="A179" s="1" t="s">
        <v>7323</v>
      </c>
      <c r="B179" s="1" t="s">
        <v>7397</v>
      </c>
    </row>
    <row r="180" spans="1:2" x14ac:dyDescent="0.2">
      <c r="A180" s="1" t="s">
        <v>7613</v>
      </c>
      <c r="B180" s="1" t="s">
        <v>7656</v>
      </c>
    </row>
    <row r="181" spans="1:2" x14ac:dyDescent="0.2">
      <c r="A181" s="1" t="s">
        <v>7325</v>
      </c>
      <c r="B181" s="1" t="s">
        <v>7398</v>
      </c>
    </row>
    <row r="182" spans="1:2" x14ac:dyDescent="0.2">
      <c r="A182" s="1" t="s">
        <v>7328</v>
      </c>
      <c r="B182" s="1" t="s">
        <v>7399</v>
      </c>
    </row>
    <row r="183" spans="1:2" x14ac:dyDescent="0.2">
      <c r="A183" s="1" t="s">
        <v>7615</v>
      </c>
      <c r="B183" s="1" t="s">
        <v>7655</v>
      </c>
    </row>
    <row r="184" spans="1:2" x14ac:dyDescent="0.2">
      <c r="A184" s="1" t="s">
        <v>7331</v>
      </c>
      <c r="B184" s="1" t="s">
        <v>7400</v>
      </c>
    </row>
    <row r="185" spans="1:2" x14ac:dyDescent="0.2">
      <c r="A185" s="1" t="s">
        <v>7333</v>
      </c>
      <c r="B185" s="1" t="s">
        <v>7401</v>
      </c>
    </row>
    <row r="186" spans="1:2" x14ac:dyDescent="0.2">
      <c r="A186" s="1" t="s">
        <v>7335</v>
      </c>
      <c r="B186" s="1" t="s">
        <v>7402</v>
      </c>
    </row>
    <row r="187" spans="1:2" x14ac:dyDescent="0.2">
      <c r="A187" s="1" t="s">
        <v>7338</v>
      </c>
      <c r="B187" s="58" t="s">
        <v>7403</v>
      </c>
    </row>
    <row r="188" spans="1:2" x14ac:dyDescent="0.2">
      <c r="A188" s="1" t="s">
        <v>7356</v>
      </c>
      <c r="B188" s="1" t="s">
        <v>7404</v>
      </c>
    </row>
    <row r="189" spans="1:2" ht="15" x14ac:dyDescent="0.2">
      <c r="A189" s="1" t="s">
        <v>7376</v>
      </c>
      <c r="B189" s="59" t="s">
        <v>7406</v>
      </c>
    </row>
    <row r="190" spans="1:2" x14ac:dyDescent="0.2">
      <c r="A190" s="1" t="s">
        <v>7377</v>
      </c>
      <c r="B190" s="31" t="s">
        <v>7405</v>
      </c>
    </row>
    <row r="191" spans="1:2" customFormat="1" ht="15" x14ac:dyDescent="0.2">
      <c r="A191" s="60" t="s">
        <v>9200</v>
      </c>
      <c r="B191" s="59" t="s">
        <v>9655</v>
      </c>
    </row>
    <row r="192" spans="1:2" customFormat="1" ht="15" x14ac:dyDescent="0.2">
      <c r="A192" s="60" t="s">
        <v>9221</v>
      </c>
      <c r="B192" s="59" t="s">
        <v>9656</v>
      </c>
    </row>
    <row r="193" spans="1:2" customFormat="1" ht="15" x14ac:dyDescent="0.2">
      <c r="A193" s="60" t="s">
        <v>9297</v>
      </c>
      <c r="B193" s="61" t="s">
        <v>9657</v>
      </c>
    </row>
    <row r="194" spans="1:2" customFormat="1" ht="13" x14ac:dyDescent="0.15">
      <c r="A194" t="s">
        <v>9312</v>
      </c>
      <c r="B194" t="s">
        <v>9757</v>
      </c>
    </row>
    <row r="195" spans="1:2" customFormat="1" ht="13" x14ac:dyDescent="0.15">
      <c r="A195" t="s">
        <v>9231</v>
      </c>
      <c r="B195" t="s">
        <v>9658</v>
      </c>
    </row>
    <row r="196" spans="1:2" customFormat="1" ht="13" x14ac:dyDescent="0.15">
      <c r="A196" t="s">
        <v>9260</v>
      </c>
      <c r="B196" t="s">
        <v>9758</v>
      </c>
    </row>
    <row r="197" spans="1:2" customFormat="1" ht="15" x14ac:dyDescent="0.2">
      <c r="A197" s="60" t="s">
        <v>9239</v>
      </c>
      <c r="B197" s="59" t="s">
        <v>9659</v>
      </c>
    </row>
    <row r="198" spans="1:2" customFormat="1" ht="15" x14ac:dyDescent="0.2">
      <c r="A198" s="60" t="s">
        <v>9247</v>
      </c>
      <c r="B198" s="59" t="s">
        <v>9660</v>
      </c>
    </row>
    <row r="199" spans="1:2" customFormat="1" ht="15" x14ac:dyDescent="0.2">
      <c r="A199" s="60" t="s">
        <v>9281</v>
      </c>
      <c r="B199" s="61" t="s">
        <v>9759</v>
      </c>
    </row>
    <row r="200" spans="1:2" customFormat="1" ht="13" x14ac:dyDescent="0.15">
      <c r="A200" t="s">
        <v>9294</v>
      </c>
      <c r="B200" t="s">
        <v>9760</v>
      </c>
    </row>
    <row r="201" spans="1:2" customFormat="1" ht="15" x14ac:dyDescent="0.2">
      <c r="A201" s="60" t="s">
        <v>7944</v>
      </c>
      <c r="B201" s="61" t="s">
        <v>9661</v>
      </c>
    </row>
    <row r="202" spans="1:2" customFormat="1" ht="15" x14ac:dyDescent="0.2">
      <c r="A202" s="60" t="s">
        <v>8237</v>
      </c>
      <c r="B202" s="61" t="s">
        <v>9662</v>
      </c>
    </row>
    <row r="203" spans="1:2" customFormat="1" ht="15" x14ac:dyDescent="0.2">
      <c r="A203" s="60" t="s">
        <v>8252</v>
      </c>
      <c r="B203" s="61" t="s">
        <v>9663</v>
      </c>
    </row>
    <row r="204" spans="1:2" customFormat="1" ht="15" x14ac:dyDescent="0.2">
      <c r="A204" s="60" t="s">
        <v>8256</v>
      </c>
      <c r="B204" s="61" t="s">
        <v>9664</v>
      </c>
    </row>
    <row r="205" spans="1:2" customFormat="1" ht="15" x14ac:dyDescent="0.2">
      <c r="A205" s="60" t="s">
        <v>7969</v>
      </c>
      <c r="B205" s="59" t="s">
        <v>9665</v>
      </c>
    </row>
    <row r="206" spans="1:2" customFormat="1" ht="13" x14ac:dyDescent="0.15">
      <c r="A206" s="62" t="s">
        <v>7981</v>
      </c>
      <c r="B206" t="s">
        <v>9666</v>
      </c>
    </row>
    <row r="207" spans="1:2" customFormat="1" ht="13" x14ac:dyDescent="0.15">
      <c r="A207" s="62" t="s">
        <v>7991</v>
      </c>
      <c r="B207" t="s">
        <v>9667</v>
      </c>
    </row>
    <row r="208" spans="1:2" customFormat="1" ht="13" x14ac:dyDescent="0.15">
      <c r="A208" s="62" t="s">
        <v>8003</v>
      </c>
      <c r="B208" t="s">
        <v>9668</v>
      </c>
    </row>
    <row r="209" spans="1:2" customFormat="1" ht="15" x14ac:dyDescent="0.2">
      <c r="A209" s="60" t="s">
        <v>8018</v>
      </c>
      <c r="B209" s="59" t="s">
        <v>9669</v>
      </c>
    </row>
    <row r="210" spans="1:2" customFormat="1" ht="15" x14ac:dyDescent="0.2">
      <c r="A210" s="60" t="s">
        <v>8096</v>
      </c>
      <c r="B210" s="59" t="s">
        <v>9670</v>
      </c>
    </row>
    <row r="211" spans="1:2" customFormat="1" ht="15" x14ac:dyDescent="0.2">
      <c r="A211" s="60" t="s">
        <v>8112</v>
      </c>
      <c r="B211" s="59" t="s">
        <v>9671</v>
      </c>
    </row>
    <row r="212" spans="1:2" customFormat="1" ht="15" x14ac:dyDescent="0.2">
      <c r="A212" s="60" t="s">
        <v>8152</v>
      </c>
      <c r="B212" s="59" t="s">
        <v>9672</v>
      </c>
    </row>
    <row r="213" spans="1:2" customFormat="1" ht="13" x14ac:dyDescent="0.15">
      <c r="A213" s="62" t="s">
        <v>8175</v>
      </c>
      <c r="B213" t="s">
        <v>9673</v>
      </c>
    </row>
    <row r="214" spans="1:2" customFormat="1" ht="13" x14ac:dyDescent="0.15">
      <c r="A214" s="62" t="s">
        <v>8008</v>
      </c>
      <c r="B214" t="s">
        <v>9674</v>
      </c>
    </row>
    <row r="215" spans="1:2" customFormat="1" ht="15" x14ac:dyDescent="0.2">
      <c r="A215" s="60" t="s">
        <v>8013</v>
      </c>
      <c r="B215" s="59" t="s">
        <v>9675</v>
      </c>
    </row>
    <row r="216" spans="1:2" customFormat="1" ht="15" x14ac:dyDescent="0.2">
      <c r="A216" s="60" t="s">
        <v>8190</v>
      </c>
      <c r="B216" s="59" t="s">
        <v>9676</v>
      </c>
    </row>
    <row r="217" spans="1:2" customFormat="1" ht="13" x14ac:dyDescent="0.15">
      <c r="A217" s="62" t="s">
        <v>8028</v>
      </c>
      <c r="B217" t="s">
        <v>9677</v>
      </c>
    </row>
    <row r="218" spans="1:2" customFormat="1" ht="15" x14ac:dyDescent="0.2">
      <c r="A218" s="60" t="s">
        <v>8196</v>
      </c>
      <c r="B218" s="59" t="s">
        <v>9761</v>
      </c>
    </row>
    <row r="219" spans="1:2" customFormat="1" ht="13" x14ac:dyDescent="0.15">
      <c r="A219" s="62" t="s">
        <v>8201</v>
      </c>
      <c r="B219" t="s">
        <v>9678</v>
      </c>
    </row>
    <row r="220" spans="1:2" customFormat="1" ht="13" x14ac:dyDescent="0.15">
      <c r="A220" s="62" t="s">
        <v>8231</v>
      </c>
      <c r="B220" t="s">
        <v>9679</v>
      </c>
    </row>
    <row r="221" spans="1:2" customFormat="1" ht="15" x14ac:dyDescent="0.2">
      <c r="A221" s="60" t="s">
        <v>8034</v>
      </c>
      <c r="B221" s="59" t="s">
        <v>9680</v>
      </c>
    </row>
    <row r="222" spans="1:2" customFormat="1" ht="15" x14ac:dyDescent="0.2">
      <c r="A222" s="60" t="s">
        <v>8066</v>
      </c>
      <c r="B222" s="59" t="s">
        <v>9681</v>
      </c>
    </row>
    <row r="223" spans="1:2" customFormat="1" ht="13" x14ac:dyDescent="0.15">
      <c r="A223" t="s">
        <v>8075</v>
      </c>
      <c r="B223" t="s">
        <v>9682</v>
      </c>
    </row>
    <row r="224" spans="1:2" customFormat="1" ht="15" x14ac:dyDescent="0.2">
      <c r="A224" s="60" t="s">
        <v>8950</v>
      </c>
      <c r="B224" s="59" t="s">
        <v>9683</v>
      </c>
    </row>
    <row r="225" spans="1:2" customFormat="1" ht="15" x14ac:dyDescent="0.2">
      <c r="A225" s="60" t="s">
        <v>9074</v>
      </c>
      <c r="B225" s="59" t="s">
        <v>9684</v>
      </c>
    </row>
    <row r="226" spans="1:2" customFormat="1" ht="15" x14ac:dyDescent="0.2">
      <c r="A226" s="59" t="s">
        <v>9083</v>
      </c>
      <c r="B226" t="s">
        <v>9685</v>
      </c>
    </row>
    <row r="227" spans="1:2" customFormat="1" ht="15" x14ac:dyDescent="0.2">
      <c r="A227" s="60" t="s">
        <v>9102</v>
      </c>
      <c r="B227" s="59" t="s">
        <v>9686</v>
      </c>
    </row>
    <row r="228" spans="1:2" customFormat="1" ht="15" x14ac:dyDescent="0.2">
      <c r="A228" s="60" t="s">
        <v>9112</v>
      </c>
      <c r="B228" s="59" t="s">
        <v>9687</v>
      </c>
    </row>
    <row r="229" spans="1:2" customFormat="1" ht="15" x14ac:dyDescent="0.2">
      <c r="A229" s="59" t="s">
        <v>9135</v>
      </c>
      <c r="B229" t="s">
        <v>9688</v>
      </c>
    </row>
    <row r="230" spans="1:2" customFormat="1" ht="15" x14ac:dyDescent="0.2">
      <c r="A230" s="59" t="s">
        <v>9139</v>
      </c>
      <c r="B230" t="s">
        <v>9689</v>
      </c>
    </row>
    <row r="231" spans="1:2" customFormat="1" ht="15" x14ac:dyDescent="0.2">
      <c r="A231" s="60" t="s">
        <v>9143</v>
      </c>
      <c r="B231" s="59" t="s">
        <v>9690</v>
      </c>
    </row>
    <row r="232" spans="1:2" customFormat="1" ht="15" x14ac:dyDescent="0.2">
      <c r="A232" s="60" t="s">
        <v>9153</v>
      </c>
      <c r="B232" s="59" t="s">
        <v>9691</v>
      </c>
    </row>
    <row r="233" spans="1:2" customFormat="1" ht="15" x14ac:dyDescent="0.2">
      <c r="A233" s="60" t="s">
        <v>9166</v>
      </c>
      <c r="B233" s="59" t="s">
        <v>9692</v>
      </c>
    </row>
    <row r="234" spans="1:2" customFormat="1" ht="15" x14ac:dyDescent="0.2">
      <c r="A234" s="59" t="s">
        <v>9184</v>
      </c>
      <c r="B234" t="s">
        <v>9693</v>
      </c>
    </row>
    <row r="235" spans="1:2" customFormat="1" ht="15" x14ac:dyDescent="0.2">
      <c r="A235" s="59" t="s">
        <v>9191</v>
      </c>
      <c r="B235" t="s">
        <v>9694</v>
      </c>
    </row>
    <row r="236" spans="1:2" customFormat="1" ht="15" x14ac:dyDescent="0.2">
      <c r="A236" s="60" t="s">
        <v>8901</v>
      </c>
      <c r="B236" s="59" t="s">
        <v>9695</v>
      </c>
    </row>
    <row r="237" spans="1:2" customFormat="1" ht="15" x14ac:dyDescent="0.2">
      <c r="A237" s="60" t="s">
        <v>8268</v>
      </c>
      <c r="B237" s="59" t="s">
        <v>9696</v>
      </c>
    </row>
    <row r="238" spans="1:2" customFormat="1" ht="15" x14ac:dyDescent="0.2">
      <c r="A238" s="60" t="s">
        <v>8274</v>
      </c>
      <c r="B238" s="59" t="s">
        <v>9697</v>
      </c>
    </row>
    <row r="239" spans="1:2" customFormat="1" ht="13" x14ac:dyDescent="0.15">
      <c r="A239" t="s">
        <v>8280</v>
      </c>
      <c r="B239" t="s">
        <v>9698</v>
      </c>
    </row>
    <row r="240" spans="1:2" customFormat="1" ht="15" x14ac:dyDescent="0.2">
      <c r="A240" s="60" t="s">
        <v>8285</v>
      </c>
      <c r="B240" s="59" t="s">
        <v>9699</v>
      </c>
    </row>
    <row r="241" spans="1:2" customFormat="1" ht="13" x14ac:dyDescent="0.15">
      <c r="A241" t="s">
        <v>8294</v>
      </c>
      <c r="B241" t="s">
        <v>9700</v>
      </c>
    </row>
    <row r="242" spans="1:2" customFormat="1" ht="15" x14ac:dyDescent="0.2">
      <c r="A242" s="60" t="s">
        <v>8322</v>
      </c>
      <c r="B242" s="59" t="s">
        <v>9701</v>
      </c>
    </row>
    <row r="243" spans="1:2" customFormat="1" ht="13" x14ac:dyDescent="0.15">
      <c r="A243" t="s">
        <v>8335</v>
      </c>
      <c r="B243" t="s">
        <v>9702</v>
      </c>
    </row>
    <row r="244" spans="1:2" customFormat="1" ht="15" x14ac:dyDescent="0.2">
      <c r="A244" s="60" t="s">
        <v>8350</v>
      </c>
      <c r="B244" s="59" t="s">
        <v>9703</v>
      </c>
    </row>
    <row r="245" spans="1:2" customFormat="1" ht="13" x14ac:dyDescent="0.15">
      <c r="A245" t="s">
        <v>8379</v>
      </c>
      <c r="B245" t="s">
        <v>9704</v>
      </c>
    </row>
    <row r="246" spans="1:2" customFormat="1" ht="15" x14ac:dyDescent="0.2">
      <c r="A246" s="60" t="s">
        <v>8382</v>
      </c>
      <c r="B246" s="59" t="s">
        <v>9705</v>
      </c>
    </row>
    <row r="247" spans="1:2" customFormat="1" ht="13" x14ac:dyDescent="0.15">
      <c r="A247" t="s">
        <v>8392</v>
      </c>
      <c r="B247" t="s">
        <v>9706</v>
      </c>
    </row>
    <row r="248" spans="1:2" customFormat="1" ht="15" x14ac:dyDescent="0.2">
      <c r="A248" s="60" t="s">
        <v>9325</v>
      </c>
      <c r="B248" s="59" t="s">
        <v>9707</v>
      </c>
    </row>
    <row r="249" spans="1:2" customFormat="1" ht="15" x14ac:dyDescent="0.2">
      <c r="A249" s="60" t="s">
        <v>8397</v>
      </c>
      <c r="B249" s="59" t="s">
        <v>9708</v>
      </c>
    </row>
    <row r="250" spans="1:2" customFormat="1" ht="15" x14ac:dyDescent="0.2">
      <c r="A250" s="60" t="s">
        <v>8404</v>
      </c>
      <c r="B250" s="59" t="s">
        <v>9709</v>
      </c>
    </row>
    <row r="251" spans="1:2" customFormat="1" ht="13" x14ac:dyDescent="0.15">
      <c r="A251" t="s">
        <v>8457</v>
      </c>
      <c r="B251" t="s">
        <v>9710</v>
      </c>
    </row>
    <row r="252" spans="1:2" customFormat="1" ht="15" x14ac:dyDescent="0.2">
      <c r="A252" s="60" t="s">
        <v>8478</v>
      </c>
      <c r="B252" s="59" t="s">
        <v>9711</v>
      </c>
    </row>
    <row r="253" spans="1:2" customFormat="1" ht="15" x14ac:dyDescent="0.2">
      <c r="A253" s="60" t="s">
        <v>8493</v>
      </c>
      <c r="B253" s="59" t="s">
        <v>9712</v>
      </c>
    </row>
    <row r="254" spans="1:2" customFormat="1" ht="15" x14ac:dyDescent="0.2">
      <c r="A254" s="60" t="s">
        <v>8568</v>
      </c>
      <c r="B254" s="59" t="s">
        <v>9713</v>
      </c>
    </row>
    <row r="255" spans="1:2" customFormat="1" ht="15" x14ac:dyDescent="0.2">
      <c r="A255" s="60" t="s">
        <v>8587</v>
      </c>
      <c r="B255" s="59" t="s">
        <v>9714</v>
      </c>
    </row>
    <row r="256" spans="1:2" customFormat="1" ht="13" x14ac:dyDescent="0.15">
      <c r="A256" t="s">
        <v>8599</v>
      </c>
      <c r="B256" t="s">
        <v>9715</v>
      </c>
    </row>
    <row r="257" spans="1:2" customFormat="1" ht="15" x14ac:dyDescent="0.2">
      <c r="A257" s="60" t="s">
        <v>8614</v>
      </c>
      <c r="B257" s="59" t="s">
        <v>9716</v>
      </c>
    </row>
    <row r="258" spans="1:2" customFormat="1" ht="13" x14ac:dyDescent="0.15">
      <c r="A258" t="s">
        <v>8623</v>
      </c>
      <c r="B258" t="s">
        <v>9717</v>
      </c>
    </row>
    <row r="259" spans="1:2" customFormat="1" ht="15" x14ac:dyDescent="0.2">
      <c r="A259" s="60" t="s">
        <v>8636</v>
      </c>
      <c r="B259" s="59" t="s">
        <v>9718</v>
      </c>
    </row>
    <row r="260" spans="1:2" customFormat="1" ht="13" x14ac:dyDescent="0.15">
      <c r="A260" t="s">
        <v>8644</v>
      </c>
      <c r="B260" t="s">
        <v>9719</v>
      </c>
    </row>
    <row r="261" spans="1:2" customFormat="1" ht="15" x14ac:dyDescent="0.2">
      <c r="A261" s="60" t="s">
        <v>8666</v>
      </c>
      <c r="B261" s="59" t="s">
        <v>9720</v>
      </c>
    </row>
    <row r="262" spans="1:2" customFormat="1" ht="13" x14ac:dyDescent="0.15">
      <c r="A262" t="s">
        <v>8681</v>
      </c>
      <c r="B262" t="s">
        <v>9721</v>
      </c>
    </row>
    <row r="263" spans="1:2" customFormat="1" ht="15" x14ac:dyDescent="0.2">
      <c r="A263" s="60" t="s">
        <v>8701</v>
      </c>
      <c r="B263" s="59" t="s">
        <v>9722</v>
      </c>
    </row>
    <row r="264" spans="1:2" customFormat="1" ht="13" x14ac:dyDescent="0.15">
      <c r="A264" t="s">
        <v>8775</v>
      </c>
      <c r="B264" t="s">
        <v>9723</v>
      </c>
    </row>
    <row r="265" spans="1:2" customFormat="1" ht="15" x14ac:dyDescent="0.2">
      <c r="A265" s="60" t="s">
        <v>8787</v>
      </c>
      <c r="B265" s="59" t="s">
        <v>9724</v>
      </c>
    </row>
    <row r="266" spans="1:2" customFormat="1" ht="15" x14ac:dyDescent="0.2">
      <c r="A266" s="60" t="s">
        <v>8796</v>
      </c>
      <c r="B266" s="59" t="s">
        <v>9725</v>
      </c>
    </row>
    <row r="267" spans="1:2" customFormat="1" ht="15" x14ac:dyDescent="0.2">
      <c r="A267" s="60" t="s">
        <v>8802</v>
      </c>
      <c r="B267" s="59" t="s">
        <v>9726</v>
      </c>
    </row>
    <row r="268" spans="1:2" customFormat="1" ht="15" x14ac:dyDescent="0.2">
      <c r="A268" t="s">
        <v>8813</v>
      </c>
      <c r="B268" s="59" t="s">
        <v>9727</v>
      </c>
    </row>
    <row r="269" spans="1:2" customFormat="1" ht="15" x14ac:dyDescent="0.2">
      <c r="A269" s="60" t="s">
        <v>8845</v>
      </c>
      <c r="B269" s="59" t="s">
        <v>9728</v>
      </c>
    </row>
    <row r="270" spans="1:2" customFormat="1" ht="15" x14ac:dyDescent="0.2">
      <c r="A270" s="60" t="s">
        <v>9729</v>
      </c>
      <c r="B270" s="59" t="s">
        <v>9730</v>
      </c>
    </row>
    <row r="271" spans="1:2" customFormat="1" ht="15" x14ac:dyDescent="0.2">
      <c r="A271" s="60" t="s">
        <v>9731</v>
      </c>
      <c r="B271" s="59" t="s">
        <v>9732</v>
      </c>
    </row>
    <row r="272" spans="1:2" customFormat="1" ht="15" x14ac:dyDescent="0.2">
      <c r="A272" s="60" t="s">
        <v>8891</v>
      </c>
      <c r="B272" s="59" t="s">
        <v>9733</v>
      </c>
    </row>
    <row r="273" spans="1:2" customFormat="1" ht="13" x14ac:dyDescent="0.15">
      <c r="A273" t="s">
        <v>9385</v>
      </c>
      <c r="B273" t="s">
        <v>9734</v>
      </c>
    </row>
    <row r="274" spans="1:2" customFormat="1" ht="13" x14ac:dyDescent="0.15">
      <c r="A274" t="s">
        <v>9546</v>
      </c>
      <c r="B274" t="s">
        <v>9735</v>
      </c>
    </row>
    <row r="275" spans="1:2" customFormat="1" ht="13" x14ac:dyDescent="0.15">
      <c r="A275" t="s">
        <v>9551</v>
      </c>
      <c r="B275" t="s">
        <v>9736</v>
      </c>
    </row>
    <row r="276" spans="1:2" customFormat="1" ht="13" x14ac:dyDescent="0.15">
      <c r="A276" t="s">
        <v>9555</v>
      </c>
      <c r="B276" t="s">
        <v>9737</v>
      </c>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sheetData>
  <conditionalFormatting sqref="A191:A359">
    <cfRule type="duplicateValues" dxfId="2" priority="1"/>
  </conditionalFormatting>
  <conditionalFormatting sqref="A243:A272">
    <cfRule type="duplicateValues" dxfId="1" priority="2"/>
  </conditionalFormatting>
  <conditionalFormatting sqref="A273:A276 A191:A242">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6"/>
  <sheetViews>
    <sheetView workbookViewId="0"/>
  </sheetViews>
  <sheetFormatPr baseColWidth="10" defaultColWidth="11.5" defaultRowHeight="14" x14ac:dyDescent="0.2"/>
  <cols>
    <col min="1" max="1" width="10.5" style="1" customWidth="1"/>
    <col min="2" max="16384" width="11.5" style="1"/>
  </cols>
  <sheetData>
    <row r="1" spans="1:2" x14ac:dyDescent="0.2">
      <c r="A1" s="2" t="s">
        <v>0</v>
      </c>
    </row>
    <row r="3" spans="1:2" x14ac:dyDescent="0.2">
      <c r="A3" s="2" t="s">
        <v>1</v>
      </c>
    </row>
    <row r="5" spans="1:2" x14ac:dyDescent="0.2">
      <c r="A5" s="1" t="s">
        <v>2</v>
      </c>
      <c r="B5" s="1" t="s">
        <v>3</v>
      </c>
    </row>
    <row r="6" spans="1:2" x14ac:dyDescent="0.2">
      <c r="A6" s="1" t="s">
        <v>4</v>
      </c>
      <c r="B6" s="1" t="s">
        <v>5</v>
      </c>
    </row>
    <row r="8" spans="1:2" x14ac:dyDescent="0.2">
      <c r="A8" s="2" t="s">
        <v>6</v>
      </c>
    </row>
    <row r="9" spans="1:2" x14ac:dyDescent="0.2">
      <c r="A9" s="1" t="s">
        <v>7</v>
      </c>
      <c r="B9" s="1" t="s">
        <v>8</v>
      </c>
    </row>
    <row r="10" spans="1:2" x14ac:dyDescent="0.2">
      <c r="A10" s="1" t="s">
        <v>9</v>
      </c>
      <c r="B10" s="1" t="s">
        <v>10</v>
      </c>
    </row>
    <row r="11" spans="1:2" x14ac:dyDescent="0.2">
      <c r="A11" s="1" t="s">
        <v>11</v>
      </c>
      <c r="B11" s="1" t="s">
        <v>12</v>
      </c>
    </row>
    <row r="14" spans="1:2" x14ac:dyDescent="0.2">
      <c r="A14" s="1" t="s">
        <v>13</v>
      </c>
      <c r="B14" s="1" t="s">
        <v>14</v>
      </c>
    </row>
    <row r="15" spans="1:2" x14ac:dyDescent="0.2">
      <c r="A15" s="1" t="s">
        <v>15</v>
      </c>
      <c r="B15" s="1" t="s">
        <v>16</v>
      </c>
    </row>
    <row r="16" spans="1:2" x14ac:dyDescent="0.2">
      <c r="A16" s="1" t="s">
        <v>17</v>
      </c>
      <c r="B16" s="1" t="s">
        <v>18</v>
      </c>
    </row>
    <row r="21" spans="1:2" x14ac:dyDescent="0.2">
      <c r="A21" s="2" t="s">
        <v>19</v>
      </c>
      <c r="B21" s="1" t="s">
        <v>20</v>
      </c>
    </row>
    <row r="22" spans="1:2" x14ac:dyDescent="0.2">
      <c r="A22" s="1" t="s">
        <v>21</v>
      </c>
      <c r="B22" s="1" t="s">
        <v>22</v>
      </c>
    </row>
    <row r="23" spans="1:2" x14ac:dyDescent="0.2">
      <c r="A23" s="1" t="s">
        <v>23</v>
      </c>
      <c r="B23" s="1" t="s">
        <v>24</v>
      </c>
    </row>
    <row r="24" spans="1:2" x14ac:dyDescent="0.2">
      <c r="A24" s="1" t="s">
        <v>25</v>
      </c>
      <c r="B24" s="1" t="s">
        <v>26</v>
      </c>
    </row>
    <row r="25" spans="1:2" x14ac:dyDescent="0.2">
      <c r="A25" s="1" t="s">
        <v>27</v>
      </c>
      <c r="B25" s="1" t="s">
        <v>28</v>
      </c>
    </row>
    <row r="26" spans="1:2" x14ac:dyDescent="0.2">
      <c r="A26" s="1" t="s">
        <v>29</v>
      </c>
      <c r="B26" s="1" t="s">
        <v>30</v>
      </c>
    </row>
    <row r="27" spans="1:2" x14ac:dyDescent="0.2">
      <c r="A27" s="1" t="s">
        <v>31</v>
      </c>
      <c r="B27" s="1" t="s">
        <v>32</v>
      </c>
    </row>
    <row r="28" spans="1:2" x14ac:dyDescent="0.2">
      <c r="A28" s="1" t="s">
        <v>6182</v>
      </c>
      <c r="B28" s="1" t="s">
        <v>6477</v>
      </c>
    </row>
    <row r="29" spans="1:2" x14ac:dyDescent="0.2">
      <c r="A29" s="1" t="s">
        <v>6577</v>
      </c>
      <c r="B29" s="1" t="s">
        <v>6602</v>
      </c>
    </row>
    <row r="30" spans="1:2" x14ac:dyDescent="0.2">
      <c r="A30" s="1" t="s">
        <v>7288</v>
      </c>
      <c r="B30" s="1" t="s">
        <v>7380</v>
      </c>
    </row>
    <row r="31" spans="1:2" x14ac:dyDescent="0.2">
      <c r="A31" s="1" t="s">
        <v>7378</v>
      </c>
      <c r="B31" s="1" t="s">
        <v>7381</v>
      </c>
    </row>
    <row r="32" spans="1:2" x14ac:dyDescent="0.2">
      <c r="A32" s="1" t="s">
        <v>7379</v>
      </c>
      <c r="B32" s="1" t="s">
        <v>7382</v>
      </c>
    </row>
    <row r="33" spans="1:2" x14ac:dyDescent="0.2">
      <c r="A33" s="1" t="s">
        <v>7657</v>
      </c>
      <c r="B33" s="1" t="s">
        <v>7658</v>
      </c>
    </row>
    <row r="34" spans="1:2" x14ac:dyDescent="0.2">
      <c r="A34" s="1" t="s">
        <v>7659</v>
      </c>
      <c r="B34" s="1" t="s">
        <v>7662</v>
      </c>
    </row>
    <row r="35" spans="1:2" x14ac:dyDescent="0.2">
      <c r="A35" s="1" t="s">
        <v>7661</v>
      </c>
      <c r="B35" s="1" t="s">
        <v>7663</v>
      </c>
    </row>
    <row r="36" spans="1:2" ht="15" x14ac:dyDescent="0.2">
      <c r="A36" s="1" t="s">
        <v>7660</v>
      </c>
      <c r="B36" s="23" t="s">
        <v>7664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8"/>
  <sheetViews>
    <sheetView workbookViewId="0"/>
  </sheetViews>
  <sheetFormatPr baseColWidth="10" defaultColWidth="11.5" defaultRowHeight="14" x14ac:dyDescent="0.2"/>
  <cols>
    <col min="1" max="16384" width="11.5" style="1"/>
  </cols>
  <sheetData>
    <row r="1" spans="1:3" x14ac:dyDescent="0.2">
      <c r="A1" s="2" t="s">
        <v>33</v>
      </c>
    </row>
    <row r="3" spans="1:3" x14ac:dyDescent="0.2">
      <c r="A3" s="2" t="s">
        <v>34</v>
      </c>
      <c r="B3" s="2" t="s">
        <v>35</v>
      </c>
    </row>
    <row r="4" spans="1:3" x14ac:dyDescent="0.2">
      <c r="A4" s="1" t="s">
        <v>36</v>
      </c>
      <c r="B4" s="3" t="s">
        <v>37</v>
      </c>
    </row>
    <row r="5" spans="1:3" x14ac:dyDescent="0.2">
      <c r="A5" s="1" t="s">
        <v>38</v>
      </c>
      <c r="B5" s="3" t="s">
        <v>39</v>
      </c>
    </row>
    <row r="6" spans="1:3" x14ac:dyDescent="0.2">
      <c r="A6" s="1" t="s">
        <v>40</v>
      </c>
      <c r="B6" s="3" t="s">
        <v>41</v>
      </c>
    </row>
    <row r="7" spans="1:3" x14ac:dyDescent="0.2">
      <c r="A7" s="1" t="s">
        <v>42</v>
      </c>
      <c r="B7" s="3" t="s">
        <v>43</v>
      </c>
    </row>
    <row r="8" spans="1:3" x14ac:dyDescent="0.2">
      <c r="A8" s="1" t="s">
        <v>44</v>
      </c>
      <c r="B8" s="3" t="s">
        <v>45</v>
      </c>
    </row>
    <row r="9" spans="1:3" x14ac:dyDescent="0.2">
      <c r="A9" s="1" t="s">
        <v>46</v>
      </c>
      <c r="B9" s="3" t="s">
        <v>47</v>
      </c>
    </row>
    <row r="10" spans="1:3" x14ac:dyDescent="0.2">
      <c r="A10" s="1" t="s">
        <v>48</v>
      </c>
      <c r="B10" s="3" t="s">
        <v>49</v>
      </c>
    </row>
    <row r="11" spans="1:3" x14ac:dyDescent="0.2">
      <c r="A11" s="1" t="s">
        <v>50</v>
      </c>
      <c r="B11" s="3" t="s">
        <v>51</v>
      </c>
    </row>
    <row r="12" spans="1:3" x14ac:dyDescent="0.2">
      <c r="A12" s="1" t="s">
        <v>52</v>
      </c>
      <c r="B12" s="3" t="s">
        <v>53</v>
      </c>
    </row>
    <row r="13" spans="1:3" x14ac:dyDescent="0.2">
      <c r="B13" s="1" t="s">
        <v>54</v>
      </c>
      <c r="C13" s="1" t="s">
        <v>55</v>
      </c>
    </row>
    <row r="14" spans="1:3" x14ac:dyDescent="0.2">
      <c r="C14" s="1" t="s">
        <v>56</v>
      </c>
    </row>
    <row r="15" spans="1:3" x14ac:dyDescent="0.2">
      <c r="C15" s="1" t="s">
        <v>57</v>
      </c>
    </row>
    <row r="16" spans="1:3" x14ac:dyDescent="0.2">
      <c r="A16" s="1" t="s">
        <v>58</v>
      </c>
      <c r="B16" s="3" t="s">
        <v>59</v>
      </c>
    </row>
    <row r="17" spans="1:2" x14ac:dyDescent="0.2">
      <c r="A17" s="1" t="s">
        <v>60</v>
      </c>
      <c r="B17" s="3" t="s">
        <v>61</v>
      </c>
    </row>
    <row r="18" spans="1:2" x14ac:dyDescent="0.2">
      <c r="A18" s="1" t="s">
        <v>62</v>
      </c>
      <c r="B18" s="3" t="s">
        <v>63</v>
      </c>
    </row>
  </sheetData>
  <pageMargins left="0.7" right="0.7" top="0.75" bottom="0.75" header="0.3" footer="0.3"/>
  <ignoredErrors>
    <ignoredError sqref="A4:A1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K114"/>
  <sheetViews>
    <sheetView workbookViewId="0">
      <pane ySplit="1" topLeftCell="A2" activePane="bottomLeft" state="frozen"/>
      <selection pane="bottomLeft"/>
    </sheetView>
  </sheetViews>
  <sheetFormatPr baseColWidth="10" defaultColWidth="11.5" defaultRowHeight="14" x14ac:dyDescent="0.2"/>
  <cols>
    <col min="1" max="3" width="11.5" style="1" customWidth="1"/>
    <col min="4" max="4" width="57.33203125" style="1" customWidth="1"/>
    <col min="5" max="5" width="11.33203125" style="1" customWidth="1"/>
    <col min="6" max="7" width="11.5" style="1"/>
    <col min="8" max="8" width="27.1640625" style="1" customWidth="1"/>
    <col min="9" max="9" width="11.5" style="1"/>
    <col min="10" max="10" width="25.1640625" style="1" customWidth="1"/>
    <col min="11" max="14" width="11.5" style="17"/>
    <col min="15" max="16384" width="11.5" style="1"/>
  </cols>
  <sheetData>
    <row r="1" spans="1:245" s="4" customFormat="1" ht="58.5" customHeight="1" x14ac:dyDescent="0.15">
      <c r="A1" s="4" t="s">
        <v>64</v>
      </c>
      <c r="B1" s="4" t="s">
        <v>65</v>
      </c>
      <c r="C1" s="4" t="s">
        <v>66</v>
      </c>
      <c r="D1" s="4" t="s">
        <v>67</v>
      </c>
      <c r="E1" s="4" t="s">
        <v>6</v>
      </c>
      <c r="F1" s="4" t="s">
        <v>239</v>
      </c>
      <c r="G1" s="4" t="s">
        <v>68</v>
      </c>
      <c r="H1" s="4" t="s">
        <v>69</v>
      </c>
      <c r="I1" s="4" t="s">
        <v>13</v>
      </c>
      <c r="J1" s="4" t="s">
        <v>70</v>
      </c>
      <c r="K1" s="35" t="s">
        <v>71</v>
      </c>
      <c r="L1" s="4" t="s">
        <v>6192</v>
      </c>
      <c r="M1" s="4" t="s">
        <v>19</v>
      </c>
      <c r="N1" s="4" t="s">
        <v>72</v>
      </c>
      <c r="O1" s="4" t="s">
        <v>7132</v>
      </c>
      <c r="P1" s="4" t="s">
        <v>1068</v>
      </c>
      <c r="Q1" s="4" t="s">
        <v>243</v>
      </c>
      <c r="R1" s="4" t="s">
        <v>244</v>
      </c>
      <c r="S1" s="4" t="s">
        <v>6774</v>
      </c>
      <c r="T1" s="4" t="s">
        <v>1069</v>
      </c>
      <c r="U1" s="4" t="s">
        <v>73</v>
      </c>
      <c r="V1" s="4" t="s">
        <v>245</v>
      </c>
      <c r="W1" s="4" t="s">
        <v>74</v>
      </c>
      <c r="X1" s="4" t="s">
        <v>1070</v>
      </c>
      <c r="Y1" s="4" t="s">
        <v>1071</v>
      </c>
      <c r="Z1" s="4" t="s">
        <v>7415</v>
      </c>
      <c r="AA1" s="4" t="s">
        <v>7416</v>
      </c>
      <c r="AB1" s="4" t="s">
        <v>6193</v>
      </c>
      <c r="AC1" s="4" t="s">
        <v>6985</v>
      </c>
      <c r="AD1" s="4" t="s">
        <v>246</v>
      </c>
      <c r="AE1" s="4" t="s">
        <v>1072</v>
      </c>
      <c r="AF1" s="4" t="s">
        <v>76</v>
      </c>
      <c r="AG1" s="4" t="s">
        <v>77</v>
      </c>
      <c r="AH1" s="4" t="s">
        <v>1073</v>
      </c>
      <c r="AI1" s="4" t="s">
        <v>1074</v>
      </c>
      <c r="AJ1" s="4" t="s">
        <v>1075</v>
      </c>
      <c r="AK1" s="4" t="s">
        <v>78</v>
      </c>
      <c r="AL1" s="4" t="s">
        <v>1076</v>
      </c>
      <c r="AM1" s="4" t="s">
        <v>79</v>
      </c>
      <c r="AN1" s="4" t="s">
        <v>6194</v>
      </c>
      <c r="AO1" s="4" t="s">
        <v>6195</v>
      </c>
      <c r="AP1" s="4" t="s">
        <v>6989</v>
      </c>
      <c r="AQ1" s="4" t="s">
        <v>247</v>
      </c>
      <c r="AR1" s="4" t="s">
        <v>81</v>
      </c>
      <c r="AS1" s="4" t="s">
        <v>248</v>
      </c>
      <c r="AT1" s="4" t="s">
        <v>7030</v>
      </c>
      <c r="AU1" s="4" t="s">
        <v>6198</v>
      </c>
      <c r="AV1" s="4" t="s">
        <v>6199</v>
      </c>
      <c r="AW1" s="4" t="s">
        <v>7031</v>
      </c>
      <c r="AX1" s="4" t="s">
        <v>6196</v>
      </c>
      <c r="AY1" s="4" t="s">
        <v>7029</v>
      </c>
      <c r="AZ1" s="4" t="s">
        <v>6197</v>
      </c>
      <c r="BA1" s="4" t="s">
        <v>6243</v>
      </c>
      <c r="BB1" s="4" t="s">
        <v>6200</v>
      </c>
      <c r="BC1" s="4" t="s">
        <v>7146</v>
      </c>
      <c r="BD1" s="4" t="s">
        <v>6992</v>
      </c>
      <c r="BE1" s="4" t="s">
        <v>82</v>
      </c>
      <c r="BF1" s="4" t="s">
        <v>83</v>
      </c>
      <c r="BG1" s="4" t="s">
        <v>6203</v>
      </c>
      <c r="BH1" s="4" t="s">
        <v>6204</v>
      </c>
      <c r="BI1" s="4" t="s">
        <v>6202</v>
      </c>
      <c r="BJ1" s="4" t="s">
        <v>6201</v>
      </c>
      <c r="BK1" s="4" t="s">
        <v>6245</v>
      </c>
      <c r="BL1" s="4" t="s">
        <v>7151</v>
      </c>
      <c r="BM1" s="4" t="s">
        <v>84</v>
      </c>
      <c r="BN1" s="4" t="s">
        <v>1080</v>
      </c>
      <c r="BO1" s="4" t="s">
        <v>85</v>
      </c>
      <c r="BP1" s="4" t="s">
        <v>250</v>
      </c>
      <c r="BQ1" s="4" t="s">
        <v>86</v>
      </c>
      <c r="BR1" s="4" t="s">
        <v>87</v>
      </c>
      <c r="BS1" s="4" t="s">
        <v>88</v>
      </c>
      <c r="BT1" s="4" t="s">
        <v>251</v>
      </c>
      <c r="BU1" s="4" t="s">
        <v>89</v>
      </c>
      <c r="BV1" s="4" t="s">
        <v>90</v>
      </c>
      <c r="BW1" s="4" t="s">
        <v>91</v>
      </c>
      <c r="BX1" s="4" t="s">
        <v>1089</v>
      </c>
      <c r="BY1" s="4" t="s">
        <v>92</v>
      </c>
      <c r="BZ1" s="4" t="s">
        <v>249</v>
      </c>
      <c r="CA1" s="4" t="s">
        <v>1092</v>
      </c>
      <c r="CB1" s="4" t="s">
        <v>7042</v>
      </c>
      <c r="CC1" s="4" t="s">
        <v>1093</v>
      </c>
      <c r="CD1" s="4" t="s">
        <v>1081</v>
      </c>
      <c r="CE1" s="4" t="s">
        <v>1082</v>
      </c>
      <c r="CF1" s="4" t="s">
        <v>1094</v>
      </c>
      <c r="CG1" s="4" t="s">
        <v>1083</v>
      </c>
      <c r="CH1" s="4" t="s">
        <v>7119</v>
      </c>
      <c r="CI1" s="4" t="s">
        <v>1086</v>
      </c>
      <c r="CJ1" s="4" t="s">
        <v>252</v>
      </c>
      <c r="CK1" s="4" t="s">
        <v>1087</v>
      </c>
      <c r="CL1" s="4" t="s">
        <v>1088</v>
      </c>
      <c r="CM1" s="4" t="s">
        <v>7153</v>
      </c>
      <c r="CN1" s="4" t="s">
        <v>1091</v>
      </c>
      <c r="CO1" s="4" t="s">
        <v>253</v>
      </c>
      <c r="CP1" s="4" t="s">
        <v>254</v>
      </c>
      <c r="CQ1" s="4" t="s">
        <v>1098</v>
      </c>
      <c r="CR1" s="4" t="s">
        <v>255</v>
      </c>
      <c r="CS1" s="4" t="s">
        <v>1101</v>
      </c>
      <c r="CT1" s="4" t="s">
        <v>256</v>
      </c>
      <c r="CU1" s="4" t="s">
        <v>6211</v>
      </c>
      <c r="CV1" s="4" t="s">
        <v>7158</v>
      </c>
      <c r="CW1" s="4" t="s">
        <v>7000</v>
      </c>
      <c r="CX1" s="4" t="s">
        <v>6214</v>
      </c>
      <c r="CY1" s="27" t="s">
        <v>7003</v>
      </c>
      <c r="CZ1" s="27" t="s">
        <v>7159</v>
      </c>
      <c r="DA1" s="27" t="s">
        <v>7160</v>
      </c>
      <c r="DB1" s="4" t="s">
        <v>258</v>
      </c>
      <c r="DC1" s="4" t="s">
        <v>7049</v>
      </c>
      <c r="DD1" s="27" t="s">
        <v>6216</v>
      </c>
      <c r="DE1" s="4" t="s">
        <v>7171</v>
      </c>
      <c r="DF1" s="4" t="s">
        <v>7172</v>
      </c>
      <c r="DG1" s="4" t="s">
        <v>6583</v>
      </c>
      <c r="DH1" s="4" t="s">
        <v>1102</v>
      </c>
      <c r="DI1" s="4" t="s">
        <v>6586</v>
      </c>
      <c r="DJ1" s="4" t="s">
        <v>6818</v>
      </c>
      <c r="DK1" s="26" t="s">
        <v>7177</v>
      </c>
      <c r="DL1" s="4" t="s">
        <v>6217</v>
      </c>
      <c r="DM1" s="4" t="s">
        <v>1104</v>
      </c>
      <c r="DN1" s="4" t="s">
        <v>1105</v>
      </c>
      <c r="DO1" s="4" t="s">
        <v>7178</v>
      </c>
      <c r="DP1" s="4" t="s">
        <v>7056</v>
      </c>
      <c r="DQ1" s="4" t="s">
        <v>7057</v>
      </c>
      <c r="DR1" s="27" t="s">
        <v>7179</v>
      </c>
      <c r="DS1" s="4" t="s">
        <v>6218</v>
      </c>
      <c r="DT1" s="4" t="s">
        <v>93</v>
      </c>
      <c r="DU1" s="4" t="s">
        <v>94</v>
      </c>
      <c r="DV1" s="4" t="s">
        <v>6832</v>
      </c>
      <c r="DW1" s="4" t="s">
        <v>1106</v>
      </c>
      <c r="DX1" s="4" t="s">
        <v>6247</v>
      </c>
      <c r="DY1" s="4" t="s">
        <v>95</v>
      </c>
      <c r="DZ1" s="4" t="s">
        <v>1107</v>
      </c>
      <c r="EA1" s="4" t="s">
        <v>1108</v>
      </c>
      <c r="EB1" s="4" t="s">
        <v>6592</v>
      </c>
      <c r="EC1" s="4" t="s">
        <v>1109</v>
      </c>
      <c r="ED1" s="4" t="s">
        <v>7190</v>
      </c>
      <c r="EE1" s="4" t="s">
        <v>1112</v>
      </c>
      <c r="EF1" s="4" t="s">
        <v>7193</v>
      </c>
      <c r="EG1" s="4" t="s">
        <v>7194</v>
      </c>
      <c r="EH1" s="4" t="s">
        <v>7195</v>
      </c>
      <c r="EI1" s="4" t="s">
        <v>7196</v>
      </c>
      <c r="EJ1" s="4" t="s">
        <v>6835</v>
      </c>
      <c r="EK1" s="4" t="s">
        <v>1113</v>
      </c>
      <c r="EL1" s="4" t="s">
        <v>263</v>
      </c>
      <c r="EM1" s="4" t="s">
        <v>262</v>
      </c>
      <c r="EN1" s="4" t="s">
        <v>96</v>
      </c>
      <c r="EO1" s="4" t="s">
        <v>97</v>
      </c>
      <c r="EP1" s="4" t="s">
        <v>98</v>
      </c>
      <c r="EQ1" s="4" t="s">
        <v>99</v>
      </c>
      <c r="ER1" s="4" t="s">
        <v>100</v>
      </c>
      <c r="ES1" s="4" t="s">
        <v>1114</v>
      </c>
      <c r="ET1" s="4" t="s">
        <v>7202</v>
      </c>
      <c r="EU1" s="4" t="s">
        <v>7206</v>
      </c>
      <c r="EV1" s="4" t="s">
        <v>101</v>
      </c>
      <c r="EW1" s="4" t="s">
        <v>7204</v>
      </c>
      <c r="EX1" s="4" t="s">
        <v>6205</v>
      </c>
      <c r="EY1" s="4" t="s">
        <v>5154</v>
      </c>
      <c r="EZ1" s="4" t="s">
        <v>5155</v>
      </c>
      <c r="FA1" s="4" t="s">
        <v>112</v>
      </c>
      <c r="FB1" s="4" t="s">
        <v>113</v>
      </c>
      <c r="FC1" s="4" t="s">
        <v>114</v>
      </c>
      <c r="FD1" s="4" t="s">
        <v>115</v>
      </c>
      <c r="FE1" s="4" t="s">
        <v>116</v>
      </c>
      <c r="FF1" s="4" t="s">
        <v>117</v>
      </c>
      <c r="FG1" s="4" t="s">
        <v>118</v>
      </c>
      <c r="FH1" s="4" t="s">
        <v>119</v>
      </c>
      <c r="FI1" s="4" t="s">
        <v>120</v>
      </c>
      <c r="FJ1" s="4" t="s">
        <v>121</v>
      </c>
      <c r="FK1" s="4" t="s">
        <v>122</v>
      </c>
      <c r="FL1" s="4" t="s">
        <v>123</v>
      </c>
      <c r="FM1" s="4" t="s">
        <v>124</v>
      </c>
      <c r="FN1" s="4" t="s">
        <v>125</v>
      </c>
      <c r="FO1" s="4" t="s">
        <v>126</v>
      </c>
      <c r="FP1" s="4" t="s">
        <v>127</v>
      </c>
      <c r="FQ1" s="4" t="s">
        <v>128</v>
      </c>
      <c r="FR1" s="4" t="s">
        <v>129</v>
      </c>
      <c r="FS1" s="4" t="s">
        <v>130</v>
      </c>
      <c r="FT1" s="4" t="s">
        <v>131</v>
      </c>
      <c r="FU1" s="4" t="s">
        <v>132</v>
      </c>
      <c r="FV1" s="4" t="s">
        <v>5254</v>
      </c>
      <c r="FW1" s="4" t="s">
        <v>102</v>
      </c>
      <c r="FX1" s="4" t="s">
        <v>103</v>
      </c>
      <c r="FY1" s="4" t="s">
        <v>104</v>
      </c>
      <c r="FZ1" s="4" t="s">
        <v>105</v>
      </c>
      <c r="GA1" s="4" t="s">
        <v>106</v>
      </c>
      <c r="GB1" s="4" t="s">
        <v>107</v>
      </c>
      <c r="GC1" s="4" t="s">
        <v>108</v>
      </c>
      <c r="GD1" s="4" t="s">
        <v>109</v>
      </c>
      <c r="GE1" s="4" t="s">
        <v>110</v>
      </c>
      <c r="GF1" s="4" t="s">
        <v>111</v>
      </c>
      <c r="GG1" s="4" t="s">
        <v>133</v>
      </c>
      <c r="GH1" s="4" t="s">
        <v>134</v>
      </c>
      <c r="GI1" s="4" t="s">
        <v>135</v>
      </c>
      <c r="GJ1" s="4" t="s">
        <v>267</v>
      </c>
      <c r="GK1" s="4" t="s">
        <v>136</v>
      </c>
      <c r="GL1" s="4" t="s">
        <v>1118</v>
      </c>
      <c r="GM1" s="4" t="s">
        <v>137</v>
      </c>
      <c r="GN1" s="4" t="s">
        <v>138</v>
      </c>
      <c r="GO1" s="4" t="s">
        <v>139</v>
      </c>
      <c r="GP1" s="4" t="s">
        <v>140</v>
      </c>
      <c r="GQ1" s="4" t="s">
        <v>141</v>
      </c>
      <c r="GR1" s="4" t="s">
        <v>142</v>
      </c>
      <c r="GS1" s="4" t="s">
        <v>143</v>
      </c>
      <c r="GT1" s="4" t="s">
        <v>144</v>
      </c>
      <c r="GU1" s="4" t="s">
        <v>145</v>
      </c>
      <c r="GV1" s="4" t="s">
        <v>146</v>
      </c>
      <c r="GW1" s="4" t="s">
        <v>147</v>
      </c>
      <c r="GX1" s="4" t="s">
        <v>148</v>
      </c>
      <c r="GY1" s="4" t="s">
        <v>149</v>
      </c>
      <c r="GZ1" s="4" t="s">
        <v>150</v>
      </c>
      <c r="HA1" s="4" t="s">
        <v>7209</v>
      </c>
      <c r="HB1" s="4" t="s">
        <v>1115</v>
      </c>
      <c r="HC1" s="4" t="s">
        <v>151</v>
      </c>
      <c r="HD1" s="4" t="s">
        <v>6870</v>
      </c>
      <c r="HE1" s="4" t="s">
        <v>7212</v>
      </c>
      <c r="HF1" s="4" t="s">
        <v>7665</v>
      </c>
      <c r="HG1" s="4" t="s">
        <v>7666</v>
      </c>
      <c r="HH1" s="4" t="s">
        <v>7667</v>
      </c>
      <c r="HI1" s="4" t="s">
        <v>7668</v>
      </c>
      <c r="HJ1" s="4" t="s">
        <v>7669</v>
      </c>
      <c r="HK1" s="4" t="s">
        <v>7670</v>
      </c>
      <c r="HL1" s="4" t="s">
        <v>7671</v>
      </c>
      <c r="HM1" s="4" t="s">
        <v>7672</v>
      </c>
      <c r="HN1" s="4" t="s">
        <v>7673</v>
      </c>
      <c r="HO1" s="4" t="s">
        <v>7674</v>
      </c>
      <c r="HP1" s="4" t="s">
        <v>7675</v>
      </c>
      <c r="HQ1" s="4" t="s">
        <v>7676</v>
      </c>
      <c r="HR1" s="4" t="s">
        <v>7677</v>
      </c>
      <c r="HS1" s="4" t="s">
        <v>7678</v>
      </c>
      <c r="HT1" s="4" t="s">
        <v>7679</v>
      </c>
      <c r="HU1" s="4" t="s">
        <v>7680</v>
      </c>
      <c r="HV1" s="4" t="s">
        <v>6224</v>
      </c>
      <c r="HW1" s="4" t="s">
        <v>6232</v>
      </c>
      <c r="HX1" s="4" t="s">
        <v>6230</v>
      </c>
      <c r="HY1" s="4" t="s">
        <v>6231</v>
      </c>
      <c r="HZ1" s="4" t="s">
        <v>7079</v>
      </c>
      <c r="IA1" s="4" t="s">
        <v>270</v>
      </c>
      <c r="IB1" s="4" t="s">
        <v>6234</v>
      </c>
      <c r="IC1" s="4" t="s">
        <v>7082</v>
      </c>
      <c r="ID1" s="4" t="s">
        <v>6237</v>
      </c>
      <c r="IE1" s="4" t="s">
        <v>273</v>
      </c>
      <c r="IF1" s="4" t="s">
        <v>6795</v>
      </c>
      <c r="IG1" s="4" t="s">
        <v>7085</v>
      </c>
      <c r="IH1" s="4" t="s">
        <v>272</v>
      </c>
      <c r="II1" s="4" t="s">
        <v>269</v>
      </c>
      <c r="IJ1" s="4" t="s">
        <v>7221</v>
      </c>
    </row>
    <row r="2" spans="1:245" s="5" customFormat="1" ht="58.5" customHeight="1" x14ac:dyDescent="0.15">
      <c r="B2" s="5" t="s">
        <v>152</v>
      </c>
      <c r="E2" s="5" t="s">
        <v>153</v>
      </c>
      <c r="G2" s="5" t="s">
        <v>154</v>
      </c>
      <c r="H2" s="5" t="s">
        <v>155</v>
      </c>
      <c r="I2" s="5" t="s">
        <v>14</v>
      </c>
      <c r="K2" s="36"/>
      <c r="O2" s="5" t="s">
        <v>7133</v>
      </c>
      <c r="P2" s="5" t="s">
        <v>1135</v>
      </c>
      <c r="Q2" s="5" t="s">
        <v>6689</v>
      </c>
      <c r="R2" s="5" t="s">
        <v>7134</v>
      </c>
      <c r="S2" s="5" t="s">
        <v>7135</v>
      </c>
      <c r="T2" s="5" t="s">
        <v>7135</v>
      </c>
      <c r="U2" s="5" t="s">
        <v>156</v>
      </c>
      <c r="V2" s="5" t="s">
        <v>275</v>
      </c>
      <c r="W2" s="5" t="s">
        <v>157</v>
      </c>
      <c r="X2" s="5" t="s">
        <v>1138</v>
      </c>
      <c r="Y2" s="5" t="s">
        <v>7219</v>
      </c>
      <c r="Z2" s="5" t="s">
        <v>7136</v>
      </c>
      <c r="AA2" s="5" t="s">
        <v>7137</v>
      </c>
      <c r="AB2" s="5" t="s">
        <v>158</v>
      </c>
      <c r="AC2" s="5" t="s">
        <v>7216</v>
      </c>
      <c r="AD2" s="5" t="s">
        <v>159</v>
      </c>
      <c r="AE2" s="5" t="s">
        <v>6693</v>
      </c>
      <c r="AF2" s="5" t="s">
        <v>160</v>
      </c>
      <c r="AG2" s="5" t="s">
        <v>161</v>
      </c>
      <c r="AH2" s="5" t="s">
        <v>6779</v>
      </c>
      <c r="AI2" s="5" t="s">
        <v>1143</v>
      </c>
      <c r="AJ2" s="5" t="s">
        <v>6780</v>
      </c>
      <c r="AK2" s="5" t="s">
        <v>162</v>
      </c>
      <c r="AL2" s="5" t="s">
        <v>1146</v>
      </c>
      <c r="AM2" s="5" t="s">
        <v>163</v>
      </c>
      <c r="AN2" s="5" t="s">
        <v>7138</v>
      </c>
      <c r="AO2" s="5" t="s">
        <v>164</v>
      </c>
      <c r="AP2" s="5" t="s">
        <v>7139</v>
      </c>
      <c r="AQ2" s="5" t="s">
        <v>6782</v>
      </c>
      <c r="AR2" s="5" t="s">
        <v>165</v>
      </c>
      <c r="AS2" s="5" t="s">
        <v>280</v>
      </c>
      <c r="AT2" s="5" t="s">
        <v>7140</v>
      </c>
      <c r="AU2" s="5" t="s">
        <v>7141</v>
      </c>
      <c r="AV2" s="5" t="s">
        <v>7142</v>
      </c>
      <c r="AW2" s="5" t="s">
        <v>7035</v>
      </c>
      <c r="AX2" s="5" t="s">
        <v>6698</v>
      </c>
      <c r="AY2" s="5" t="s">
        <v>7143</v>
      </c>
      <c r="AZ2" s="5" t="s">
        <v>7144</v>
      </c>
      <c r="BA2" s="5" t="s">
        <v>7145</v>
      </c>
      <c r="BB2" s="5" t="s">
        <v>6784</v>
      </c>
      <c r="BC2" s="5" t="s">
        <v>7147</v>
      </c>
      <c r="BD2" s="5" t="s">
        <v>7148</v>
      </c>
      <c r="BE2" s="5" t="s">
        <v>166</v>
      </c>
      <c r="BF2" s="5" t="s">
        <v>167</v>
      </c>
      <c r="BG2" s="5" t="s">
        <v>6994</v>
      </c>
      <c r="BH2" s="5" t="s">
        <v>6995</v>
      </c>
      <c r="BI2" s="5" t="s">
        <v>7149</v>
      </c>
      <c r="BJ2" s="5" t="s">
        <v>7150</v>
      </c>
      <c r="BK2" s="5" t="s">
        <v>7220</v>
      </c>
      <c r="BL2" s="5" t="s">
        <v>7152</v>
      </c>
      <c r="BM2" s="5" t="s">
        <v>168</v>
      </c>
      <c r="BN2" s="5" t="s">
        <v>1151</v>
      </c>
      <c r="BO2" s="5" t="s">
        <v>169</v>
      </c>
      <c r="BP2" s="5" t="s">
        <v>6790</v>
      </c>
      <c r="BQ2" s="5" t="s">
        <v>170</v>
      </c>
      <c r="BR2" s="5" t="s">
        <v>171</v>
      </c>
      <c r="BS2" s="5" t="s">
        <v>172</v>
      </c>
      <c r="BT2" s="5" t="s">
        <v>286</v>
      </c>
      <c r="BU2" s="5" t="s">
        <v>173</v>
      </c>
      <c r="BV2" s="5" t="s">
        <v>174</v>
      </c>
      <c r="BW2" s="5" t="s">
        <v>175</v>
      </c>
      <c r="BX2" s="5" t="s">
        <v>1160</v>
      </c>
      <c r="BY2" s="5" t="s">
        <v>176</v>
      </c>
      <c r="BZ2" s="5" t="s">
        <v>283</v>
      </c>
      <c r="CA2" s="5" t="s">
        <v>1163</v>
      </c>
      <c r="CB2" s="5" t="s">
        <v>7154</v>
      </c>
      <c r="CC2" s="5" t="s">
        <v>1164</v>
      </c>
      <c r="CD2" s="5" t="s">
        <v>7155</v>
      </c>
      <c r="CE2" s="5" t="s">
        <v>1153</v>
      </c>
      <c r="CF2" s="5" t="s">
        <v>1165</v>
      </c>
      <c r="CG2" s="5" t="s">
        <v>1154</v>
      </c>
      <c r="CH2" s="5" t="s">
        <v>7156</v>
      </c>
      <c r="CI2" s="5" t="s">
        <v>1157</v>
      </c>
      <c r="CJ2" s="5" t="s">
        <v>6802</v>
      </c>
      <c r="CK2" s="5" t="s">
        <v>1158</v>
      </c>
      <c r="CL2" s="5" t="s">
        <v>1159</v>
      </c>
      <c r="CM2" s="5" t="s">
        <v>7157</v>
      </c>
      <c r="CN2" s="5" t="s">
        <v>1162</v>
      </c>
      <c r="CO2" s="5" t="s">
        <v>6806</v>
      </c>
      <c r="CP2" s="5" t="s">
        <v>289</v>
      </c>
      <c r="CQ2" s="5" t="s">
        <v>1169</v>
      </c>
      <c r="CR2" s="5" t="s">
        <v>290</v>
      </c>
      <c r="CS2" s="5" t="s">
        <v>7161</v>
      </c>
      <c r="CT2" s="5" t="s">
        <v>291</v>
      </c>
      <c r="CU2" s="5" t="s">
        <v>7162</v>
      </c>
      <c r="CV2" s="5" t="s">
        <v>7163</v>
      </c>
      <c r="CW2" s="5" t="s">
        <v>7164</v>
      </c>
      <c r="CX2" s="5" t="s">
        <v>7165</v>
      </c>
      <c r="CY2" s="28" t="s">
        <v>7166</v>
      </c>
      <c r="CZ2" s="28" t="s">
        <v>7167</v>
      </c>
      <c r="DA2" s="28" t="s">
        <v>7168</v>
      </c>
      <c r="DB2" s="5" t="s">
        <v>293</v>
      </c>
      <c r="DC2" s="5" t="s">
        <v>7169</v>
      </c>
      <c r="DD2" s="28" t="s">
        <v>7170</v>
      </c>
      <c r="DE2" s="5" t="s">
        <v>7173</v>
      </c>
      <c r="DF2" s="5" t="s">
        <v>7174</v>
      </c>
      <c r="DG2" s="5" t="s">
        <v>7175</v>
      </c>
      <c r="DH2" s="5" t="s">
        <v>1174</v>
      </c>
      <c r="DI2" s="5" t="s">
        <v>6826</v>
      </c>
      <c r="DJ2" s="5" t="s">
        <v>7176</v>
      </c>
      <c r="DK2" s="5" t="s">
        <v>7180</v>
      </c>
      <c r="DL2" s="5" t="s">
        <v>6828</v>
      </c>
      <c r="DM2" s="5" t="s">
        <v>7181</v>
      </c>
      <c r="DN2" s="5" t="s">
        <v>7182</v>
      </c>
      <c r="DO2" s="5" t="s">
        <v>7183</v>
      </c>
      <c r="DP2" s="5" t="s">
        <v>7184</v>
      </c>
      <c r="DQ2" s="5" t="s">
        <v>7185</v>
      </c>
      <c r="DR2" s="5" t="s">
        <v>7186</v>
      </c>
      <c r="DS2" s="5" t="s">
        <v>7187</v>
      </c>
      <c r="DT2" s="5" t="s">
        <v>177</v>
      </c>
      <c r="DU2" s="5" t="s">
        <v>178</v>
      </c>
      <c r="DV2" s="5" t="s">
        <v>7188</v>
      </c>
      <c r="DW2" s="5" t="s">
        <v>1178</v>
      </c>
      <c r="DX2" s="5" t="s">
        <v>7189</v>
      </c>
      <c r="DY2" s="5" t="s">
        <v>179</v>
      </c>
      <c r="DZ2" s="5" t="s">
        <v>1179</v>
      </c>
      <c r="EA2" s="5" t="s">
        <v>1180</v>
      </c>
      <c r="EB2" s="5" t="s">
        <v>6684</v>
      </c>
      <c r="EC2" s="5" t="s">
        <v>1181</v>
      </c>
      <c r="ED2" s="5" t="s">
        <v>7191</v>
      </c>
      <c r="EE2" s="5" t="s">
        <v>7192</v>
      </c>
      <c r="EF2" s="5" t="s">
        <v>7197</v>
      </c>
      <c r="EG2" s="5" t="s">
        <v>7198</v>
      </c>
      <c r="EH2" s="5" t="s">
        <v>7199</v>
      </c>
      <c r="EI2" s="5" t="s">
        <v>7200</v>
      </c>
      <c r="EJ2" s="5" t="s">
        <v>7201</v>
      </c>
      <c r="EK2" s="5" t="s">
        <v>1185</v>
      </c>
      <c r="EL2" s="5" t="s">
        <v>298</v>
      </c>
      <c r="EM2" s="5" t="s">
        <v>5994</v>
      </c>
      <c r="EN2" s="5" t="s">
        <v>180</v>
      </c>
      <c r="EO2" s="5" t="s">
        <v>181</v>
      </c>
      <c r="EP2" s="5" t="s">
        <v>182</v>
      </c>
      <c r="EQ2" s="5" t="s">
        <v>183</v>
      </c>
      <c r="ER2" s="5" t="s">
        <v>184</v>
      </c>
      <c r="ES2" s="5" t="s">
        <v>1186</v>
      </c>
      <c r="ET2" s="5" t="s">
        <v>7203</v>
      </c>
      <c r="EU2" s="5" t="s">
        <v>7207</v>
      </c>
      <c r="EV2" s="5" t="s">
        <v>185</v>
      </c>
      <c r="EW2" s="5" t="s">
        <v>7205</v>
      </c>
      <c r="EX2" s="5" t="s">
        <v>7217</v>
      </c>
      <c r="EY2" s="5" t="s">
        <v>7070</v>
      </c>
      <c r="EZ2" s="5" t="s">
        <v>7208</v>
      </c>
      <c r="FA2" s="5" t="s">
        <v>196</v>
      </c>
      <c r="FB2" s="5" t="s">
        <v>197</v>
      </c>
      <c r="FC2" s="5" t="s">
        <v>198</v>
      </c>
      <c r="FD2" s="5" t="s">
        <v>199</v>
      </c>
      <c r="FE2" s="5" t="s">
        <v>200</v>
      </c>
      <c r="FF2" s="5" t="s">
        <v>201</v>
      </c>
      <c r="FG2" s="5" t="s">
        <v>202</v>
      </c>
      <c r="FH2" s="5" t="s">
        <v>203</v>
      </c>
      <c r="FI2" s="5" t="s">
        <v>204</v>
      </c>
      <c r="FJ2" s="5" t="s">
        <v>205</v>
      </c>
      <c r="FK2" s="5" t="s">
        <v>206</v>
      </c>
      <c r="FL2" s="5" t="s">
        <v>207</v>
      </c>
      <c r="FM2" s="5" t="s">
        <v>208</v>
      </c>
      <c r="FN2" s="5" t="s">
        <v>209</v>
      </c>
      <c r="FO2" s="5" t="s">
        <v>210</v>
      </c>
      <c r="FP2" s="5" t="s">
        <v>211</v>
      </c>
      <c r="FQ2" s="5" t="s">
        <v>212</v>
      </c>
      <c r="FR2" s="5" t="s">
        <v>213</v>
      </c>
      <c r="FS2" s="5" t="s">
        <v>214</v>
      </c>
      <c r="FT2" s="5" t="s">
        <v>215</v>
      </c>
      <c r="FU2" s="5" t="s">
        <v>216</v>
      </c>
      <c r="FV2" s="5" t="s">
        <v>6957</v>
      </c>
      <c r="FW2" s="5" t="s">
        <v>186</v>
      </c>
      <c r="FX2" s="5" t="s">
        <v>187</v>
      </c>
      <c r="FY2" s="5" t="s">
        <v>188</v>
      </c>
      <c r="FZ2" s="5" t="s">
        <v>189</v>
      </c>
      <c r="GA2" s="5" t="s">
        <v>190</v>
      </c>
      <c r="GB2" s="5" t="s">
        <v>191</v>
      </c>
      <c r="GC2" s="5" t="s">
        <v>192</v>
      </c>
      <c r="GD2" s="5" t="s">
        <v>193</v>
      </c>
      <c r="GE2" s="5" t="s">
        <v>194</v>
      </c>
      <c r="GF2" s="5" t="s">
        <v>195</v>
      </c>
      <c r="GG2" s="5" t="s">
        <v>217</v>
      </c>
      <c r="GH2" s="5" t="s">
        <v>218</v>
      </c>
      <c r="GI2" s="5" t="s">
        <v>219</v>
      </c>
      <c r="GJ2" s="5" t="s">
        <v>6769</v>
      </c>
      <c r="GK2" s="5" t="s">
        <v>220</v>
      </c>
      <c r="GL2" s="5" t="s">
        <v>6976</v>
      </c>
      <c r="GM2" s="5" t="s">
        <v>221</v>
      </c>
      <c r="GN2" s="5" t="s">
        <v>222</v>
      </c>
      <c r="GO2" s="5" t="s">
        <v>223</v>
      </c>
      <c r="GP2" s="5" t="s">
        <v>224</v>
      </c>
      <c r="GQ2" s="5" t="s">
        <v>225</v>
      </c>
      <c r="GR2" s="5" t="s">
        <v>226</v>
      </c>
      <c r="GS2" s="5" t="s">
        <v>227</v>
      </c>
      <c r="GT2" s="5" t="s">
        <v>228</v>
      </c>
      <c r="GU2" s="5" t="s">
        <v>229</v>
      </c>
      <c r="GV2" s="5" t="s">
        <v>230</v>
      </c>
      <c r="GW2" s="5" t="s">
        <v>231</v>
      </c>
      <c r="GX2" s="5" t="s">
        <v>232</v>
      </c>
      <c r="GY2" s="5" t="s">
        <v>233</v>
      </c>
      <c r="GZ2" s="5" t="s">
        <v>234</v>
      </c>
      <c r="HA2" s="5" t="s">
        <v>7210</v>
      </c>
      <c r="HB2" s="5" t="s">
        <v>7211</v>
      </c>
      <c r="HC2" s="5" t="s">
        <v>235</v>
      </c>
      <c r="HD2" s="5" t="s">
        <v>6980</v>
      </c>
      <c r="HE2" s="5" t="s">
        <v>7213</v>
      </c>
      <c r="HF2" s="5" t="s">
        <v>7681</v>
      </c>
      <c r="HG2" s="5" t="s">
        <v>7682</v>
      </c>
      <c r="HH2" s="5" t="s">
        <v>7683</v>
      </c>
      <c r="HI2" s="5" t="s">
        <v>7684</v>
      </c>
      <c r="HJ2" s="5" t="s">
        <v>7685</v>
      </c>
      <c r="HK2" s="5" t="s">
        <v>7686</v>
      </c>
      <c r="HL2" s="5" t="s">
        <v>7687</v>
      </c>
      <c r="HM2" s="5" t="s">
        <v>7688</v>
      </c>
      <c r="HN2" s="5" t="s">
        <v>7689</v>
      </c>
      <c r="HO2" s="5" t="s">
        <v>7690</v>
      </c>
      <c r="HP2" s="5" t="s">
        <v>7691</v>
      </c>
      <c r="HQ2" s="5" t="s">
        <v>7692</v>
      </c>
      <c r="HR2" s="5" t="s">
        <v>7693</v>
      </c>
      <c r="HS2" s="5" t="s">
        <v>7694</v>
      </c>
      <c r="HT2" s="5" t="s">
        <v>7695</v>
      </c>
      <c r="HU2" s="5" t="s">
        <v>7696</v>
      </c>
      <c r="HV2" s="5" t="s">
        <v>7010</v>
      </c>
      <c r="HW2" s="5" t="s">
        <v>7098</v>
      </c>
      <c r="HX2" s="5" t="s">
        <v>7096</v>
      </c>
      <c r="HY2" s="5" t="s">
        <v>7097</v>
      </c>
      <c r="HZ2" s="5" t="s">
        <v>7104</v>
      </c>
      <c r="IA2" s="5" t="s">
        <v>7018</v>
      </c>
      <c r="IB2" s="5" t="s">
        <v>7020</v>
      </c>
      <c r="IC2" s="5" t="s">
        <v>7107</v>
      </c>
      <c r="ID2" s="5" t="s">
        <v>7021</v>
      </c>
      <c r="IE2" s="5" t="s">
        <v>7114</v>
      </c>
      <c r="IF2" s="5" t="s">
        <v>7214</v>
      </c>
      <c r="IG2" s="5" t="s">
        <v>7215</v>
      </c>
      <c r="IH2" s="5" t="s">
        <v>7218</v>
      </c>
      <c r="II2" s="5" t="s">
        <v>302</v>
      </c>
      <c r="IJ2" s="5" t="s">
        <v>7022</v>
      </c>
    </row>
    <row r="3" spans="1:245" s="29" customFormat="1" ht="58.5" hidden="1" customHeight="1" x14ac:dyDescent="0.15">
      <c r="K3" s="37"/>
      <c r="L3" s="37"/>
      <c r="M3" s="37"/>
      <c r="N3" s="37"/>
      <c r="O3" s="29" t="str">
        <f t="shared" ref="O3:AC3" si="0">IF(COUNTA(O4:O65524)=0,"","01")</f>
        <v>01</v>
      </c>
      <c r="P3" s="29" t="str">
        <f t="shared" si="0"/>
        <v>01</v>
      </c>
      <c r="Q3" s="29" t="str">
        <f t="shared" si="0"/>
        <v>01</v>
      </c>
      <c r="R3" s="29" t="str">
        <f t="shared" si="0"/>
        <v>01</v>
      </c>
      <c r="S3" s="29" t="str">
        <f t="shared" si="0"/>
        <v>01</v>
      </c>
      <c r="T3" s="29" t="str">
        <f t="shared" si="0"/>
        <v>01</v>
      </c>
      <c r="U3" s="29" t="str">
        <f t="shared" si="0"/>
        <v>01</v>
      </c>
      <c r="V3" s="29" t="str">
        <f t="shared" si="0"/>
        <v>01</v>
      </c>
      <c r="W3" s="29" t="str">
        <f t="shared" si="0"/>
        <v>01</v>
      </c>
      <c r="X3" s="29" t="str">
        <f t="shared" si="0"/>
        <v>01</v>
      </c>
      <c r="Y3" s="29" t="str">
        <f t="shared" si="0"/>
        <v>01</v>
      </c>
      <c r="Z3" s="29" t="str">
        <f t="shared" si="0"/>
        <v>01</v>
      </c>
      <c r="AA3" s="29" t="str">
        <f t="shared" si="0"/>
        <v>01</v>
      </c>
      <c r="AB3" s="29" t="str">
        <f t="shared" si="0"/>
        <v>01</v>
      </c>
      <c r="AC3" s="29" t="str">
        <f t="shared" si="0"/>
        <v>01</v>
      </c>
      <c r="AD3" s="29" t="str">
        <f>IF(COUNTA(AJ4:AJ65524)=0,"","01")</f>
        <v>01</v>
      </c>
      <c r="AE3" s="29" t="str">
        <f>IF(COUNTA(AE4:AE65524)=0,"","01")</f>
        <v>01</v>
      </c>
      <c r="AF3" s="29" t="str">
        <f>IF(COUNTA(AF4:AF65524)=0,"","01")</f>
        <v>01</v>
      </c>
      <c r="AG3" s="29" t="str">
        <f>IF(COUNTA(AG4:AG65524)=0,"","01")</f>
        <v>01</v>
      </c>
      <c r="AI3" s="29" t="str">
        <f>IF(COUNTA(AI4:AI65524)=0,"","01")</f>
        <v>01</v>
      </c>
      <c r="AJ3" s="29" t="str">
        <f>IF(COUNTA(AD4:AD65524)=0,"","01")</f>
        <v>01</v>
      </c>
      <c r="AK3" s="29" t="str">
        <f t="shared" ref="AK3:BP3" si="1">IF(COUNTA(AK4:AK65524)=0,"","01")</f>
        <v>01</v>
      </c>
      <c r="AL3" s="29" t="str">
        <f t="shared" si="1"/>
        <v>01</v>
      </c>
      <c r="AM3" s="29" t="str">
        <f t="shared" si="1"/>
        <v>01</v>
      </c>
      <c r="AN3" s="29" t="str">
        <f t="shared" si="1"/>
        <v>01</v>
      </c>
      <c r="AO3" s="29" t="str">
        <f t="shared" si="1"/>
        <v>01</v>
      </c>
      <c r="AP3" s="29" t="str">
        <f t="shared" si="1"/>
        <v>01</v>
      </c>
      <c r="AQ3" s="29" t="str">
        <f t="shared" si="1"/>
        <v>01</v>
      </c>
      <c r="AR3" s="29" t="str">
        <f t="shared" si="1"/>
        <v>01</v>
      </c>
      <c r="AS3" s="29" t="str">
        <f t="shared" si="1"/>
        <v>01</v>
      </c>
      <c r="AT3" s="29" t="str">
        <f t="shared" si="1"/>
        <v>01</v>
      </c>
      <c r="AU3" s="29" t="str">
        <f t="shared" si="1"/>
        <v>01</v>
      </c>
      <c r="AV3" s="29" t="str">
        <f t="shared" si="1"/>
        <v>01</v>
      </c>
      <c r="AW3" s="29" t="str">
        <f t="shared" si="1"/>
        <v>01</v>
      </c>
      <c r="AX3" s="29" t="str">
        <f t="shared" si="1"/>
        <v>01</v>
      </c>
      <c r="AY3" s="29" t="str">
        <f t="shared" si="1"/>
        <v>01</v>
      </c>
      <c r="AZ3" s="29" t="str">
        <f t="shared" si="1"/>
        <v>01</v>
      </c>
      <c r="BA3" s="29" t="str">
        <f t="shared" si="1"/>
        <v>01</v>
      </c>
      <c r="BB3" s="29" t="str">
        <f t="shared" si="1"/>
        <v>01</v>
      </c>
      <c r="BC3" s="29" t="str">
        <f t="shared" si="1"/>
        <v>01</v>
      </c>
      <c r="BD3" s="29" t="str">
        <f t="shared" si="1"/>
        <v>01</v>
      </c>
      <c r="BE3" s="29" t="str">
        <f t="shared" si="1"/>
        <v>01</v>
      </c>
      <c r="BF3" s="29" t="str">
        <f t="shared" si="1"/>
        <v>01</v>
      </c>
      <c r="BG3" s="29" t="str">
        <f t="shared" si="1"/>
        <v>01</v>
      </c>
      <c r="BH3" s="29" t="str">
        <f t="shared" si="1"/>
        <v>01</v>
      </c>
      <c r="BI3" s="29" t="str">
        <f t="shared" si="1"/>
        <v>01</v>
      </c>
      <c r="BJ3" s="29" t="str">
        <f t="shared" si="1"/>
        <v>01</v>
      </c>
      <c r="BK3" s="29" t="str">
        <f t="shared" si="1"/>
        <v>01</v>
      </c>
      <c r="BL3" s="29" t="str">
        <f t="shared" si="1"/>
        <v>01</v>
      </c>
      <c r="BM3" s="29" t="str">
        <f t="shared" si="1"/>
        <v>01</v>
      </c>
      <c r="BN3" s="29" t="str">
        <f t="shared" si="1"/>
        <v>01</v>
      </c>
      <c r="BO3" s="29" t="str">
        <f t="shared" si="1"/>
        <v>01</v>
      </c>
      <c r="BP3" s="29" t="str">
        <f t="shared" si="1"/>
        <v>01</v>
      </c>
      <c r="BQ3" s="29" t="str">
        <f t="shared" ref="BQ3:CV3" si="2">IF(COUNTA(BQ4:BQ65524)=0,"","01")</f>
        <v>01</v>
      </c>
      <c r="BR3" s="29" t="str">
        <f t="shared" si="2"/>
        <v>01</v>
      </c>
      <c r="BS3" s="29" t="str">
        <f t="shared" si="2"/>
        <v>01</v>
      </c>
      <c r="BT3" s="29" t="str">
        <f t="shared" si="2"/>
        <v>01</v>
      </c>
      <c r="BU3" s="29" t="str">
        <f t="shared" si="2"/>
        <v>01</v>
      </c>
      <c r="BV3" s="29" t="str">
        <f t="shared" si="2"/>
        <v>01</v>
      </c>
      <c r="BW3" s="29" t="str">
        <f t="shared" si="2"/>
        <v>01</v>
      </c>
      <c r="BX3" s="29" t="str">
        <f t="shared" si="2"/>
        <v>01</v>
      </c>
      <c r="BY3" s="29" t="str">
        <f t="shared" si="2"/>
        <v>01</v>
      </c>
      <c r="BZ3" s="29" t="str">
        <f t="shared" si="2"/>
        <v>01</v>
      </c>
      <c r="CA3" s="29" t="str">
        <f t="shared" si="2"/>
        <v>01</v>
      </c>
      <c r="CB3" s="29" t="str">
        <f t="shared" si="2"/>
        <v>01</v>
      </c>
      <c r="CC3" s="29" t="str">
        <f t="shared" si="2"/>
        <v>01</v>
      </c>
      <c r="CD3" s="29" t="str">
        <f t="shared" si="2"/>
        <v>01</v>
      </c>
      <c r="CE3" s="29" t="str">
        <f t="shared" si="2"/>
        <v>01</v>
      </c>
      <c r="CF3" s="29" t="str">
        <f t="shared" si="2"/>
        <v>01</v>
      </c>
      <c r="CG3" s="29" t="str">
        <f t="shared" si="2"/>
        <v>01</v>
      </c>
      <c r="CH3" s="29" t="str">
        <f t="shared" si="2"/>
        <v>01</v>
      </c>
      <c r="CI3" s="29" t="str">
        <f t="shared" si="2"/>
        <v>01</v>
      </c>
      <c r="CJ3" s="29" t="str">
        <f t="shared" si="2"/>
        <v>01</v>
      </c>
      <c r="CK3" s="29" t="str">
        <f t="shared" si="2"/>
        <v>01</v>
      </c>
      <c r="CL3" s="29" t="str">
        <f t="shared" si="2"/>
        <v>01</v>
      </c>
      <c r="CM3" s="29" t="str">
        <f t="shared" si="2"/>
        <v>01</v>
      </c>
      <c r="CN3" s="29" t="str">
        <f t="shared" si="2"/>
        <v>01</v>
      </c>
      <c r="CO3" s="29" t="str">
        <f t="shared" si="2"/>
        <v>01</v>
      </c>
      <c r="CP3" s="29" t="str">
        <f t="shared" si="2"/>
        <v>01</v>
      </c>
      <c r="CQ3" s="29" t="str">
        <f t="shared" si="2"/>
        <v>01</v>
      </c>
      <c r="CR3" s="29" t="str">
        <f t="shared" si="2"/>
        <v>01</v>
      </c>
      <c r="CS3" s="29" t="str">
        <f t="shared" si="2"/>
        <v>01</v>
      </c>
      <c r="CT3" s="29" t="str">
        <f t="shared" si="2"/>
        <v>01</v>
      </c>
      <c r="CU3" s="29" t="str">
        <f t="shared" si="2"/>
        <v>01</v>
      </c>
      <c r="CV3" s="29" t="str">
        <f t="shared" si="2"/>
        <v>01</v>
      </c>
      <c r="CW3" s="29" t="str">
        <f t="shared" ref="CW3:EB3" si="3">IF(COUNTA(CW4:CW65524)=0,"","01")</f>
        <v>01</v>
      </c>
      <c r="CX3" s="29" t="str">
        <f t="shared" si="3"/>
        <v>01</v>
      </c>
      <c r="CY3" s="29" t="str">
        <f t="shared" si="3"/>
        <v>01</v>
      </c>
      <c r="CZ3" s="29" t="str">
        <f t="shared" si="3"/>
        <v>01</v>
      </c>
      <c r="DA3" s="29" t="str">
        <f t="shared" si="3"/>
        <v>01</v>
      </c>
      <c r="DB3" s="29" t="str">
        <f t="shared" si="3"/>
        <v>01</v>
      </c>
      <c r="DC3" s="29" t="str">
        <f t="shared" si="3"/>
        <v>01</v>
      </c>
      <c r="DD3" s="29" t="str">
        <f t="shared" si="3"/>
        <v>01</v>
      </c>
      <c r="DE3" s="29" t="str">
        <f t="shared" si="3"/>
        <v>01</v>
      </c>
      <c r="DF3" s="29" t="str">
        <f t="shared" si="3"/>
        <v>01</v>
      </c>
      <c r="DG3" s="29" t="str">
        <f t="shared" si="3"/>
        <v>01</v>
      </c>
      <c r="DH3" s="29" t="str">
        <f t="shared" si="3"/>
        <v>01</v>
      </c>
      <c r="DI3" s="29" t="str">
        <f t="shared" si="3"/>
        <v>01</v>
      </c>
      <c r="DJ3" s="29" t="str">
        <f t="shared" si="3"/>
        <v>01</v>
      </c>
      <c r="DK3" s="29" t="str">
        <f t="shared" si="3"/>
        <v>01</v>
      </c>
      <c r="DL3" s="29" t="str">
        <f t="shared" si="3"/>
        <v>01</v>
      </c>
      <c r="DM3" s="29" t="str">
        <f t="shared" si="3"/>
        <v>01</v>
      </c>
      <c r="DN3" s="29" t="str">
        <f t="shared" si="3"/>
        <v>01</v>
      </c>
      <c r="DO3" s="29" t="str">
        <f t="shared" si="3"/>
        <v>01</v>
      </c>
      <c r="DP3" s="29" t="str">
        <f t="shared" si="3"/>
        <v>01</v>
      </c>
      <c r="DQ3" s="29" t="str">
        <f t="shared" si="3"/>
        <v>01</v>
      </c>
      <c r="DR3" s="29" t="str">
        <f t="shared" si="3"/>
        <v>01</v>
      </c>
      <c r="DS3" s="29" t="str">
        <f t="shared" si="3"/>
        <v>01</v>
      </c>
      <c r="DT3" s="29" t="str">
        <f t="shared" si="3"/>
        <v>01</v>
      </c>
      <c r="DU3" s="29" t="str">
        <f t="shared" si="3"/>
        <v>01</v>
      </c>
      <c r="DV3" s="29" t="str">
        <f t="shared" si="3"/>
        <v>01</v>
      </c>
      <c r="DW3" s="29" t="str">
        <f t="shared" si="3"/>
        <v>01</v>
      </c>
      <c r="DX3" s="29" t="str">
        <f t="shared" si="3"/>
        <v>01</v>
      </c>
      <c r="DY3" s="29" t="str">
        <f t="shared" si="3"/>
        <v>01</v>
      </c>
      <c r="DZ3" s="29" t="str">
        <f t="shared" si="3"/>
        <v>01</v>
      </c>
      <c r="EA3" s="29" t="str">
        <f t="shared" si="3"/>
        <v>01</v>
      </c>
      <c r="EB3" s="29" t="str">
        <f t="shared" si="3"/>
        <v>01</v>
      </c>
      <c r="EC3" s="29" t="str">
        <f t="shared" ref="EC3:FI3" si="4">IF(COUNTA(EC4:EC65524)=0,"","01")</f>
        <v>01</v>
      </c>
      <c r="ED3" s="29" t="str">
        <f t="shared" si="4"/>
        <v>01</v>
      </c>
      <c r="EE3" s="29" t="str">
        <f t="shared" si="4"/>
        <v>01</v>
      </c>
      <c r="EF3" s="29" t="str">
        <f t="shared" si="4"/>
        <v>01</v>
      </c>
      <c r="EG3" s="29" t="str">
        <f t="shared" si="4"/>
        <v>01</v>
      </c>
      <c r="EH3" s="29" t="str">
        <f t="shared" si="4"/>
        <v>01</v>
      </c>
      <c r="EI3" s="29" t="str">
        <f t="shared" si="4"/>
        <v>01</v>
      </c>
      <c r="EJ3" s="29" t="str">
        <f t="shared" si="4"/>
        <v>01</v>
      </c>
      <c r="EK3" s="29" t="str">
        <f t="shared" si="4"/>
        <v>01</v>
      </c>
      <c r="EL3" s="29" t="str">
        <f t="shared" si="4"/>
        <v>01</v>
      </c>
      <c r="EN3" s="29" t="str">
        <f t="shared" si="4"/>
        <v>01</v>
      </c>
      <c r="EO3" s="29" t="str">
        <f t="shared" si="4"/>
        <v>01</v>
      </c>
      <c r="EP3" s="29" t="str">
        <f t="shared" si="4"/>
        <v>01</v>
      </c>
      <c r="EQ3" s="29" t="str">
        <f t="shared" si="4"/>
        <v>01</v>
      </c>
      <c r="ER3" s="29" t="str">
        <f t="shared" si="4"/>
        <v>01</v>
      </c>
      <c r="ES3" s="29" t="str">
        <f t="shared" si="4"/>
        <v>01</v>
      </c>
      <c r="ET3" s="29" t="str">
        <f t="shared" si="4"/>
        <v>01</v>
      </c>
      <c r="EU3" s="29" t="str">
        <f t="shared" si="4"/>
        <v>01</v>
      </c>
      <c r="EV3" s="29" t="str">
        <f t="shared" si="4"/>
        <v>01</v>
      </c>
      <c r="EW3" s="29" t="str">
        <f t="shared" si="4"/>
        <v>01</v>
      </c>
      <c r="EX3" s="29" t="str">
        <f t="shared" si="4"/>
        <v>01</v>
      </c>
      <c r="EY3" s="29" t="str">
        <f t="shared" si="4"/>
        <v>01</v>
      </c>
      <c r="EZ3" s="29" t="str">
        <f t="shared" si="4"/>
        <v>01</v>
      </c>
      <c r="FA3" s="29" t="str">
        <f t="shared" si="4"/>
        <v>01</v>
      </c>
      <c r="FB3" s="29" t="str">
        <f t="shared" si="4"/>
        <v>01</v>
      </c>
      <c r="FC3" s="29" t="str">
        <f t="shared" si="4"/>
        <v>01</v>
      </c>
      <c r="FD3" s="29" t="str">
        <f t="shared" si="4"/>
        <v>01</v>
      </c>
      <c r="FE3" s="29" t="str">
        <f t="shared" si="4"/>
        <v>01</v>
      </c>
      <c r="FF3" s="29" t="str">
        <f t="shared" si="4"/>
        <v>01</v>
      </c>
      <c r="FG3" s="29" t="str">
        <f t="shared" si="4"/>
        <v>01</v>
      </c>
      <c r="FH3" s="29" t="str">
        <f t="shared" si="4"/>
        <v>01</v>
      </c>
      <c r="FI3" s="29" t="str">
        <f t="shared" si="4"/>
        <v>01</v>
      </c>
      <c r="FJ3" s="29" t="str">
        <f t="shared" ref="FJ3:GO3" si="5">IF(COUNTA(FJ4:FJ65524)=0,"","01")</f>
        <v>01</v>
      </c>
      <c r="FK3" s="29" t="str">
        <f t="shared" si="5"/>
        <v>01</v>
      </c>
      <c r="FL3" s="29" t="str">
        <f t="shared" si="5"/>
        <v>01</v>
      </c>
      <c r="FM3" s="29" t="str">
        <f t="shared" si="5"/>
        <v>01</v>
      </c>
      <c r="FN3" s="29" t="str">
        <f t="shared" si="5"/>
        <v>01</v>
      </c>
      <c r="FO3" s="29" t="str">
        <f t="shared" si="5"/>
        <v>01</v>
      </c>
      <c r="FP3" s="29" t="str">
        <f t="shared" si="5"/>
        <v>01</v>
      </c>
      <c r="FQ3" s="29" t="str">
        <f t="shared" si="5"/>
        <v>01</v>
      </c>
      <c r="FR3" s="29" t="str">
        <f t="shared" si="5"/>
        <v>01</v>
      </c>
      <c r="FS3" s="29" t="str">
        <f t="shared" si="5"/>
        <v>01</v>
      </c>
      <c r="FT3" s="29" t="str">
        <f t="shared" si="5"/>
        <v>01</v>
      </c>
      <c r="FU3" s="29" t="str">
        <f t="shared" si="5"/>
        <v>01</v>
      </c>
      <c r="FV3" s="29" t="str">
        <f t="shared" si="5"/>
        <v>01</v>
      </c>
      <c r="FW3" s="29" t="str">
        <f t="shared" si="5"/>
        <v>01</v>
      </c>
      <c r="FX3" s="29" t="str">
        <f t="shared" si="5"/>
        <v>01</v>
      </c>
      <c r="FY3" s="29" t="str">
        <f t="shared" si="5"/>
        <v>01</v>
      </c>
      <c r="FZ3" s="29" t="str">
        <f t="shared" si="5"/>
        <v>01</v>
      </c>
      <c r="GA3" s="29" t="str">
        <f t="shared" si="5"/>
        <v>01</v>
      </c>
      <c r="GB3" s="29" t="str">
        <f t="shared" si="5"/>
        <v>01</v>
      </c>
      <c r="GC3" s="29" t="str">
        <f t="shared" si="5"/>
        <v>01</v>
      </c>
      <c r="GD3" s="29" t="str">
        <f t="shared" si="5"/>
        <v>01</v>
      </c>
      <c r="GE3" s="29" t="str">
        <f t="shared" si="5"/>
        <v>01</v>
      </c>
      <c r="GF3" s="29" t="str">
        <f t="shared" si="5"/>
        <v>01</v>
      </c>
      <c r="GG3" s="29" t="str">
        <f t="shared" si="5"/>
        <v>01</v>
      </c>
      <c r="GH3" s="29" t="str">
        <f t="shared" si="5"/>
        <v>01</v>
      </c>
      <c r="GI3" s="29" t="str">
        <f t="shared" si="5"/>
        <v>01</v>
      </c>
      <c r="GJ3" s="29" t="str">
        <f t="shared" si="5"/>
        <v>01</v>
      </c>
      <c r="GK3" s="29" t="str">
        <f t="shared" si="5"/>
        <v>01</v>
      </c>
      <c r="GL3" s="29" t="str">
        <f t="shared" si="5"/>
        <v>01</v>
      </c>
      <c r="GM3" s="29" t="str">
        <f t="shared" si="5"/>
        <v>01</v>
      </c>
      <c r="GN3" s="29" t="str">
        <f t="shared" si="5"/>
        <v>01</v>
      </c>
      <c r="GO3" s="29" t="str">
        <f t="shared" si="5"/>
        <v>01</v>
      </c>
      <c r="GP3" s="29" t="str">
        <f t="shared" ref="GP3:IJ3" si="6">IF(COUNTA(GP4:GP65524)=0,"","01")</f>
        <v>01</v>
      </c>
      <c r="GQ3" s="29" t="str">
        <f t="shared" si="6"/>
        <v>01</v>
      </c>
      <c r="GR3" s="29" t="str">
        <f t="shared" si="6"/>
        <v>01</v>
      </c>
      <c r="GS3" s="29" t="str">
        <f t="shared" si="6"/>
        <v>01</v>
      </c>
      <c r="GT3" s="29" t="str">
        <f t="shared" si="6"/>
        <v>01</v>
      </c>
      <c r="GU3" s="29" t="str">
        <f t="shared" si="6"/>
        <v>01</v>
      </c>
      <c r="GV3" s="29" t="str">
        <f t="shared" si="6"/>
        <v>01</v>
      </c>
      <c r="GW3" s="29" t="str">
        <f t="shared" si="6"/>
        <v>01</v>
      </c>
      <c r="GX3" s="29" t="str">
        <f t="shared" si="6"/>
        <v>01</v>
      </c>
      <c r="GY3" s="29" t="str">
        <f t="shared" si="6"/>
        <v>01</v>
      </c>
      <c r="GZ3" s="29" t="str">
        <f t="shared" si="6"/>
        <v>01</v>
      </c>
      <c r="HA3" s="29" t="str">
        <f t="shared" si="6"/>
        <v>01</v>
      </c>
      <c r="HB3" s="29" t="str">
        <f t="shared" si="6"/>
        <v>01</v>
      </c>
      <c r="HC3" s="29" t="str">
        <f t="shared" si="6"/>
        <v>01</v>
      </c>
      <c r="HD3" s="29" t="str">
        <f t="shared" si="6"/>
        <v>01</v>
      </c>
      <c r="HE3" s="29" t="str">
        <f t="shared" si="6"/>
        <v>01</v>
      </c>
      <c r="HV3" s="29" t="str">
        <f t="shared" si="6"/>
        <v>01</v>
      </c>
      <c r="HW3" s="29" t="str">
        <f t="shared" si="6"/>
        <v>01</v>
      </c>
      <c r="HX3" s="29" t="str">
        <f t="shared" si="6"/>
        <v>01</v>
      </c>
      <c r="HY3" s="29" t="str">
        <f t="shared" si="6"/>
        <v>01</v>
      </c>
      <c r="HZ3" s="29" t="str">
        <f t="shared" si="6"/>
        <v>01</v>
      </c>
      <c r="IA3" s="29" t="str">
        <f t="shared" si="6"/>
        <v>01</v>
      </c>
      <c r="IB3" s="29" t="str">
        <f t="shared" si="6"/>
        <v>01</v>
      </c>
      <c r="IC3" s="29" t="str">
        <f t="shared" si="6"/>
        <v>01</v>
      </c>
      <c r="ID3" s="29" t="str">
        <f t="shared" si="6"/>
        <v>01</v>
      </c>
      <c r="IE3" s="29" t="str">
        <f t="shared" si="6"/>
        <v>01</v>
      </c>
      <c r="IF3" s="29" t="str">
        <f t="shared" si="6"/>
        <v>01</v>
      </c>
      <c r="IG3" s="29" t="str">
        <f t="shared" si="6"/>
        <v>01</v>
      </c>
      <c r="IH3" s="29" t="str">
        <f t="shared" si="6"/>
        <v>01</v>
      </c>
      <c r="II3" s="29" t="str">
        <f t="shared" si="6"/>
        <v>01</v>
      </c>
      <c r="IJ3" s="29" t="str">
        <f t="shared" si="6"/>
        <v>01</v>
      </c>
      <c r="IK3" s="5"/>
    </row>
    <row r="4" spans="1:245" x14ac:dyDescent="0.2">
      <c r="A4" s="15" t="s">
        <v>6516</v>
      </c>
      <c r="B4" s="1" t="s">
        <v>6176</v>
      </c>
      <c r="D4" s="1" t="s">
        <v>6177</v>
      </c>
      <c r="E4" s="1" t="s">
        <v>11</v>
      </c>
      <c r="F4" s="1" t="s">
        <v>6178</v>
      </c>
      <c r="G4" s="1" t="s">
        <v>6179</v>
      </c>
      <c r="J4" s="1" t="s">
        <v>6180</v>
      </c>
      <c r="K4" s="17">
        <v>1989</v>
      </c>
      <c r="L4" s="17" t="s">
        <v>6181</v>
      </c>
      <c r="M4" s="17" t="s">
        <v>6182</v>
      </c>
      <c r="N4" s="17">
        <v>1.1000000000000001</v>
      </c>
      <c r="U4" s="17">
        <v>68</v>
      </c>
      <c r="AB4" s="17"/>
      <c r="AC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t="s">
        <v>6183</v>
      </c>
      <c r="BP4" s="17"/>
      <c r="BQ4" s="17">
        <v>0.1</v>
      </c>
      <c r="BR4" s="17"/>
      <c r="BS4" s="17">
        <v>141</v>
      </c>
      <c r="BT4" s="1">
        <v>0.13</v>
      </c>
      <c r="BU4" s="17">
        <v>49</v>
      </c>
      <c r="BV4" s="17">
        <v>3</v>
      </c>
      <c r="BW4" s="17">
        <v>106</v>
      </c>
      <c r="BX4" s="17"/>
      <c r="BY4" s="17">
        <v>0.8</v>
      </c>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row>
    <row r="5" spans="1:245" x14ac:dyDescent="0.2">
      <c r="A5" s="15" t="s">
        <v>6517</v>
      </c>
      <c r="B5" s="1" t="s">
        <v>6176</v>
      </c>
      <c r="D5" s="1" t="s">
        <v>6184</v>
      </c>
      <c r="E5" s="1" t="s">
        <v>11</v>
      </c>
      <c r="G5" s="1" t="s">
        <v>6179</v>
      </c>
      <c r="J5" s="1" t="s">
        <v>6180</v>
      </c>
      <c r="K5" s="17">
        <v>1989</v>
      </c>
      <c r="L5" s="17" t="s">
        <v>6181</v>
      </c>
      <c r="M5" s="17" t="s">
        <v>6182</v>
      </c>
      <c r="N5" s="17">
        <v>1.1000000000000001</v>
      </c>
      <c r="U5" s="17">
        <v>10</v>
      </c>
      <c r="AB5" s="17"/>
      <c r="AC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v>3</v>
      </c>
      <c r="BP5" s="17"/>
      <c r="BQ5" s="17">
        <v>0.1</v>
      </c>
      <c r="BR5" s="17"/>
      <c r="BS5" s="17">
        <v>99</v>
      </c>
      <c r="BT5" s="1">
        <v>0.14000000000000001</v>
      </c>
      <c r="BU5" s="17">
        <v>21</v>
      </c>
      <c r="BV5" s="17" t="s">
        <v>6183</v>
      </c>
      <c r="BW5" s="17">
        <v>102</v>
      </c>
      <c r="BX5" s="17"/>
      <c r="BY5" s="17">
        <v>0.8</v>
      </c>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row>
    <row r="6" spans="1:245" x14ac:dyDescent="0.2">
      <c r="A6" s="15" t="s">
        <v>6518</v>
      </c>
      <c r="B6" s="1" t="s">
        <v>6176</v>
      </c>
      <c r="D6" s="1" t="s">
        <v>6185</v>
      </c>
      <c r="E6" s="1" t="s">
        <v>11</v>
      </c>
      <c r="G6" s="1" t="s">
        <v>6179</v>
      </c>
      <c r="J6" s="1" t="s">
        <v>6180</v>
      </c>
      <c r="K6" s="17">
        <v>1989</v>
      </c>
      <c r="L6" s="17" t="s">
        <v>6181</v>
      </c>
      <c r="M6" s="17" t="s">
        <v>6182</v>
      </c>
      <c r="N6" s="17">
        <v>1.1000000000000001</v>
      </c>
      <c r="U6" s="17">
        <v>10</v>
      </c>
      <c r="AB6" s="17"/>
      <c r="AC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t="s">
        <v>6183</v>
      </c>
      <c r="BP6" s="17"/>
      <c r="BQ6" s="17">
        <v>0.2</v>
      </c>
      <c r="BR6" s="17"/>
      <c r="BS6" s="17">
        <v>378</v>
      </c>
      <c r="BT6" s="1">
        <v>0.32</v>
      </c>
      <c r="BU6" s="17">
        <v>152</v>
      </c>
      <c r="BV6" s="17" t="s">
        <v>6183</v>
      </c>
      <c r="BW6" s="17">
        <v>402</v>
      </c>
      <c r="BX6" s="17"/>
      <c r="BY6" s="17">
        <v>2.2000000000000002</v>
      </c>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row>
    <row r="7" spans="1:245" x14ac:dyDescent="0.2">
      <c r="A7" s="15" t="s">
        <v>6519</v>
      </c>
      <c r="B7" s="1" t="s">
        <v>6176</v>
      </c>
      <c r="D7" s="1" t="s">
        <v>6186</v>
      </c>
      <c r="E7" s="1" t="s">
        <v>7</v>
      </c>
      <c r="G7" s="1" t="s">
        <v>6179</v>
      </c>
      <c r="J7" s="1" t="s">
        <v>6180</v>
      </c>
      <c r="K7" s="17">
        <v>1989</v>
      </c>
      <c r="L7" s="17" t="s">
        <v>6181</v>
      </c>
      <c r="M7" s="17" t="s">
        <v>6182</v>
      </c>
      <c r="N7" s="17">
        <v>1.1000000000000001</v>
      </c>
      <c r="U7" s="17">
        <v>10</v>
      </c>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v>9</v>
      </c>
      <c r="BP7" s="17"/>
      <c r="BQ7" s="17">
        <v>0.3</v>
      </c>
      <c r="BR7" s="17"/>
      <c r="BS7" s="17">
        <v>531</v>
      </c>
      <c r="BT7" s="1">
        <v>0.61</v>
      </c>
      <c r="BU7" s="17">
        <v>186</v>
      </c>
      <c r="BV7" s="17">
        <v>18</v>
      </c>
      <c r="BW7" s="17">
        <v>508</v>
      </c>
      <c r="BX7" s="17"/>
      <c r="BY7" s="17">
        <v>3.7</v>
      </c>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row>
    <row r="8" spans="1:245" x14ac:dyDescent="0.2">
      <c r="A8" s="15" t="s">
        <v>6520</v>
      </c>
      <c r="B8" s="1" t="s">
        <v>6176</v>
      </c>
      <c r="D8" s="1" t="s">
        <v>6187</v>
      </c>
      <c r="E8" s="1" t="s">
        <v>11</v>
      </c>
      <c r="F8" s="1" t="s">
        <v>6188</v>
      </c>
      <c r="G8" s="1" t="s">
        <v>6179</v>
      </c>
      <c r="J8" s="1" t="s">
        <v>6180</v>
      </c>
      <c r="K8" s="17">
        <v>1989</v>
      </c>
      <c r="L8" s="17" t="s">
        <v>6181</v>
      </c>
      <c r="M8" s="17" t="s">
        <v>6182</v>
      </c>
      <c r="N8" s="17">
        <v>1.1000000000000001</v>
      </c>
      <c r="U8" s="17">
        <v>9</v>
      </c>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v>7</v>
      </c>
      <c r="BP8" s="17"/>
      <c r="BQ8" s="17"/>
      <c r="BR8" s="17"/>
      <c r="BS8" s="17"/>
      <c r="BT8" s="1">
        <v>0.78</v>
      </c>
      <c r="BU8" s="17"/>
      <c r="BV8" s="17"/>
      <c r="BW8" s="17">
        <v>224</v>
      </c>
      <c r="BX8" s="17"/>
      <c r="BY8" s="17">
        <v>1.2</v>
      </c>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row>
    <row r="9" spans="1:245" x14ac:dyDescent="0.2">
      <c r="A9" s="15" t="s">
        <v>6521</v>
      </c>
      <c r="B9" s="1" t="s">
        <v>6176</v>
      </c>
      <c r="D9" s="1" t="s">
        <v>6189</v>
      </c>
      <c r="E9" s="1" t="s">
        <v>7</v>
      </c>
      <c r="F9" s="1" t="s">
        <v>6190</v>
      </c>
      <c r="G9" s="1" t="s">
        <v>6179</v>
      </c>
      <c r="J9" s="1" t="s">
        <v>6180</v>
      </c>
      <c r="K9" s="17">
        <v>1989</v>
      </c>
      <c r="L9" s="17" t="s">
        <v>6181</v>
      </c>
      <c r="M9" s="17" t="s">
        <v>6182</v>
      </c>
      <c r="N9" s="17">
        <v>1.1000000000000001</v>
      </c>
      <c r="U9" s="17">
        <v>13</v>
      </c>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t="s">
        <v>6183</v>
      </c>
      <c r="BP9" s="17"/>
      <c r="BQ9" s="17">
        <v>0.6</v>
      </c>
      <c r="BR9" s="17"/>
      <c r="BS9" s="17">
        <v>183</v>
      </c>
      <c r="BT9" s="1">
        <v>0.72</v>
      </c>
      <c r="BU9" s="17">
        <v>169</v>
      </c>
      <c r="BV9" s="17" t="s">
        <v>6183</v>
      </c>
      <c r="BW9" s="17">
        <v>314</v>
      </c>
      <c r="BX9" s="17"/>
      <c r="BY9" s="17">
        <v>1.6</v>
      </c>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row>
    <row r="10" spans="1:245" x14ac:dyDescent="0.2">
      <c r="A10" s="15" t="s">
        <v>6522</v>
      </c>
      <c r="B10" s="1" t="s">
        <v>6248</v>
      </c>
      <c r="D10" s="1" t="s">
        <v>6249</v>
      </c>
      <c r="E10" s="1" t="s">
        <v>11</v>
      </c>
      <c r="F10" s="1" t="s">
        <v>6178</v>
      </c>
      <c r="G10" s="1" t="s">
        <v>6179</v>
      </c>
      <c r="J10" s="1" t="s">
        <v>6180</v>
      </c>
      <c r="K10" s="17">
        <v>1989</v>
      </c>
      <c r="L10" s="17" t="s">
        <v>6181</v>
      </c>
      <c r="M10" s="17" t="s">
        <v>6182</v>
      </c>
      <c r="N10" s="17">
        <v>1.1000000000000001</v>
      </c>
      <c r="U10" s="17">
        <v>0</v>
      </c>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v>0.27</v>
      </c>
      <c r="BR10" s="17"/>
      <c r="BS10" s="17"/>
      <c r="BT10" s="1">
        <v>0.47</v>
      </c>
      <c r="BU10" s="42"/>
      <c r="BV10" s="17"/>
      <c r="BW10" s="17"/>
      <c r="BX10" s="17"/>
      <c r="BY10" s="17">
        <v>2.62</v>
      </c>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row>
    <row r="11" spans="1:245" s="15" customFormat="1" x14ac:dyDescent="0.2">
      <c r="A11" s="15" t="s">
        <v>7423</v>
      </c>
      <c r="B11" s="15" t="s">
        <v>7623</v>
      </c>
      <c r="D11" s="15" t="s">
        <v>7239</v>
      </c>
      <c r="E11" s="15" t="s">
        <v>7</v>
      </c>
      <c r="F11" s="15" t="s">
        <v>7272</v>
      </c>
      <c r="G11" s="15">
        <v>2003</v>
      </c>
      <c r="I11" s="15">
        <v>5</v>
      </c>
      <c r="K11" s="18">
        <v>2005</v>
      </c>
      <c r="L11" s="18" t="s">
        <v>7278</v>
      </c>
      <c r="M11" s="18" t="s">
        <v>7277</v>
      </c>
      <c r="N11" s="18">
        <v>1.1000000000000001</v>
      </c>
      <c r="U11" s="15">
        <v>12.6</v>
      </c>
      <c r="W11" s="15">
        <v>5.7</v>
      </c>
      <c r="AB11" s="15">
        <v>6.85</v>
      </c>
      <c r="AF11" s="15">
        <v>2.65</v>
      </c>
      <c r="BM11" s="15">
        <v>1.21</v>
      </c>
      <c r="BO11" s="15">
        <v>6.85</v>
      </c>
      <c r="BQ11" s="15">
        <v>0.16</v>
      </c>
      <c r="BR11" s="15">
        <v>0.56999999999999995</v>
      </c>
      <c r="BS11" s="15">
        <v>181.71</v>
      </c>
      <c r="BT11" s="15">
        <v>0.36</v>
      </c>
      <c r="BU11" s="15">
        <v>16.88</v>
      </c>
      <c r="BV11" s="15">
        <v>0.54</v>
      </c>
      <c r="BW11" s="15">
        <v>61.27</v>
      </c>
      <c r="BX11" s="15">
        <v>0.04</v>
      </c>
      <c r="BY11" s="15">
        <v>1.98</v>
      </c>
    </row>
    <row r="12" spans="1:245" s="15" customFormat="1" x14ac:dyDescent="0.2">
      <c r="A12" s="15" t="s">
        <v>7424</v>
      </c>
      <c r="B12" s="15" t="s">
        <v>7623</v>
      </c>
      <c r="D12" s="15" t="s">
        <v>7251</v>
      </c>
      <c r="E12" s="15" t="s">
        <v>11</v>
      </c>
      <c r="F12" s="15" t="s">
        <v>7272</v>
      </c>
      <c r="G12" s="15">
        <v>2003</v>
      </c>
      <c r="H12" s="15" t="s">
        <v>7279</v>
      </c>
      <c r="I12" s="15">
        <v>5</v>
      </c>
      <c r="K12" s="18">
        <v>2005</v>
      </c>
      <c r="L12" s="18" t="s">
        <v>7278</v>
      </c>
      <c r="M12" s="18" t="s">
        <v>7277</v>
      </c>
      <c r="N12" s="18">
        <v>1.1000000000000001</v>
      </c>
      <c r="U12" s="15">
        <v>12.07</v>
      </c>
      <c r="W12" s="15">
        <v>5.7</v>
      </c>
      <c r="AB12" s="15">
        <v>6.76</v>
      </c>
      <c r="AF12" s="15">
        <v>2.69</v>
      </c>
      <c r="BM12" s="15">
        <v>1.18</v>
      </c>
      <c r="BO12" s="15">
        <v>6.23</v>
      </c>
      <c r="BQ12" s="15">
        <v>0.15</v>
      </c>
      <c r="BR12" s="15">
        <v>0.55000000000000004</v>
      </c>
      <c r="BS12" s="15">
        <v>152.88999999999999</v>
      </c>
      <c r="BT12" s="15">
        <v>0.42</v>
      </c>
      <c r="BU12" s="15">
        <v>15.98</v>
      </c>
      <c r="BV12" s="15">
        <v>0.44</v>
      </c>
      <c r="BW12" s="15">
        <v>56.42</v>
      </c>
      <c r="BX12" s="15">
        <v>0.04</v>
      </c>
      <c r="BY12" s="15">
        <v>1.9</v>
      </c>
    </row>
    <row r="13" spans="1:245" s="15" customFormat="1" x14ac:dyDescent="0.2">
      <c r="A13" s="15" t="s">
        <v>7425</v>
      </c>
      <c r="B13" s="15" t="s">
        <v>7623</v>
      </c>
      <c r="D13" s="15" t="s">
        <v>7637</v>
      </c>
      <c r="E13" s="15" t="s">
        <v>11</v>
      </c>
      <c r="F13" s="15" t="s">
        <v>7272</v>
      </c>
      <c r="G13" s="15">
        <v>2003</v>
      </c>
      <c r="H13" s="15" t="s">
        <v>7280</v>
      </c>
      <c r="I13" s="15">
        <v>5</v>
      </c>
      <c r="K13" s="18">
        <v>2005</v>
      </c>
      <c r="L13" s="18" t="s">
        <v>7278</v>
      </c>
      <c r="M13" s="18" t="s">
        <v>7277</v>
      </c>
      <c r="N13" s="18">
        <v>1.1000000000000001</v>
      </c>
      <c r="U13" s="15">
        <v>10.83</v>
      </c>
      <c r="W13" s="15">
        <v>5.7</v>
      </c>
      <c r="AB13" s="15">
        <v>6.36</v>
      </c>
      <c r="AF13" s="15">
        <v>0.38</v>
      </c>
      <c r="BM13" s="15">
        <v>0.55000000000000004</v>
      </c>
      <c r="BO13" s="15">
        <v>4.6100000000000003</v>
      </c>
      <c r="BQ13" s="15">
        <v>0.17</v>
      </c>
      <c r="BR13" s="15">
        <v>0.43</v>
      </c>
      <c r="BS13" s="15">
        <v>143.21</v>
      </c>
      <c r="BT13" s="15">
        <v>0.28000000000000003</v>
      </c>
      <c r="BU13" s="15">
        <v>15.43</v>
      </c>
      <c r="BV13" s="15">
        <v>0.59</v>
      </c>
      <c r="BW13" s="15">
        <v>58.85</v>
      </c>
      <c r="BX13" s="15">
        <v>0.03</v>
      </c>
      <c r="BY13" s="15">
        <v>1.1499999999999999</v>
      </c>
    </row>
    <row r="14" spans="1:245" s="15" customFormat="1" x14ac:dyDescent="0.2">
      <c r="A14" s="15" t="s">
        <v>7426</v>
      </c>
      <c r="B14" s="15" t="s">
        <v>7623</v>
      </c>
      <c r="D14" s="15" t="s">
        <v>7638</v>
      </c>
      <c r="E14" s="15" t="s">
        <v>7</v>
      </c>
      <c r="F14" s="15" t="s">
        <v>7272</v>
      </c>
      <c r="G14" s="15">
        <v>2003</v>
      </c>
      <c r="I14" s="15">
        <v>5</v>
      </c>
      <c r="K14" s="18">
        <v>2005</v>
      </c>
      <c r="L14" s="18" t="s">
        <v>7278</v>
      </c>
      <c r="M14" s="18" t="s">
        <v>7277</v>
      </c>
      <c r="N14" s="18">
        <v>1.1000000000000001</v>
      </c>
      <c r="U14" s="15">
        <v>11.1</v>
      </c>
      <c r="W14" s="15">
        <v>5.7</v>
      </c>
      <c r="AB14" s="15">
        <v>6.66</v>
      </c>
      <c r="AF14" s="15">
        <v>0.5</v>
      </c>
      <c r="BM14" s="15">
        <v>0.47</v>
      </c>
      <c r="BO14" s="15">
        <v>6.7</v>
      </c>
      <c r="BQ14" s="15">
        <v>0.18</v>
      </c>
      <c r="BR14" s="15">
        <v>0.4</v>
      </c>
      <c r="BS14" s="15">
        <v>65.459999999999994</v>
      </c>
      <c r="BT14" s="15">
        <v>0.45</v>
      </c>
      <c r="BU14" s="15">
        <v>15.06</v>
      </c>
      <c r="BV14" s="15">
        <v>0.53</v>
      </c>
      <c r="BW14" s="15">
        <v>41.98</v>
      </c>
      <c r="BX14" s="15">
        <v>0.03</v>
      </c>
      <c r="BY14" s="15">
        <v>2.09</v>
      </c>
    </row>
    <row r="15" spans="1:245" s="15" customFormat="1" x14ac:dyDescent="0.2">
      <c r="A15" s="15" t="s">
        <v>7427</v>
      </c>
      <c r="B15" s="15" t="s">
        <v>238</v>
      </c>
      <c r="D15" s="15" t="s">
        <v>7240</v>
      </c>
      <c r="E15" s="15" t="s">
        <v>7</v>
      </c>
      <c r="J15" s="15" t="s">
        <v>7281</v>
      </c>
      <c r="K15" s="18">
        <v>2012</v>
      </c>
      <c r="L15" s="18" t="s">
        <v>7282</v>
      </c>
      <c r="M15" s="18" t="s">
        <v>6182</v>
      </c>
      <c r="N15" s="18">
        <v>1.1000000000000001</v>
      </c>
      <c r="U15" s="15">
        <f>100-90.52</f>
        <v>9.480000000000004</v>
      </c>
      <c r="V15" s="15">
        <f>(100-U15)</f>
        <v>90.52</v>
      </c>
      <c r="AD15" s="15">
        <f>0.01*(V15*12.44)</f>
        <v>11.260688</v>
      </c>
      <c r="AG15" s="15">
        <f>0.01*(V15*11.58)</f>
        <v>10.482215999999999</v>
      </c>
      <c r="AM15" s="15">
        <f>0.01*(V15*57.73)</f>
        <v>52.257195999999993</v>
      </c>
      <c r="BI15" s="15">
        <f>0.01*(V15*14.4)</f>
        <v>13.034880000000001</v>
      </c>
      <c r="BJ15" s="15">
        <f>0.01*(V15*8.54)</f>
        <v>7.7304079999999988</v>
      </c>
      <c r="BK15" s="15">
        <f>0.01*(V15*3.78)</f>
        <v>3.421656</v>
      </c>
      <c r="BM15" s="15">
        <f>0.01*(V15*3.85)</f>
        <v>3.48502</v>
      </c>
      <c r="EX15" s="15">
        <f>0.01*(V15*5.71)</f>
        <v>5.1686920000000001</v>
      </c>
    </row>
    <row r="16" spans="1:245" s="15" customFormat="1" x14ac:dyDescent="0.2">
      <c r="A16" s="15" t="s">
        <v>7428</v>
      </c>
      <c r="B16" s="15" t="s">
        <v>7222</v>
      </c>
      <c r="D16" s="15" t="s">
        <v>7241</v>
      </c>
      <c r="E16" s="15" t="s">
        <v>7</v>
      </c>
      <c r="J16" s="15" t="s">
        <v>7283</v>
      </c>
      <c r="K16" s="18">
        <v>1992</v>
      </c>
      <c r="L16" s="18" t="s">
        <v>7284</v>
      </c>
      <c r="M16" s="18" t="s">
        <v>7277</v>
      </c>
      <c r="N16" s="18">
        <v>1.1000000000000001</v>
      </c>
      <c r="S16" s="15">
        <v>1583</v>
      </c>
      <c r="U16" s="15">
        <v>11.97</v>
      </c>
      <c r="W16" s="15">
        <v>6.25</v>
      </c>
      <c r="AD16" s="15">
        <v>8.2899999999999991</v>
      </c>
      <c r="AG16" s="15">
        <v>0.71</v>
      </c>
      <c r="AQ16" s="15">
        <v>76.3</v>
      </c>
      <c r="AW16" s="15">
        <v>1.05</v>
      </c>
      <c r="AZ16" s="15">
        <v>74.3</v>
      </c>
      <c r="BF16" s="15">
        <v>0.46</v>
      </c>
      <c r="BM16" s="15">
        <v>0.53</v>
      </c>
      <c r="BO16" s="15">
        <v>5</v>
      </c>
      <c r="BW16" s="15">
        <v>110</v>
      </c>
      <c r="GG16" s="15">
        <v>513.15099999999995</v>
      </c>
      <c r="GH16" s="15">
        <v>707.13699999999994</v>
      </c>
      <c r="GJ16" s="15">
        <v>814.90699999999993</v>
      </c>
      <c r="GK16" s="15">
        <v>532.21799999999996</v>
      </c>
      <c r="GM16" s="15">
        <v>1580.9029999999998</v>
      </c>
      <c r="GN16" s="15">
        <v>400.40699999999993</v>
      </c>
      <c r="GO16" s="15">
        <v>226.31699999999998</v>
      </c>
      <c r="GP16" s="15">
        <v>373.87899999999996</v>
      </c>
      <c r="GQ16" s="15">
        <v>691.38599999999997</v>
      </c>
      <c r="GR16" s="15">
        <v>324.13899999999995</v>
      </c>
      <c r="GS16" s="15">
        <v>244.55499999999998</v>
      </c>
      <c r="GT16" s="15">
        <v>465.89799999999997</v>
      </c>
      <c r="GU16" s="15">
        <v>388.80099999999993</v>
      </c>
      <c r="GV16" s="15">
        <v>438.54099999999994</v>
      </c>
      <c r="GW16" s="15">
        <v>314.19099999999997</v>
      </c>
      <c r="GY16" s="15">
        <v>410.35499999999996</v>
      </c>
      <c r="GZ16" s="15">
        <v>532.21799999999996</v>
      </c>
    </row>
    <row r="17" spans="1:208" s="15" customFormat="1" x14ac:dyDescent="0.2">
      <c r="A17" s="15" t="s">
        <v>7429</v>
      </c>
      <c r="B17" s="15" t="s">
        <v>7222</v>
      </c>
      <c r="D17" s="15" t="s">
        <v>7242</v>
      </c>
      <c r="E17" s="15" t="s">
        <v>7</v>
      </c>
      <c r="J17" s="15" t="s">
        <v>7283</v>
      </c>
      <c r="K17" s="18">
        <v>1992</v>
      </c>
      <c r="L17" s="18" t="s">
        <v>7284</v>
      </c>
      <c r="M17" s="18" t="s">
        <v>7277</v>
      </c>
      <c r="N17" s="18">
        <v>1.1000000000000001</v>
      </c>
      <c r="S17" s="15">
        <v>1586</v>
      </c>
      <c r="U17" s="15">
        <v>11.09</v>
      </c>
      <c r="W17" s="15">
        <v>6.25</v>
      </c>
      <c r="AD17" s="15">
        <v>8.6999999999999993</v>
      </c>
      <c r="AG17" s="15">
        <v>0.37</v>
      </c>
      <c r="AQ17" s="15">
        <v>74.400000000000006</v>
      </c>
      <c r="AW17" s="15">
        <v>1.1599999999999999</v>
      </c>
      <c r="AZ17" s="15">
        <v>73.599999999999994</v>
      </c>
      <c r="BF17" s="15">
        <v>0.48</v>
      </c>
      <c r="BM17" s="15">
        <v>0.49</v>
      </c>
      <c r="BO17" s="15">
        <v>7</v>
      </c>
      <c r="BW17" s="15">
        <v>100</v>
      </c>
      <c r="GG17" s="15">
        <v>574.19999999999993</v>
      </c>
      <c r="GH17" s="15">
        <v>758.64</v>
      </c>
      <c r="GJ17" s="15">
        <v>918.71999999999991</v>
      </c>
      <c r="GK17" s="15">
        <v>574.19999999999993</v>
      </c>
      <c r="GM17" s="15">
        <v>1735.6499999999999</v>
      </c>
      <c r="GN17" s="15">
        <v>439.34999999999997</v>
      </c>
      <c r="GO17" s="15">
        <v>247.95</v>
      </c>
      <c r="GP17" s="15">
        <v>419.34</v>
      </c>
      <c r="GQ17" s="15">
        <v>757.76999999999987</v>
      </c>
      <c r="GR17" s="15">
        <v>307.97999999999996</v>
      </c>
      <c r="GS17" s="15">
        <v>249.68999999999997</v>
      </c>
      <c r="GT17" s="15">
        <v>521.13</v>
      </c>
      <c r="GU17" s="15">
        <v>420.20999999999992</v>
      </c>
      <c r="GV17" s="15">
        <v>464.57999999999993</v>
      </c>
      <c r="GW17" s="15">
        <v>335.82</v>
      </c>
      <c r="GY17" s="15">
        <v>453.27</v>
      </c>
      <c r="GZ17" s="15">
        <v>574.19999999999993</v>
      </c>
    </row>
    <row r="18" spans="1:208" s="15" customFormat="1" x14ac:dyDescent="0.2">
      <c r="A18" s="15" t="s">
        <v>7430</v>
      </c>
      <c r="B18" s="15" t="s">
        <v>7223</v>
      </c>
      <c r="D18" s="15" t="s">
        <v>7639</v>
      </c>
      <c r="E18" s="15" t="s">
        <v>11</v>
      </c>
      <c r="H18" s="15" t="s">
        <v>7285</v>
      </c>
      <c r="J18" s="15" t="s">
        <v>7286</v>
      </c>
      <c r="K18" s="18">
        <v>2002</v>
      </c>
      <c r="L18" s="18" t="s">
        <v>7287</v>
      </c>
      <c r="M18" s="18" t="s">
        <v>7288</v>
      </c>
      <c r="N18" s="18">
        <v>1.1000000000000001</v>
      </c>
      <c r="U18" s="15">
        <v>68.599999999999994</v>
      </c>
      <c r="W18" s="15">
        <v>6.25</v>
      </c>
      <c r="AW18" s="15">
        <v>0.45</v>
      </c>
      <c r="BB18" s="15">
        <f>BG18+BH18</f>
        <v>3.33</v>
      </c>
      <c r="BG18" s="15">
        <v>0.44</v>
      </c>
      <c r="BH18" s="15">
        <v>2.89</v>
      </c>
      <c r="ES18" s="15">
        <v>0.45</v>
      </c>
    </row>
    <row r="19" spans="1:208" s="15" customFormat="1" x14ac:dyDescent="0.2">
      <c r="A19" s="15" t="s">
        <v>7431</v>
      </c>
      <c r="B19" s="15" t="s">
        <v>7223</v>
      </c>
      <c r="D19" s="15" t="s">
        <v>7640</v>
      </c>
      <c r="E19" s="15" t="s">
        <v>11</v>
      </c>
      <c r="H19" s="15" t="s">
        <v>7285</v>
      </c>
      <c r="J19" s="15" t="s">
        <v>7286</v>
      </c>
      <c r="K19" s="18">
        <v>2002</v>
      </c>
      <c r="L19" s="18" t="s">
        <v>7287</v>
      </c>
      <c r="M19" s="18" t="s">
        <v>7288</v>
      </c>
      <c r="N19" s="18">
        <v>1.1000000000000001</v>
      </c>
      <c r="U19" s="15">
        <v>68.099999999999994</v>
      </c>
      <c r="W19" s="15">
        <v>6.25</v>
      </c>
      <c r="AW19" s="15">
        <v>0.03</v>
      </c>
      <c r="BB19" s="15">
        <v>0.34</v>
      </c>
      <c r="BH19" s="15">
        <v>0.34</v>
      </c>
      <c r="ES19" s="15">
        <v>0.03</v>
      </c>
    </row>
    <row r="20" spans="1:208" s="15" customFormat="1" x14ac:dyDescent="0.2">
      <c r="A20" s="15" t="s">
        <v>7432</v>
      </c>
      <c r="B20" s="15" t="s">
        <v>1001</v>
      </c>
      <c r="D20" s="15" t="s">
        <v>7243</v>
      </c>
      <c r="E20" s="15" t="s">
        <v>11</v>
      </c>
      <c r="F20" s="15" t="s">
        <v>6190</v>
      </c>
      <c r="H20" s="15" t="s">
        <v>7289</v>
      </c>
      <c r="I20" s="15">
        <v>3</v>
      </c>
      <c r="J20" s="15" t="s">
        <v>7290</v>
      </c>
      <c r="K20" s="18">
        <v>2002</v>
      </c>
      <c r="L20" s="18" t="s">
        <v>7291</v>
      </c>
      <c r="M20" s="18" t="s">
        <v>7288</v>
      </c>
      <c r="N20" s="18">
        <v>1.1000000000000001</v>
      </c>
      <c r="U20" s="15">
        <v>89.48</v>
      </c>
      <c r="AD20" s="15">
        <v>3.19</v>
      </c>
      <c r="AF20" s="15">
        <v>0.43</v>
      </c>
      <c r="AO20" s="15">
        <v>5.84</v>
      </c>
      <c r="BM20" s="15">
        <v>1.06</v>
      </c>
    </row>
    <row r="21" spans="1:208" s="15" customFormat="1" x14ac:dyDescent="0.2">
      <c r="A21" s="15" t="s">
        <v>7433</v>
      </c>
      <c r="B21" s="15" t="s">
        <v>7224</v>
      </c>
      <c r="D21" s="15" t="s">
        <v>7244</v>
      </c>
      <c r="E21" s="15" t="s">
        <v>7</v>
      </c>
      <c r="F21" s="15" t="s">
        <v>6190</v>
      </c>
      <c r="J21" s="15" t="s">
        <v>7292</v>
      </c>
      <c r="K21" s="18">
        <v>2008</v>
      </c>
      <c r="L21" s="18" t="s">
        <v>7293</v>
      </c>
      <c r="M21" s="18" t="s">
        <v>7277</v>
      </c>
      <c r="N21" s="18">
        <v>1.1000000000000001</v>
      </c>
      <c r="V21" s="15">
        <v>86.9</v>
      </c>
      <c r="W21" s="15">
        <v>6.25</v>
      </c>
      <c r="AB21" s="15">
        <f>V21/100*7.33</f>
        <v>6.3697700000000008</v>
      </c>
      <c r="AF21" s="15">
        <f>V21/100*0.51</f>
        <v>0.44319000000000008</v>
      </c>
      <c r="BF21" s="15">
        <f>V21/100*0.51</f>
        <v>0.44319000000000008</v>
      </c>
      <c r="BM21" s="15">
        <f>V21/100*0.58</f>
        <v>0.50402000000000002</v>
      </c>
      <c r="BO21" s="15">
        <f>V21/100*10</f>
        <v>8.6900000000000013</v>
      </c>
      <c r="BQ21" s="15">
        <f>V21/100*3.86</f>
        <v>3.3543400000000001</v>
      </c>
      <c r="BR21" s="15">
        <f>V21/100*6.67</f>
        <v>5.7962300000000004</v>
      </c>
      <c r="BT21" s="15">
        <f>V21/100*4.32</f>
        <v>3.7540800000000005</v>
      </c>
      <c r="BU21" s="15">
        <f>V21/100*190</f>
        <v>165.11</v>
      </c>
      <c r="BY21" s="15">
        <f>V21/100*5.75</f>
        <v>4.9967500000000005</v>
      </c>
    </row>
    <row r="22" spans="1:208" s="15" customFormat="1" x14ac:dyDescent="0.2">
      <c r="A22" s="15" t="s">
        <v>7434</v>
      </c>
      <c r="B22" s="15" t="s">
        <v>7224</v>
      </c>
      <c r="D22" s="15" t="s">
        <v>7244</v>
      </c>
      <c r="E22" s="15" t="s">
        <v>7</v>
      </c>
      <c r="F22" s="15" t="s">
        <v>6190</v>
      </c>
      <c r="J22" s="15" t="s">
        <v>7292</v>
      </c>
      <c r="K22" s="18">
        <v>2008</v>
      </c>
      <c r="L22" s="18" t="s">
        <v>7293</v>
      </c>
      <c r="M22" s="18" t="s">
        <v>7277</v>
      </c>
      <c r="N22" s="18">
        <v>1.1000000000000001</v>
      </c>
      <c r="V22" s="15">
        <v>87.9</v>
      </c>
      <c r="W22" s="15">
        <v>6.25</v>
      </c>
      <c r="AB22" s="15">
        <f>V22/100*6.48</f>
        <v>5.6959200000000001</v>
      </c>
      <c r="AF22" s="15">
        <f>V22/100*0.34</f>
        <v>0.29886000000000001</v>
      </c>
      <c r="BF22" s="15">
        <f>V22/100*1.07</f>
        <v>0.94053000000000009</v>
      </c>
      <c r="BM22" s="15">
        <f>V22/100*0.43</f>
        <v>0.37796999999999997</v>
      </c>
      <c r="BO22" s="15">
        <f>V22/100*10</f>
        <v>8.7899999999999991</v>
      </c>
      <c r="BQ22" s="15">
        <f>V22/100*2.22</f>
        <v>1.9513800000000001</v>
      </c>
      <c r="BR22" s="15">
        <f>V22/100*2.79</f>
        <v>2.45241</v>
      </c>
      <c r="BT22" s="15">
        <f>V22/100*3.64</f>
        <v>3.19956</v>
      </c>
      <c r="BU22" s="15">
        <f>V22/100*150</f>
        <v>131.85</v>
      </c>
      <c r="BY22" s="15">
        <f>V22/100*6.21</f>
        <v>5.4585900000000001</v>
      </c>
    </row>
    <row r="23" spans="1:208" s="15" customFormat="1" x14ac:dyDescent="0.2">
      <c r="A23" s="15" t="s">
        <v>7435</v>
      </c>
      <c r="B23" s="15" t="s">
        <v>7224</v>
      </c>
      <c r="D23" s="15" t="s">
        <v>7244</v>
      </c>
      <c r="E23" s="15" t="s">
        <v>7</v>
      </c>
      <c r="F23" s="15" t="s">
        <v>6190</v>
      </c>
      <c r="J23" s="15" t="s">
        <v>7292</v>
      </c>
      <c r="K23" s="18">
        <v>2008</v>
      </c>
      <c r="L23" s="18" t="s">
        <v>7293</v>
      </c>
      <c r="M23" s="18" t="s">
        <v>7277</v>
      </c>
      <c r="N23" s="18">
        <v>1.1000000000000001</v>
      </c>
      <c r="V23" s="15">
        <v>86.2</v>
      </c>
      <c r="W23" s="15">
        <v>6.25</v>
      </c>
      <c r="AB23" s="15">
        <f>V23/100*7.46</f>
        <v>6.4305199999999996</v>
      </c>
      <c r="AF23" s="15">
        <f>V23/100*0.6</f>
        <v>0.51719999999999999</v>
      </c>
      <c r="BF23" s="15">
        <f>V23/100*0.58</f>
        <v>0.49995999999999996</v>
      </c>
      <c r="BM23" s="15">
        <f>V23/100*0.46</f>
        <v>0.39652000000000004</v>
      </c>
      <c r="BO23" s="15">
        <f>V23/100*10</f>
        <v>8.6199999999999992</v>
      </c>
      <c r="BQ23" s="15">
        <f>V23/100*1.62</f>
        <v>1.3964400000000001</v>
      </c>
      <c r="BR23" s="15">
        <f>V23/100*1.1</f>
        <v>0.94820000000000004</v>
      </c>
      <c r="BT23" s="15">
        <f>V23/100*3.31</f>
        <v>2.8532199999999999</v>
      </c>
      <c r="BU23" s="15">
        <f>V23/100*140</f>
        <v>120.67999999999999</v>
      </c>
      <c r="BY23" s="15">
        <f>V23/100*5.22</f>
        <v>4.4996399999999994</v>
      </c>
    </row>
    <row r="24" spans="1:208" s="15" customFormat="1" x14ac:dyDescent="0.2">
      <c r="A24" s="15" t="s">
        <v>7436</v>
      </c>
      <c r="B24" s="15" t="s">
        <v>7224</v>
      </c>
      <c r="D24" s="15" t="s">
        <v>7244</v>
      </c>
      <c r="E24" s="15" t="s">
        <v>7</v>
      </c>
      <c r="F24" s="15" t="s">
        <v>6190</v>
      </c>
      <c r="J24" s="15" t="s">
        <v>7292</v>
      </c>
      <c r="K24" s="18">
        <v>2008</v>
      </c>
      <c r="L24" s="18" t="s">
        <v>7293</v>
      </c>
      <c r="M24" s="18" t="s">
        <v>7277</v>
      </c>
      <c r="N24" s="18">
        <v>1.1000000000000001</v>
      </c>
      <c r="V24" s="15">
        <v>87.7</v>
      </c>
      <c r="W24" s="15">
        <v>6.25</v>
      </c>
      <c r="AB24" s="15">
        <f>V24/100*8.69</f>
        <v>7.62113</v>
      </c>
      <c r="AF24" s="15">
        <f>V24/100*0.78</f>
        <v>0.68406</v>
      </c>
      <c r="BF24" s="15">
        <f>V24/100*0.68</f>
        <v>0.59636</v>
      </c>
      <c r="BM24" s="15">
        <f>V24/100*0.78</f>
        <v>0.68406</v>
      </c>
      <c r="BO24" s="15">
        <f>V24/100*6</f>
        <v>5.2620000000000005</v>
      </c>
      <c r="BQ24" s="15">
        <f>V24/100*1.82</f>
        <v>1.5961400000000001</v>
      </c>
      <c r="BR24" s="15">
        <f>V24/100*20.5</f>
        <v>17.9785</v>
      </c>
      <c r="BT24" s="15">
        <f>V24/100*5.93</f>
        <v>5.2006100000000002</v>
      </c>
      <c r="BU24" s="15">
        <f>V24/100*270</f>
        <v>236.79</v>
      </c>
      <c r="BY24" s="15">
        <f>V24/100*5.53</f>
        <v>4.8498100000000006</v>
      </c>
    </row>
    <row r="25" spans="1:208" s="15" customFormat="1" x14ac:dyDescent="0.2">
      <c r="A25" s="15" t="s">
        <v>7437</v>
      </c>
      <c r="B25" s="15" t="s">
        <v>7224</v>
      </c>
      <c r="D25" s="15" t="s">
        <v>7240</v>
      </c>
      <c r="E25" s="15" t="s">
        <v>7</v>
      </c>
      <c r="F25" s="15" t="s">
        <v>6190</v>
      </c>
      <c r="J25" s="15" t="s">
        <v>7292</v>
      </c>
      <c r="K25" s="18">
        <v>2008</v>
      </c>
      <c r="L25" s="18" t="s">
        <v>7293</v>
      </c>
      <c r="M25" s="18" t="s">
        <v>7277</v>
      </c>
      <c r="N25" s="18">
        <v>1.1000000000000001</v>
      </c>
      <c r="V25" s="15">
        <v>89.5</v>
      </c>
      <c r="W25" s="15">
        <v>6.25</v>
      </c>
      <c r="AB25" s="15">
        <f>V25/100*14.7</f>
        <v>13.156499999999999</v>
      </c>
      <c r="AF25" s="15">
        <f>V25/100*18.5</f>
        <v>16.557500000000001</v>
      </c>
      <c r="BF25" s="15">
        <f>V25/100*7.37</f>
        <v>6.5961500000000006</v>
      </c>
      <c r="BM25" s="15">
        <f>V25/100*9.04</f>
        <v>8.0907999999999998</v>
      </c>
      <c r="BO25" s="15">
        <f>V25/100*84</f>
        <v>75.180000000000007</v>
      </c>
      <c r="BQ25" s="15">
        <f>V25/100*2.12</f>
        <v>1.8974000000000002</v>
      </c>
      <c r="BR25" s="15">
        <f>V25/100*38.4</f>
        <v>34.368000000000002</v>
      </c>
      <c r="BT25" s="15">
        <f>V25/100*54.2</f>
        <v>48.509</v>
      </c>
      <c r="BU25" s="15">
        <f>V25/100*4830</f>
        <v>4322.8500000000004</v>
      </c>
      <c r="BY25" s="15">
        <f>V25/100*20.3</f>
        <v>18.168500000000002</v>
      </c>
    </row>
    <row r="26" spans="1:208" s="15" customFormat="1" x14ac:dyDescent="0.2">
      <c r="A26" s="15" t="s">
        <v>7438</v>
      </c>
      <c r="B26" s="15" t="s">
        <v>7224</v>
      </c>
      <c r="D26" s="15" t="s">
        <v>7240</v>
      </c>
      <c r="E26" s="15" t="s">
        <v>7</v>
      </c>
      <c r="F26" s="15" t="s">
        <v>6190</v>
      </c>
      <c r="J26" s="15" t="s">
        <v>7292</v>
      </c>
      <c r="K26" s="18">
        <v>2008</v>
      </c>
      <c r="L26" s="18" t="s">
        <v>7293</v>
      </c>
      <c r="M26" s="18" t="s">
        <v>7277</v>
      </c>
      <c r="N26" s="18">
        <v>1.1000000000000001</v>
      </c>
      <c r="V26" s="15">
        <v>89.6</v>
      </c>
      <c r="W26" s="15">
        <v>6.25</v>
      </c>
      <c r="AB26" s="15">
        <f>V26/100*15.6</f>
        <v>13.977599999999999</v>
      </c>
      <c r="AF26" s="15">
        <f>V26/100*13.2</f>
        <v>11.827199999999998</v>
      </c>
      <c r="BF26" s="15">
        <f>V26/100*7.14</f>
        <v>6.3974399999999987</v>
      </c>
      <c r="BM26" s="15">
        <f>V26/100*6.86</f>
        <v>6.14656</v>
      </c>
      <c r="BO26" s="15">
        <f>V26/100*6</f>
        <v>5.3759999999999994</v>
      </c>
      <c r="BQ26" s="15">
        <f>V26/100*4.24</f>
        <v>3.7990399999999998</v>
      </c>
      <c r="BR26" s="15">
        <f>V26/100*37.3</f>
        <v>33.420799999999993</v>
      </c>
      <c r="BT26" s="15">
        <f>V26/100*79.2</f>
        <v>70.963200000000001</v>
      </c>
      <c r="BU26" s="15">
        <f>V26/100*3690</f>
        <v>3306.24</v>
      </c>
      <c r="BY26" s="15">
        <f>V26/100*18.9</f>
        <v>16.934399999999997</v>
      </c>
    </row>
    <row r="27" spans="1:208" s="15" customFormat="1" x14ac:dyDescent="0.2">
      <c r="A27" s="15" t="s">
        <v>7439</v>
      </c>
      <c r="B27" s="15" t="s">
        <v>7224</v>
      </c>
      <c r="D27" s="15" t="s">
        <v>7240</v>
      </c>
      <c r="E27" s="15" t="s">
        <v>7</v>
      </c>
      <c r="F27" s="15" t="s">
        <v>6190</v>
      </c>
      <c r="J27" s="15" t="s">
        <v>7292</v>
      </c>
      <c r="K27" s="18">
        <v>2008</v>
      </c>
      <c r="L27" s="18" t="s">
        <v>7293</v>
      </c>
      <c r="M27" s="18" t="s">
        <v>7277</v>
      </c>
      <c r="N27" s="18">
        <v>1.1000000000000001</v>
      </c>
      <c r="V27" s="15">
        <v>88.4</v>
      </c>
      <c r="W27" s="15">
        <v>6.25</v>
      </c>
      <c r="AB27" s="15">
        <f>V27/100*14.3</f>
        <v>12.641200000000001</v>
      </c>
      <c r="AF27" s="15">
        <f>V27/100*15.6</f>
        <v>13.7904</v>
      </c>
      <c r="BF27" s="15">
        <f>V27/100*6.11</f>
        <v>5.4012400000000005</v>
      </c>
      <c r="BM27" s="15">
        <f>V27/100*8.71</f>
        <v>7.6996400000000005</v>
      </c>
      <c r="BO27" s="15">
        <f>V27/100*110</f>
        <v>97.24</v>
      </c>
      <c r="BQ27" s="15">
        <f>V27/100*5.03</f>
        <v>4.4465200000000005</v>
      </c>
      <c r="BR27" s="15">
        <f>V27/100*39.8</f>
        <v>35.183199999999999</v>
      </c>
      <c r="BT27" s="15">
        <f>V27/100*58.3</f>
        <v>51.537199999999999</v>
      </c>
      <c r="BU27" s="15">
        <f>V27/100*4070</f>
        <v>3597.88</v>
      </c>
      <c r="BY27" s="15">
        <f>V27/100*16</f>
        <v>14.144</v>
      </c>
    </row>
    <row r="28" spans="1:208" s="15" customFormat="1" x14ac:dyDescent="0.2">
      <c r="A28" s="15" t="s">
        <v>7440</v>
      </c>
      <c r="B28" s="15" t="s">
        <v>7224</v>
      </c>
      <c r="D28" s="15" t="s">
        <v>7240</v>
      </c>
      <c r="E28" s="15" t="s">
        <v>7</v>
      </c>
      <c r="F28" s="15" t="s">
        <v>6190</v>
      </c>
      <c r="J28" s="15" t="s">
        <v>7292</v>
      </c>
      <c r="K28" s="18">
        <v>2008</v>
      </c>
      <c r="L28" s="18" t="s">
        <v>7293</v>
      </c>
      <c r="M28" s="18" t="s">
        <v>7277</v>
      </c>
      <c r="N28" s="18">
        <v>1.1000000000000001</v>
      </c>
      <c r="V28" s="15">
        <v>89.6</v>
      </c>
      <c r="W28" s="15">
        <v>6.25</v>
      </c>
      <c r="AB28" s="15">
        <f>V28/100*16</f>
        <v>14.335999999999999</v>
      </c>
      <c r="AF28" s="15">
        <f>V28/100*14.5</f>
        <v>12.991999999999999</v>
      </c>
      <c r="BF28" s="15">
        <f>V28/100*7.48</f>
        <v>6.7020799999999996</v>
      </c>
      <c r="BM28" s="15">
        <f>V28/100*8.48</f>
        <v>7.5980799999999995</v>
      </c>
      <c r="BO28" s="15">
        <f>V28/100*130</f>
        <v>116.47999999999999</v>
      </c>
      <c r="BQ28" s="15">
        <f>V28/100*1.73</f>
        <v>1.5500799999999999</v>
      </c>
      <c r="BR28" s="15">
        <f>V28/100*44.4</f>
        <v>39.782399999999996</v>
      </c>
      <c r="BT28" s="15">
        <f>V28/100*63</f>
        <v>56.447999999999993</v>
      </c>
      <c r="BU28" s="15">
        <f>V28/100*3840</f>
        <v>3440.6399999999994</v>
      </c>
      <c r="BY28" s="15">
        <f>V28/100*19.6</f>
        <v>17.561599999999999</v>
      </c>
    </row>
    <row r="29" spans="1:208" s="15" customFormat="1" x14ac:dyDescent="0.2">
      <c r="A29" s="15" t="s">
        <v>7441</v>
      </c>
      <c r="B29" s="15" t="s">
        <v>238</v>
      </c>
      <c r="D29" s="15" t="s">
        <v>7245</v>
      </c>
      <c r="E29" s="15" t="s">
        <v>11</v>
      </c>
      <c r="H29" s="15" t="s">
        <v>7294</v>
      </c>
      <c r="I29" s="15">
        <v>2</v>
      </c>
      <c r="J29" s="15" t="s">
        <v>7295</v>
      </c>
      <c r="K29" s="18">
        <v>2006</v>
      </c>
      <c r="L29" s="18" t="s">
        <v>7296</v>
      </c>
      <c r="M29" s="18" t="s">
        <v>7288</v>
      </c>
      <c r="N29" s="18">
        <v>1.1000000000000001</v>
      </c>
      <c r="R29" s="15">
        <v>213</v>
      </c>
      <c r="U29" s="15">
        <v>49.75</v>
      </c>
      <c r="W29" s="15">
        <v>6.25</v>
      </c>
      <c r="AB29" s="15">
        <v>3.66</v>
      </c>
      <c r="AG29" s="15">
        <v>4.62</v>
      </c>
      <c r="AM29" s="15">
        <v>39.200000000000003</v>
      </c>
      <c r="BF29" s="15">
        <v>1.24</v>
      </c>
      <c r="BM29" s="15">
        <v>1.53</v>
      </c>
    </row>
    <row r="30" spans="1:208" s="15" customFormat="1" x14ac:dyDescent="0.2">
      <c r="A30" s="15" t="s">
        <v>7442</v>
      </c>
      <c r="B30" s="15" t="s">
        <v>238</v>
      </c>
      <c r="D30" s="15" t="s">
        <v>7245</v>
      </c>
      <c r="E30" s="15" t="s">
        <v>11</v>
      </c>
      <c r="H30" s="15" t="s">
        <v>7297</v>
      </c>
      <c r="I30" s="15">
        <v>2</v>
      </c>
      <c r="J30" s="15" t="s">
        <v>7295</v>
      </c>
      <c r="K30" s="18">
        <v>2006</v>
      </c>
      <c r="L30" s="18" t="s">
        <v>7296</v>
      </c>
      <c r="M30" s="18" t="s">
        <v>7288</v>
      </c>
      <c r="N30" s="18">
        <v>1.1000000000000001</v>
      </c>
      <c r="R30" s="15">
        <v>168</v>
      </c>
      <c r="U30" s="15">
        <v>60.98</v>
      </c>
      <c r="W30" s="15">
        <v>6.25</v>
      </c>
      <c r="AB30" s="15">
        <v>3.17</v>
      </c>
      <c r="AG30" s="15">
        <v>3.99</v>
      </c>
      <c r="AM30" s="15">
        <v>29.87</v>
      </c>
      <c r="BF30" s="15">
        <v>1.21</v>
      </c>
      <c r="BM30" s="15">
        <v>0.78</v>
      </c>
    </row>
    <row r="31" spans="1:208" s="15" customFormat="1" x14ac:dyDescent="0.2">
      <c r="A31" s="15" t="s">
        <v>7443</v>
      </c>
      <c r="B31" s="15" t="s">
        <v>238</v>
      </c>
      <c r="D31" s="15" t="s">
        <v>7245</v>
      </c>
      <c r="E31" s="15" t="s">
        <v>11</v>
      </c>
      <c r="H31" s="15" t="s">
        <v>7298</v>
      </c>
      <c r="I31" s="15">
        <v>2</v>
      </c>
      <c r="J31" s="15" t="s">
        <v>7295</v>
      </c>
      <c r="K31" s="18">
        <v>2006</v>
      </c>
      <c r="L31" s="18" t="s">
        <v>7296</v>
      </c>
      <c r="M31" s="18" t="s">
        <v>7288</v>
      </c>
      <c r="N31" s="18">
        <v>1.1000000000000001</v>
      </c>
      <c r="R31" s="15">
        <v>161</v>
      </c>
      <c r="U31" s="15">
        <v>59.02</v>
      </c>
      <c r="W31" s="15">
        <v>6.25</v>
      </c>
      <c r="AB31" s="15">
        <v>3.5</v>
      </c>
      <c r="AG31" s="15">
        <v>1.2</v>
      </c>
      <c r="AM31" s="15">
        <v>33.99</v>
      </c>
      <c r="BF31" s="15">
        <v>1.42</v>
      </c>
      <c r="BM31" s="15">
        <v>0.87</v>
      </c>
    </row>
    <row r="32" spans="1:208" s="15" customFormat="1" x14ac:dyDescent="0.2">
      <c r="A32" s="15" t="s">
        <v>7444</v>
      </c>
      <c r="B32" s="15" t="s">
        <v>7225</v>
      </c>
      <c r="D32" s="15" t="s">
        <v>7240</v>
      </c>
      <c r="E32" s="15" t="s">
        <v>7</v>
      </c>
      <c r="I32" s="15">
        <v>3</v>
      </c>
      <c r="J32" s="15" t="s">
        <v>7299</v>
      </c>
      <c r="K32" s="18">
        <v>2010</v>
      </c>
      <c r="L32" s="18" t="s">
        <v>7300</v>
      </c>
      <c r="M32" s="18" t="s">
        <v>7288</v>
      </c>
      <c r="N32" s="18">
        <v>1.1000000000000001</v>
      </c>
      <c r="R32" s="15">
        <f>V32/100*356.3</f>
        <v>330.21884000000006</v>
      </c>
      <c r="V32" s="15">
        <v>92.68</v>
      </c>
      <c r="W32" s="15">
        <v>6.25</v>
      </c>
      <c r="AD32" s="15">
        <f>V32/100*9.55</f>
        <v>8.8509400000000014</v>
      </c>
      <c r="BF32" s="15">
        <v>21.826139999999999</v>
      </c>
    </row>
    <row r="33" spans="1:92" s="15" customFormat="1" x14ac:dyDescent="0.2">
      <c r="A33" s="15" t="s">
        <v>7445</v>
      </c>
      <c r="B33" s="15" t="s">
        <v>7225</v>
      </c>
      <c r="D33" s="15" t="s">
        <v>7641</v>
      </c>
      <c r="E33" s="15" t="s">
        <v>11</v>
      </c>
      <c r="H33" s="15" t="s">
        <v>7624</v>
      </c>
      <c r="I33" s="15">
        <v>3</v>
      </c>
      <c r="J33" s="15" t="s">
        <v>7301</v>
      </c>
      <c r="K33" s="18">
        <v>2010</v>
      </c>
      <c r="L33" s="18" t="s">
        <v>7300</v>
      </c>
      <c r="M33" s="18" t="s">
        <v>6182</v>
      </c>
      <c r="N33" s="18">
        <v>1.1000000000000001</v>
      </c>
      <c r="V33" s="15">
        <v>62.45</v>
      </c>
      <c r="W33" s="15">
        <v>6.25</v>
      </c>
      <c r="AD33" s="15">
        <f>V33/100*10.57</f>
        <v>6.6009650000000004</v>
      </c>
    </row>
    <row r="34" spans="1:92" s="15" customFormat="1" x14ac:dyDescent="0.2">
      <c r="A34" s="15" t="s">
        <v>7446</v>
      </c>
      <c r="B34" s="15" t="s">
        <v>7225</v>
      </c>
      <c r="D34" s="15" t="s">
        <v>7642</v>
      </c>
      <c r="E34" s="15" t="s">
        <v>11</v>
      </c>
      <c r="H34" s="15" t="s">
        <v>7302</v>
      </c>
      <c r="I34" s="15">
        <v>3</v>
      </c>
      <c r="J34" s="15" t="s">
        <v>7303</v>
      </c>
      <c r="K34" s="18">
        <v>2010</v>
      </c>
      <c r="L34" s="18" t="s">
        <v>7300</v>
      </c>
      <c r="M34" s="18" t="s">
        <v>6182</v>
      </c>
      <c r="N34" s="18">
        <v>1.1000000000000001</v>
      </c>
      <c r="V34" s="15">
        <v>65.959999999999994</v>
      </c>
      <c r="W34" s="15">
        <v>6.25</v>
      </c>
      <c r="AD34" s="15">
        <f>V34/100*10.15</f>
        <v>6.6949399999999999</v>
      </c>
    </row>
    <row r="35" spans="1:92" s="15" customFormat="1" x14ac:dyDescent="0.2">
      <c r="A35" s="15" t="s">
        <v>7447</v>
      </c>
      <c r="B35" s="15" t="s">
        <v>7225</v>
      </c>
      <c r="D35" s="15" t="s">
        <v>7642</v>
      </c>
      <c r="E35" s="15" t="s">
        <v>11</v>
      </c>
      <c r="H35" s="15" t="s">
        <v>7304</v>
      </c>
      <c r="I35" s="15">
        <v>3</v>
      </c>
      <c r="J35" s="15" t="s">
        <v>7301</v>
      </c>
      <c r="K35" s="18">
        <v>2010</v>
      </c>
      <c r="L35" s="18" t="s">
        <v>7300</v>
      </c>
      <c r="M35" s="18" t="s">
        <v>6182</v>
      </c>
      <c r="N35" s="18">
        <v>1.1000000000000001</v>
      </c>
      <c r="V35" s="15">
        <v>71.349999999999994</v>
      </c>
      <c r="W35" s="15">
        <v>6.25</v>
      </c>
      <c r="AD35" s="15">
        <f>V35/100*10.12</f>
        <v>7.2206199999999985</v>
      </c>
    </row>
    <row r="36" spans="1:92" s="15" customFormat="1" x14ac:dyDescent="0.2">
      <c r="A36" s="15" t="s">
        <v>7448</v>
      </c>
      <c r="B36" s="15" t="s">
        <v>7225</v>
      </c>
      <c r="D36" s="15" t="s">
        <v>7642</v>
      </c>
      <c r="E36" s="15" t="s">
        <v>11</v>
      </c>
      <c r="H36" s="15" t="s">
        <v>7305</v>
      </c>
      <c r="I36" s="15">
        <v>3</v>
      </c>
      <c r="J36" s="15" t="s">
        <v>7301</v>
      </c>
      <c r="K36" s="18">
        <v>2010</v>
      </c>
      <c r="L36" s="18" t="s">
        <v>7300</v>
      </c>
      <c r="M36" s="18" t="s">
        <v>6182</v>
      </c>
      <c r="N36" s="18">
        <v>1.1000000000000001</v>
      </c>
      <c r="V36" s="15">
        <v>69.7</v>
      </c>
      <c r="W36" s="15">
        <v>6.25</v>
      </c>
      <c r="AD36" s="15">
        <f>V36/100*10.6</f>
        <v>7.3882000000000003</v>
      </c>
    </row>
    <row r="37" spans="1:92" s="15" customFormat="1" x14ac:dyDescent="0.2">
      <c r="A37" s="15" t="s">
        <v>7449</v>
      </c>
      <c r="B37" s="15" t="s">
        <v>7226</v>
      </c>
      <c r="D37" s="15" t="s">
        <v>7643</v>
      </c>
      <c r="E37" s="15" t="s">
        <v>7</v>
      </c>
      <c r="F37" s="15" t="s">
        <v>6190</v>
      </c>
      <c r="H37" s="15" t="s">
        <v>7306</v>
      </c>
      <c r="I37" s="15">
        <v>6</v>
      </c>
      <c r="J37" s="15" t="s">
        <v>7307</v>
      </c>
      <c r="K37" s="18">
        <v>2010</v>
      </c>
      <c r="L37" s="18" t="s">
        <v>7308</v>
      </c>
      <c r="M37" s="18" t="s">
        <v>7277</v>
      </c>
      <c r="N37" s="18">
        <v>1.1000000000000001</v>
      </c>
      <c r="U37" s="15">
        <v>11.62</v>
      </c>
      <c r="BN37" s="15">
        <v>90</v>
      </c>
      <c r="BS37" s="15">
        <v>61.8</v>
      </c>
      <c r="BT37" s="15">
        <v>0.73</v>
      </c>
      <c r="BU37" s="15">
        <v>4.05</v>
      </c>
      <c r="BY37" s="15">
        <v>2.1800000000000002</v>
      </c>
      <c r="BZ37" s="15">
        <v>1020</v>
      </c>
      <c r="CD37" s="15">
        <v>0.34</v>
      </c>
    </row>
    <row r="38" spans="1:92" s="15" customFormat="1" x14ac:dyDescent="0.2">
      <c r="A38" s="15" t="s">
        <v>7450</v>
      </c>
      <c r="B38" s="15" t="s">
        <v>7226</v>
      </c>
      <c r="D38" s="15" t="s">
        <v>7644</v>
      </c>
      <c r="E38" s="15" t="s">
        <v>7</v>
      </c>
      <c r="F38" s="15" t="s">
        <v>6190</v>
      </c>
      <c r="H38" s="15" t="s">
        <v>7309</v>
      </c>
      <c r="I38" s="15">
        <v>6</v>
      </c>
      <c r="J38" s="15" t="s">
        <v>7310</v>
      </c>
      <c r="K38" s="18">
        <v>2010</v>
      </c>
      <c r="L38" s="18" t="s">
        <v>7308</v>
      </c>
      <c r="M38" s="18" t="s">
        <v>7277</v>
      </c>
      <c r="N38" s="18">
        <v>1.1000000000000001</v>
      </c>
      <c r="U38" s="15">
        <v>11.35</v>
      </c>
      <c r="BN38" s="15">
        <v>50</v>
      </c>
      <c r="BS38" s="15">
        <v>217.6</v>
      </c>
      <c r="BT38" s="15">
        <v>2.13</v>
      </c>
      <c r="BU38" s="15">
        <v>79.16</v>
      </c>
      <c r="BY38" s="15">
        <v>2.73</v>
      </c>
      <c r="BZ38" s="15">
        <v>1690</v>
      </c>
      <c r="CD38" s="15">
        <v>0.36</v>
      </c>
    </row>
    <row r="39" spans="1:92" s="15" customFormat="1" x14ac:dyDescent="0.2">
      <c r="A39" s="15" t="s">
        <v>7451</v>
      </c>
      <c r="B39" s="15" t="s">
        <v>7226</v>
      </c>
      <c r="D39" s="15" t="s">
        <v>7625</v>
      </c>
      <c r="E39" s="15" t="s">
        <v>7</v>
      </c>
      <c r="F39" s="15" t="s">
        <v>7273</v>
      </c>
      <c r="H39" s="15" t="s">
        <v>7311</v>
      </c>
      <c r="I39" s="15">
        <v>6</v>
      </c>
      <c r="J39" s="15" t="s">
        <v>7310</v>
      </c>
      <c r="K39" s="18">
        <v>2010</v>
      </c>
      <c r="L39" s="18" t="s">
        <v>7308</v>
      </c>
      <c r="M39" s="18" t="s">
        <v>7277</v>
      </c>
      <c r="N39" s="18">
        <v>1.1000000000000001</v>
      </c>
      <c r="U39" s="15">
        <v>12.06</v>
      </c>
      <c r="BN39" s="15">
        <v>40</v>
      </c>
      <c r="BS39" s="15">
        <v>64.400000000000006</v>
      </c>
      <c r="BT39" s="15">
        <v>0.81</v>
      </c>
      <c r="BU39" s="15">
        <v>4.2</v>
      </c>
      <c r="BY39" s="15">
        <v>2.68</v>
      </c>
      <c r="BZ39" s="15">
        <v>1220</v>
      </c>
      <c r="CD39" s="15">
        <v>0.26</v>
      </c>
    </row>
    <row r="40" spans="1:92" s="15" customFormat="1" x14ac:dyDescent="0.2">
      <c r="A40" s="15" t="s">
        <v>7452</v>
      </c>
      <c r="B40" s="15" t="s">
        <v>7226</v>
      </c>
      <c r="D40" s="15" t="s">
        <v>7645</v>
      </c>
      <c r="E40" s="15" t="s">
        <v>7</v>
      </c>
      <c r="F40" s="15" t="s">
        <v>6190</v>
      </c>
      <c r="H40" s="15" t="s">
        <v>7312</v>
      </c>
      <c r="I40" s="15">
        <v>6</v>
      </c>
      <c r="J40" s="15" t="s">
        <v>7310</v>
      </c>
      <c r="K40" s="18">
        <v>2010</v>
      </c>
      <c r="L40" s="18" t="s">
        <v>7308</v>
      </c>
      <c r="M40" s="18" t="s">
        <v>7277</v>
      </c>
      <c r="N40" s="18">
        <v>1.1000000000000001</v>
      </c>
      <c r="U40" s="15">
        <v>11.21</v>
      </c>
      <c r="BN40" s="15">
        <v>60</v>
      </c>
      <c r="BS40" s="15">
        <v>269.81</v>
      </c>
      <c r="BT40" s="15">
        <v>2.46</v>
      </c>
      <c r="BU40" s="15">
        <v>72.09</v>
      </c>
      <c r="BY40" s="15">
        <v>2.66</v>
      </c>
      <c r="BZ40" s="15">
        <v>1990</v>
      </c>
      <c r="CD40" s="15">
        <v>0.26</v>
      </c>
    </row>
    <row r="41" spans="1:92" s="15" customFormat="1" x14ac:dyDescent="0.2">
      <c r="A41" s="15" t="s">
        <v>7453</v>
      </c>
      <c r="B41" s="15" t="s">
        <v>7227</v>
      </c>
      <c r="D41" s="15" t="s">
        <v>7246</v>
      </c>
      <c r="E41" s="15" t="s">
        <v>7</v>
      </c>
      <c r="F41" s="15" t="s">
        <v>6190</v>
      </c>
      <c r="I41" s="15">
        <v>3</v>
      </c>
      <c r="J41" s="15" t="s">
        <v>7313</v>
      </c>
      <c r="K41" s="18">
        <v>1997</v>
      </c>
      <c r="L41" s="18" t="s">
        <v>7314</v>
      </c>
      <c r="M41" s="18" t="s">
        <v>7277</v>
      </c>
      <c r="N41" s="18">
        <v>1.1000000000000001</v>
      </c>
      <c r="T41" s="15">
        <v>390</v>
      </c>
      <c r="U41" s="15">
        <v>12.4</v>
      </c>
      <c r="V41" s="15">
        <f>100-U41</f>
        <v>87.6</v>
      </c>
      <c r="AD41" s="15">
        <v>5.6</v>
      </c>
      <c r="AG41" s="15">
        <v>0.4</v>
      </c>
      <c r="AQ41" s="15">
        <v>80.099999999999994</v>
      </c>
      <c r="BF41" s="15">
        <v>0.6</v>
      </c>
      <c r="BM41" s="15">
        <v>0.3</v>
      </c>
      <c r="BO41" s="33">
        <v>1.0511999999999999</v>
      </c>
      <c r="BP41" s="33"/>
      <c r="BQ41" s="33">
        <v>3.5039999999999995E-2</v>
      </c>
      <c r="BR41" s="33">
        <v>0.35039999999999999</v>
      </c>
      <c r="BS41" s="33">
        <v>3.7229999999999994</v>
      </c>
      <c r="BT41" s="33"/>
      <c r="BU41" s="33">
        <v>4.2923999999999998</v>
      </c>
      <c r="BV41" s="33">
        <v>0.30659999999999993</v>
      </c>
      <c r="BW41" s="33">
        <v>4.2047999999999996</v>
      </c>
      <c r="BY41" s="33">
        <v>8.7599999999999997E-2</v>
      </c>
    </row>
    <row r="42" spans="1:92" s="15" customFormat="1" x14ac:dyDescent="0.2">
      <c r="A42" s="15" t="s">
        <v>7454</v>
      </c>
      <c r="B42" s="15" t="s">
        <v>7227</v>
      </c>
      <c r="D42" s="15" t="s">
        <v>7247</v>
      </c>
      <c r="E42" s="15" t="s">
        <v>11</v>
      </c>
      <c r="F42" s="15" t="s">
        <v>6190</v>
      </c>
      <c r="H42" s="15" t="s">
        <v>7315</v>
      </c>
      <c r="I42" s="15">
        <v>3</v>
      </c>
      <c r="J42" s="15" t="s">
        <v>7313</v>
      </c>
      <c r="K42" s="18">
        <v>1997</v>
      </c>
      <c r="L42" s="18" t="s">
        <v>7314</v>
      </c>
      <c r="M42" s="18" t="s">
        <v>7277</v>
      </c>
      <c r="N42" s="18">
        <v>1.1000000000000001</v>
      </c>
      <c r="T42" s="15">
        <v>430</v>
      </c>
      <c r="U42" s="15">
        <v>7.3</v>
      </c>
      <c r="V42" s="15">
        <f>100-U42</f>
        <v>92.7</v>
      </c>
      <c r="AD42" s="15">
        <v>5.7</v>
      </c>
      <c r="AG42" s="15">
        <v>0.4</v>
      </c>
      <c r="AQ42" s="15">
        <v>81.900000000000006</v>
      </c>
      <c r="BF42" s="15">
        <v>1</v>
      </c>
      <c r="BM42" s="15">
        <v>1.1000000000000001</v>
      </c>
      <c r="BO42" s="33">
        <v>1.1124000000000001</v>
      </c>
      <c r="BP42" s="33"/>
      <c r="BQ42" s="33">
        <v>4.6350000000000002E-2</v>
      </c>
      <c r="BR42" s="33">
        <v>0.33372000000000002</v>
      </c>
      <c r="BS42" s="33">
        <v>19.420650000000002</v>
      </c>
      <c r="BT42" s="33"/>
      <c r="BU42" s="33">
        <v>13.9977</v>
      </c>
      <c r="BV42" s="33">
        <v>0.36153000000000002</v>
      </c>
      <c r="BW42" s="33">
        <v>11.81925</v>
      </c>
      <c r="BY42" s="33">
        <v>0.28737000000000001</v>
      </c>
    </row>
    <row r="43" spans="1:92" s="15" customFormat="1" x14ac:dyDescent="0.2">
      <c r="A43" s="15" t="s">
        <v>7455</v>
      </c>
      <c r="B43" s="15" t="s">
        <v>563</v>
      </c>
      <c r="D43" s="15" t="s">
        <v>7626</v>
      </c>
      <c r="E43" s="15" t="s">
        <v>7</v>
      </c>
      <c r="I43" s="15">
        <v>4</v>
      </c>
      <c r="J43" s="15" t="s">
        <v>7316</v>
      </c>
      <c r="K43" s="18">
        <v>2011</v>
      </c>
      <c r="L43" s="18" t="s">
        <v>7317</v>
      </c>
      <c r="M43" s="18" t="s">
        <v>7288</v>
      </c>
      <c r="N43" s="18">
        <v>1.1000000000000001</v>
      </c>
      <c r="U43" s="15">
        <v>13.3</v>
      </c>
      <c r="AD43" s="15">
        <v>16.600000000000001</v>
      </c>
      <c r="AG43" s="15">
        <v>0.33</v>
      </c>
      <c r="BB43" s="15">
        <v>7.41</v>
      </c>
      <c r="BG43" s="15">
        <v>5.17</v>
      </c>
      <c r="BH43" s="15">
        <v>2.2400000000000002</v>
      </c>
      <c r="BM43" s="15">
        <v>15.6</v>
      </c>
      <c r="BO43" s="15">
        <v>24</v>
      </c>
      <c r="BR43" s="15">
        <v>28.5</v>
      </c>
      <c r="BW43" s="15">
        <v>16</v>
      </c>
    </row>
    <row r="44" spans="1:92" s="15" customFormat="1" x14ac:dyDescent="0.2">
      <c r="A44" s="15" t="s">
        <v>7456</v>
      </c>
      <c r="B44" s="15" t="s">
        <v>563</v>
      </c>
      <c r="D44" s="15" t="s">
        <v>7627</v>
      </c>
      <c r="E44" s="15" t="s">
        <v>7</v>
      </c>
      <c r="I44" s="15">
        <v>4</v>
      </c>
      <c r="J44" s="15" t="s">
        <v>7316</v>
      </c>
      <c r="K44" s="18">
        <v>2011</v>
      </c>
      <c r="L44" s="18" t="s">
        <v>7317</v>
      </c>
      <c r="M44" s="18" t="s">
        <v>7288</v>
      </c>
      <c r="N44" s="18">
        <v>1.1000000000000001</v>
      </c>
      <c r="U44" s="15">
        <v>11.1</v>
      </c>
      <c r="AD44" s="15">
        <v>17.2</v>
      </c>
      <c r="AG44" s="15">
        <v>0.66</v>
      </c>
      <c r="BB44" s="15">
        <v>11.44</v>
      </c>
      <c r="BG44" s="15">
        <v>9.19</v>
      </c>
      <c r="BH44" s="15">
        <v>2.2400000000000002</v>
      </c>
      <c r="BM44" s="15">
        <v>14.65</v>
      </c>
      <c r="BO44" s="15">
        <v>25.5</v>
      </c>
      <c r="BR44" s="15">
        <v>29</v>
      </c>
      <c r="BW44" s="15">
        <v>16.600000000000001</v>
      </c>
    </row>
    <row r="45" spans="1:92" s="15" customFormat="1" x14ac:dyDescent="0.2">
      <c r="A45" s="15" t="s">
        <v>7457</v>
      </c>
      <c r="B45" s="15" t="s">
        <v>238</v>
      </c>
      <c r="D45" s="15" t="s">
        <v>7248</v>
      </c>
      <c r="E45" s="15" t="s">
        <v>7</v>
      </c>
      <c r="F45" s="15" t="s">
        <v>6190</v>
      </c>
      <c r="I45" s="15">
        <v>17</v>
      </c>
      <c r="J45" s="15" t="s">
        <v>7318</v>
      </c>
      <c r="K45" s="18">
        <v>2010</v>
      </c>
      <c r="L45" s="18" t="s">
        <v>7319</v>
      </c>
      <c r="M45" s="18" t="s">
        <v>7277</v>
      </c>
      <c r="N45" s="18">
        <v>1.1000000000000001</v>
      </c>
      <c r="BP45" s="15">
        <v>2.93</v>
      </c>
      <c r="BQ45" s="15">
        <v>0.24</v>
      </c>
      <c r="BT45" s="15">
        <v>1.21</v>
      </c>
      <c r="BU45" s="15">
        <v>46.23</v>
      </c>
      <c r="BW45" s="15">
        <v>214.08</v>
      </c>
      <c r="BX45" s="15">
        <v>3.21</v>
      </c>
      <c r="BY45" s="15">
        <v>1.53</v>
      </c>
      <c r="CA45" s="15">
        <v>10.53</v>
      </c>
      <c r="CC45" s="15">
        <v>1.3</v>
      </c>
      <c r="CM45" s="15">
        <v>0.03</v>
      </c>
      <c r="CN45" s="15">
        <v>0.21</v>
      </c>
    </row>
    <row r="46" spans="1:92" s="15" customFormat="1" x14ac:dyDescent="0.2">
      <c r="A46" s="15" t="s">
        <v>7458</v>
      </c>
      <c r="B46" s="15" t="s">
        <v>238</v>
      </c>
      <c r="D46" s="15" t="s">
        <v>7249</v>
      </c>
      <c r="E46" s="15" t="s">
        <v>11</v>
      </c>
      <c r="F46" s="15" t="s">
        <v>6190</v>
      </c>
      <c r="I46" s="15">
        <v>6</v>
      </c>
      <c r="J46" s="15" t="s">
        <v>7318</v>
      </c>
      <c r="K46" s="18">
        <v>2010</v>
      </c>
      <c r="L46" s="18" t="s">
        <v>7319</v>
      </c>
      <c r="M46" s="18" t="s">
        <v>7277</v>
      </c>
      <c r="N46" s="18">
        <v>1.1000000000000001</v>
      </c>
      <c r="BP46" s="15">
        <v>3.34</v>
      </c>
      <c r="BQ46" s="15">
        <v>0.37</v>
      </c>
      <c r="BT46" s="15">
        <v>1.82</v>
      </c>
      <c r="BU46" s="15">
        <v>113.2</v>
      </c>
      <c r="BW46" s="15">
        <v>407.85</v>
      </c>
      <c r="BX46" s="15">
        <v>4.49</v>
      </c>
      <c r="BY46" s="15">
        <v>1.78</v>
      </c>
      <c r="CA46" s="15">
        <v>9.84</v>
      </c>
      <c r="CC46" s="15">
        <v>1.1100000000000001</v>
      </c>
      <c r="CM46" s="15">
        <v>0.05</v>
      </c>
      <c r="CN46" s="15">
        <v>0.6</v>
      </c>
    </row>
    <row r="47" spans="1:92" s="15" customFormat="1" x14ac:dyDescent="0.2">
      <c r="A47" s="15" t="s">
        <v>7459</v>
      </c>
      <c r="B47" s="15" t="s">
        <v>238</v>
      </c>
      <c r="D47" s="15" t="s">
        <v>7250</v>
      </c>
      <c r="E47" s="15" t="s">
        <v>11</v>
      </c>
      <c r="F47" s="15" t="s">
        <v>6190</v>
      </c>
      <c r="I47" s="15">
        <v>4</v>
      </c>
      <c r="J47" s="15" t="s">
        <v>7318</v>
      </c>
      <c r="K47" s="18">
        <v>2010</v>
      </c>
      <c r="L47" s="18" t="s">
        <v>7319</v>
      </c>
      <c r="M47" s="18" t="s">
        <v>7277</v>
      </c>
      <c r="N47" s="18">
        <v>1.1000000000000001</v>
      </c>
      <c r="BP47" s="15">
        <v>6.91</v>
      </c>
      <c r="BQ47" s="15">
        <v>0.42</v>
      </c>
      <c r="BT47" s="15">
        <v>9.1</v>
      </c>
      <c r="BU47" s="15">
        <v>489</v>
      </c>
      <c r="BW47" s="15">
        <v>1561.88</v>
      </c>
      <c r="BX47" s="15">
        <v>4.21</v>
      </c>
      <c r="BY47" s="15">
        <v>4.42</v>
      </c>
      <c r="CA47" s="15">
        <v>15.4</v>
      </c>
      <c r="CC47" s="15">
        <v>1.75</v>
      </c>
      <c r="CM47" s="15">
        <v>0.05</v>
      </c>
      <c r="CN47" s="15">
        <v>0.54</v>
      </c>
    </row>
    <row r="48" spans="1:92" s="15" customFormat="1" x14ac:dyDescent="0.2">
      <c r="A48" s="15" t="s">
        <v>7460</v>
      </c>
      <c r="D48" s="15" t="s">
        <v>7239</v>
      </c>
      <c r="E48" s="15" t="s">
        <v>7</v>
      </c>
      <c r="F48" s="15" t="s">
        <v>7274</v>
      </c>
      <c r="J48" s="15" t="s">
        <v>7320</v>
      </c>
      <c r="K48" s="18">
        <v>2008</v>
      </c>
      <c r="L48" s="18" t="s">
        <v>7321</v>
      </c>
      <c r="M48" s="18" t="s">
        <v>7277</v>
      </c>
      <c r="N48" s="18">
        <v>1.1000000000000001</v>
      </c>
      <c r="BQ48" s="15">
        <v>0.21</v>
      </c>
      <c r="BR48" s="15">
        <v>0.9</v>
      </c>
      <c r="BT48" s="15">
        <v>4.5</v>
      </c>
      <c r="BX48" s="15">
        <v>20</v>
      </c>
      <c r="BY48" s="15">
        <v>2.1</v>
      </c>
      <c r="CE48" s="15">
        <v>0.6</v>
      </c>
      <c r="CK48" s="15">
        <v>0.46</v>
      </c>
    </row>
    <row r="49" spans="1:89" s="15" customFormat="1" x14ac:dyDescent="0.2">
      <c r="A49" s="15" t="s">
        <v>7461</v>
      </c>
      <c r="D49" s="15" t="s">
        <v>7251</v>
      </c>
      <c r="E49" s="15" t="s">
        <v>11</v>
      </c>
      <c r="F49" s="15" t="s">
        <v>7274</v>
      </c>
      <c r="J49" s="15" t="s">
        <v>7320</v>
      </c>
      <c r="K49" s="18">
        <v>2008</v>
      </c>
      <c r="L49" s="18" t="s">
        <v>7321</v>
      </c>
      <c r="M49" s="18" t="s">
        <v>7277</v>
      </c>
      <c r="N49" s="18">
        <v>1.1000000000000001</v>
      </c>
      <c r="BQ49" s="15">
        <v>0.25</v>
      </c>
      <c r="BR49" s="15">
        <v>1.4</v>
      </c>
      <c r="BT49" s="15">
        <v>4.2</v>
      </c>
      <c r="BX49" s="15">
        <v>30</v>
      </c>
      <c r="BY49" s="15">
        <v>2.1</v>
      </c>
      <c r="CE49" s="15">
        <v>2.4</v>
      </c>
      <c r="CK49" s="15">
        <v>0.88</v>
      </c>
    </row>
    <row r="50" spans="1:89" s="15" customFormat="1" x14ac:dyDescent="0.2">
      <c r="A50" s="15" t="s">
        <v>7462</v>
      </c>
      <c r="B50" s="15" t="s">
        <v>1029</v>
      </c>
      <c r="D50" s="15" t="s">
        <v>7251</v>
      </c>
      <c r="E50" s="15" t="s">
        <v>11</v>
      </c>
      <c r="F50" s="15" t="s">
        <v>7274</v>
      </c>
      <c r="J50" s="15" t="s">
        <v>7320</v>
      </c>
      <c r="K50" s="18">
        <v>2008</v>
      </c>
      <c r="L50" s="18" t="s">
        <v>7321</v>
      </c>
      <c r="M50" s="18" t="s">
        <v>7277</v>
      </c>
      <c r="N50" s="18">
        <v>1.1000000000000001</v>
      </c>
      <c r="BQ50" s="15">
        <v>0.2</v>
      </c>
      <c r="BR50" s="15">
        <v>0.87</v>
      </c>
      <c r="BT50" s="15">
        <v>4</v>
      </c>
      <c r="BX50" s="15">
        <v>20</v>
      </c>
      <c r="BY50" s="15">
        <v>1.8</v>
      </c>
      <c r="CE50" s="15">
        <v>0.6</v>
      </c>
      <c r="CK50" s="15">
        <v>0.5</v>
      </c>
    </row>
    <row r="51" spans="1:89" s="15" customFormat="1" x14ac:dyDescent="0.2">
      <c r="A51" s="15" t="s">
        <v>7463</v>
      </c>
      <c r="B51" s="15" t="s">
        <v>7228</v>
      </c>
      <c r="D51" s="15" t="s">
        <v>7646</v>
      </c>
      <c r="E51" s="15" t="s">
        <v>7</v>
      </c>
      <c r="F51" s="15" t="s">
        <v>7274</v>
      </c>
      <c r="H51" s="15" t="s">
        <v>7628</v>
      </c>
      <c r="J51" s="15" t="s">
        <v>7320</v>
      </c>
      <c r="K51" s="18">
        <v>2008</v>
      </c>
      <c r="L51" s="18" t="s">
        <v>7321</v>
      </c>
      <c r="M51" s="18" t="s">
        <v>7277</v>
      </c>
      <c r="N51" s="18">
        <v>1.1000000000000001</v>
      </c>
      <c r="BQ51" s="15">
        <v>7.6999999999999999E-2</v>
      </c>
      <c r="BR51" s="15">
        <v>0.19</v>
      </c>
      <c r="BT51" s="15">
        <v>1.2</v>
      </c>
      <c r="BY51" s="15">
        <v>1.5</v>
      </c>
      <c r="CE51" s="15" t="s">
        <v>7358</v>
      </c>
    </row>
    <row r="52" spans="1:89" s="15" customFormat="1" x14ac:dyDescent="0.2">
      <c r="A52" s="15" t="s">
        <v>7464</v>
      </c>
      <c r="B52" s="15" t="s">
        <v>7229</v>
      </c>
      <c r="D52" s="15" t="s">
        <v>7647</v>
      </c>
      <c r="E52" s="15" t="s">
        <v>7</v>
      </c>
      <c r="F52" s="15" t="s">
        <v>7274</v>
      </c>
      <c r="H52" s="15" t="s">
        <v>7628</v>
      </c>
      <c r="J52" s="15" t="s">
        <v>7320</v>
      </c>
      <c r="K52" s="18">
        <v>2008</v>
      </c>
      <c r="L52" s="18" t="s">
        <v>7321</v>
      </c>
      <c r="M52" s="18" t="s">
        <v>7277</v>
      </c>
      <c r="N52" s="18">
        <v>1.1000000000000001</v>
      </c>
      <c r="BQ52" s="15">
        <v>0.21</v>
      </c>
      <c r="BR52" s="15">
        <v>0.38</v>
      </c>
      <c r="BT52" s="15">
        <v>0.9</v>
      </c>
      <c r="BX52" s="15">
        <v>20</v>
      </c>
      <c r="BY52" s="15">
        <v>1.7</v>
      </c>
      <c r="CE52" s="15">
        <v>1.6</v>
      </c>
      <c r="CK52" s="15">
        <v>0.22</v>
      </c>
    </row>
    <row r="53" spans="1:89" s="15" customFormat="1" x14ac:dyDescent="0.2">
      <c r="A53" s="15" t="s">
        <v>7465</v>
      </c>
      <c r="B53" s="15" t="s">
        <v>7228</v>
      </c>
      <c r="D53" s="15" t="s">
        <v>7648</v>
      </c>
      <c r="E53" s="15" t="s">
        <v>7</v>
      </c>
      <c r="F53" s="15" t="s">
        <v>7274</v>
      </c>
      <c r="H53" s="15" t="s">
        <v>7628</v>
      </c>
      <c r="J53" s="15" t="s">
        <v>7320</v>
      </c>
      <c r="K53" s="18">
        <v>2008</v>
      </c>
      <c r="L53" s="18" t="s">
        <v>7321</v>
      </c>
      <c r="M53" s="18" t="s">
        <v>7277</v>
      </c>
      <c r="N53" s="18">
        <v>1.1000000000000001</v>
      </c>
      <c r="BQ53" s="15">
        <v>0.12</v>
      </c>
      <c r="BR53" s="15">
        <v>0.18</v>
      </c>
      <c r="BT53" s="15">
        <v>1</v>
      </c>
      <c r="BX53" s="15" t="s">
        <v>7359</v>
      </c>
      <c r="BY53" s="15">
        <v>1.7</v>
      </c>
      <c r="CE53" s="15">
        <v>0.6</v>
      </c>
      <c r="CK53" s="15">
        <v>0.42</v>
      </c>
    </row>
    <row r="54" spans="1:89" s="15" customFormat="1" x14ac:dyDescent="0.2">
      <c r="A54" s="15" t="s">
        <v>7466</v>
      </c>
      <c r="B54" s="15" t="s">
        <v>7228</v>
      </c>
      <c r="D54" s="15" t="s">
        <v>7629</v>
      </c>
      <c r="E54" s="15" t="s">
        <v>7</v>
      </c>
      <c r="F54" s="15" t="s">
        <v>7274</v>
      </c>
      <c r="H54" s="15" t="s">
        <v>7628</v>
      </c>
      <c r="J54" s="15" t="s">
        <v>7320</v>
      </c>
      <c r="K54" s="18">
        <v>2008</v>
      </c>
      <c r="L54" s="18" t="s">
        <v>7321</v>
      </c>
      <c r="M54" s="18" t="s">
        <v>7277</v>
      </c>
      <c r="N54" s="18">
        <v>1.1000000000000001</v>
      </c>
      <c r="BQ54" s="15">
        <v>9.9000000000000005E-2</v>
      </c>
      <c r="BR54" s="15">
        <v>0.13</v>
      </c>
      <c r="BT54" s="15">
        <v>1.1000000000000001</v>
      </c>
      <c r="BX54" s="15">
        <v>20</v>
      </c>
      <c r="BY54" s="15">
        <v>1.8</v>
      </c>
      <c r="CE54" s="15" t="s">
        <v>7358</v>
      </c>
      <c r="CK54" s="15">
        <v>0.55000000000000004</v>
      </c>
    </row>
    <row r="55" spans="1:89" s="15" customFormat="1" x14ac:dyDescent="0.2">
      <c r="A55" s="15" t="s">
        <v>7467</v>
      </c>
      <c r="D55" s="15" t="s">
        <v>7252</v>
      </c>
      <c r="E55" s="15" t="s">
        <v>11</v>
      </c>
      <c r="F55" s="15" t="s">
        <v>7274</v>
      </c>
      <c r="H55" s="15" t="s">
        <v>7322</v>
      </c>
      <c r="J55" s="15" t="s">
        <v>7320</v>
      </c>
      <c r="K55" s="18">
        <v>2008</v>
      </c>
      <c r="L55" s="18" t="s">
        <v>7321</v>
      </c>
      <c r="M55" s="18" t="s">
        <v>7277</v>
      </c>
      <c r="N55" s="18">
        <v>1.1000000000000001</v>
      </c>
      <c r="BQ55" s="15">
        <v>0.16</v>
      </c>
      <c r="BR55" s="15">
        <v>0.28999999999999998</v>
      </c>
      <c r="BT55" s="15">
        <v>0.8</v>
      </c>
      <c r="BX55" s="15" t="s">
        <v>7359</v>
      </c>
      <c r="BY55" s="15">
        <v>0.88</v>
      </c>
      <c r="CE55" s="15">
        <v>0.3</v>
      </c>
      <c r="CK55" s="15">
        <v>0.05</v>
      </c>
    </row>
    <row r="56" spans="1:89" s="15" customFormat="1" x14ac:dyDescent="0.2">
      <c r="A56" s="15" t="s">
        <v>7468</v>
      </c>
      <c r="D56" s="15" t="s">
        <v>7252</v>
      </c>
      <c r="E56" s="15" t="s">
        <v>11</v>
      </c>
      <c r="F56" s="15" t="s">
        <v>7274</v>
      </c>
      <c r="H56" s="15" t="s">
        <v>7322</v>
      </c>
      <c r="J56" s="15" t="s">
        <v>7320</v>
      </c>
      <c r="K56" s="18">
        <v>2008</v>
      </c>
      <c r="L56" s="18" t="s">
        <v>7321</v>
      </c>
      <c r="M56" s="18" t="s">
        <v>7277</v>
      </c>
      <c r="N56" s="18">
        <v>1.1000000000000001</v>
      </c>
      <c r="BQ56" s="15">
        <v>0.28000000000000003</v>
      </c>
      <c r="BR56" s="15">
        <v>0.41</v>
      </c>
      <c r="BT56" s="15">
        <v>0.7</v>
      </c>
      <c r="BX56" s="15">
        <v>20</v>
      </c>
      <c r="BY56" s="15">
        <v>0.66</v>
      </c>
      <c r="CE56" s="15">
        <v>1.2</v>
      </c>
      <c r="CK56" s="15">
        <v>0.56999999999999995</v>
      </c>
    </row>
    <row r="57" spans="1:89" s="15" customFormat="1" x14ac:dyDescent="0.2">
      <c r="A57" s="15" t="s">
        <v>7469</v>
      </c>
      <c r="B57" s="15" t="s">
        <v>1029</v>
      </c>
      <c r="D57" s="15" t="s">
        <v>7252</v>
      </c>
      <c r="E57" s="15" t="s">
        <v>11</v>
      </c>
      <c r="F57" s="15" t="s">
        <v>7274</v>
      </c>
      <c r="H57" s="15" t="s">
        <v>7322</v>
      </c>
      <c r="J57" s="15" t="s">
        <v>7320</v>
      </c>
      <c r="K57" s="18">
        <v>2008</v>
      </c>
      <c r="L57" s="18" t="s">
        <v>7321</v>
      </c>
      <c r="M57" s="18" t="s">
        <v>7277</v>
      </c>
      <c r="N57" s="18">
        <v>1.1000000000000001</v>
      </c>
      <c r="BQ57" s="15">
        <v>0.21</v>
      </c>
      <c r="BR57" s="15">
        <v>0.52</v>
      </c>
      <c r="BT57" s="15">
        <v>1.3</v>
      </c>
      <c r="BX57" s="15">
        <v>20</v>
      </c>
      <c r="BY57" s="15">
        <v>1.2</v>
      </c>
      <c r="CE57" s="15">
        <v>0.9</v>
      </c>
      <c r="CK57" s="15">
        <v>0.48</v>
      </c>
    </row>
    <row r="58" spans="1:89" s="15" customFormat="1" x14ac:dyDescent="0.2">
      <c r="A58" s="15" t="s">
        <v>7470</v>
      </c>
      <c r="B58" s="15" t="s">
        <v>2954</v>
      </c>
      <c r="D58" s="15" t="s">
        <v>7253</v>
      </c>
      <c r="E58" s="15" t="s">
        <v>11</v>
      </c>
      <c r="F58" s="15" t="s">
        <v>7274</v>
      </c>
      <c r="H58" s="15" t="s">
        <v>7322</v>
      </c>
      <c r="J58" s="15" t="s">
        <v>7320</v>
      </c>
      <c r="K58" s="18">
        <v>2008</v>
      </c>
      <c r="L58" s="18" t="s">
        <v>7321</v>
      </c>
      <c r="M58" s="18" t="s">
        <v>7277</v>
      </c>
      <c r="N58" s="18">
        <v>1.1000000000000001</v>
      </c>
      <c r="BQ58" s="15">
        <v>0.15</v>
      </c>
      <c r="BR58" s="15">
        <v>0.22</v>
      </c>
      <c r="BT58" s="15">
        <v>0.78</v>
      </c>
      <c r="BX58" s="15" t="s">
        <v>7359</v>
      </c>
      <c r="BY58" s="15">
        <v>0.95</v>
      </c>
      <c r="CE58" s="15">
        <v>0.4</v>
      </c>
      <c r="CK58" s="15">
        <v>0.15</v>
      </c>
    </row>
    <row r="59" spans="1:89" s="15" customFormat="1" x14ac:dyDescent="0.2">
      <c r="A59" s="15" t="s">
        <v>7471</v>
      </c>
      <c r="B59" s="15" t="s">
        <v>7230</v>
      </c>
      <c r="D59" s="15" t="s">
        <v>7253</v>
      </c>
      <c r="E59" s="15" t="s">
        <v>11</v>
      </c>
      <c r="F59" s="15" t="s">
        <v>7274</v>
      </c>
      <c r="H59" s="15" t="s">
        <v>7322</v>
      </c>
      <c r="J59" s="15" t="s">
        <v>7320</v>
      </c>
      <c r="K59" s="18">
        <v>2008</v>
      </c>
      <c r="L59" s="18" t="s">
        <v>7321</v>
      </c>
      <c r="M59" s="18" t="s">
        <v>7277</v>
      </c>
      <c r="N59" s="18">
        <v>1.1000000000000001</v>
      </c>
      <c r="BQ59" s="15">
        <v>0.17</v>
      </c>
      <c r="BR59" s="15">
        <v>0.23</v>
      </c>
      <c r="BT59" s="15">
        <v>1.2</v>
      </c>
      <c r="BX59" s="15" t="s">
        <v>7359</v>
      </c>
      <c r="BY59" s="15">
        <v>1</v>
      </c>
      <c r="CE59" s="15">
        <v>0.3</v>
      </c>
      <c r="CK59" s="15">
        <v>0.11</v>
      </c>
    </row>
    <row r="60" spans="1:89" s="15" customFormat="1" x14ac:dyDescent="0.2">
      <c r="A60" s="15" t="s">
        <v>7472</v>
      </c>
      <c r="D60" s="15" t="s">
        <v>7254</v>
      </c>
      <c r="E60" s="15" t="s">
        <v>11</v>
      </c>
      <c r="F60" s="15" t="s">
        <v>7274</v>
      </c>
      <c r="H60" s="15" t="s">
        <v>7322</v>
      </c>
      <c r="J60" s="15" t="s">
        <v>7320</v>
      </c>
      <c r="K60" s="18">
        <v>2008</v>
      </c>
      <c r="L60" s="18" t="s">
        <v>7321</v>
      </c>
      <c r="M60" s="18" t="s">
        <v>7277</v>
      </c>
      <c r="N60" s="18">
        <v>1.1000000000000001</v>
      </c>
      <c r="BQ60" s="15">
        <v>0.39</v>
      </c>
      <c r="BR60" s="15">
        <v>0.67</v>
      </c>
      <c r="BT60" s="15">
        <v>0.94</v>
      </c>
      <c r="BX60" s="15" t="s">
        <v>7359</v>
      </c>
      <c r="BY60" s="15">
        <v>1.8</v>
      </c>
      <c r="CE60" s="15">
        <v>1</v>
      </c>
      <c r="CK60" s="15">
        <v>6.9000000000000006E-2</v>
      </c>
    </row>
    <row r="61" spans="1:89" s="15" customFormat="1" x14ac:dyDescent="0.2">
      <c r="A61" s="15" t="s">
        <v>7473</v>
      </c>
      <c r="B61" s="15" t="s">
        <v>1029</v>
      </c>
      <c r="D61" s="15" t="s">
        <v>7254</v>
      </c>
      <c r="E61" s="15" t="s">
        <v>11</v>
      </c>
      <c r="F61" s="15" t="s">
        <v>7274</v>
      </c>
      <c r="H61" s="15" t="s">
        <v>7322</v>
      </c>
      <c r="J61" s="15" t="s">
        <v>7320</v>
      </c>
      <c r="K61" s="18">
        <v>2008</v>
      </c>
      <c r="L61" s="18" t="s">
        <v>7321</v>
      </c>
      <c r="M61" s="18" t="s">
        <v>7277</v>
      </c>
      <c r="N61" s="18">
        <v>1.1000000000000001</v>
      </c>
      <c r="BQ61" s="15">
        <v>0.28999999999999998</v>
      </c>
      <c r="BR61" s="15">
        <v>0.92</v>
      </c>
      <c r="BT61" s="15">
        <v>2</v>
      </c>
      <c r="BX61" s="15">
        <v>30</v>
      </c>
      <c r="BY61" s="15">
        <v>2</v>
      </c>
      <c r="CE61" s="15">
        <v>1.5</v>
      </c>
      <c r="CK61" s="15">
        <v>0.54</v>
      </c>
    </row>
    <row r="62" spans="1:89" s="15" customFormat="1" x14ac:dyDescent="0.2">
      <c r="A62" s="15" t="s">
        <v>7474</v>
      </c>
      <c r="B62" s="15" t="s">
        <v>7231</v>
      </c>
      <c r="D62" s="15" t="s">
        <v>7255</v>
      </c>
      <c r="E62" s="15" t="s">
        <v>7</v>
      </c>
      <c r="F62" s="15" t="s">
        <v>7275</v>
      </c>
      <c r="J62" s="15" t="s">
        <v>7320</v>
      </c>
      <c r="K62" s="18">
        <v>2008</v>
      </c>
      <c r="L62" s="18" t="s">
        <v>7321</v>
      </c>
      <c r="M62" s="18" t="s">
        <v>7277</v>
      </c>
      <c r="N62" s="18">
        <v>1.1000000000000001</v>
      </c>
      <c r="BQ62" s="15">
        <v>0.16</v>
      </c>
      <c r="BR62" s="15">
        <v>0.1</v>
      </c>
      <c r="BT62" s="15">
        <v>3.9</v>
      </c>
      <c r="BX62" s="15" t="s">
        <v>7359</v>
      </c>
      <c r="BY62" s="15">
        <v>1.9</v>
      </c>
      <c r="CE62" s="15">
        <v>0.4</v>
      </c>
      <c r="CK62" s="15">
        <v>0.12</v>
      </c>
    </row>
    <row r="63" spans="1:89" s="15" customFormat="1" x14ac:dyDescent="0.2">
      <c r="A63" s="15" t="s">
        <v>7475</v>
      </c>
      <c r="D63" s="15" t="s">
        <v>7630</v>
      </c>
      <c r="E63" s="15" t="s">
        <v>11</v>
      </c>
      <c r="F63" s="15" t="s">
        <v>7275</v>
      </c>
      <c r="H63" s="15" t="s">
        <v>7628</v>
      </c>
      <c r="J63" s="15" t="s">
        <v>7320</v>
      </c>
      <c r="K63" s="18">
        <v>2008</v>
      </c>
      <c r="L63" s="18" t="s">
        <v>7321</v>
      </c>
      <c r="M63" s="18" t="s">
        <v>7277</v>
      </c>
      <c r="N63" s="18">
        <v>1.1000000000000001</v>
      </c>
      <c r="BQ63" s="15">
        <v>0.16</v>
      </c>
      <c r="BR63" s="15">
        <v>0.16</v>
      </c>
      <c r="BT63" s="15">
        <v>0.81</v>
      </c>
      <c r="BX63" s="15" t="s">
        <v>7359</v>
      </c>
      <c r="BY63" s="15">
        <v>1.6</v>
      </c>
      <c r="CE63" s="15" t="s">
        <v>7358</v>
      </c>
      <c r="CK63" s="15">
        <v>6.2E-2</v>
      </c>
    </row>
    <row r="64" spans="1:89" s="15" customFormat="1" x14ac:dyDescent="0.2">
      <c r="A64" s="15" t="s">
        <v>7476</v>
      </c>
      <c r="D64" s="15" t="s">
        <v>7630</v>
      </c>
      <c r="E64" s="15" t="s">
        <v>11</v>
      </c>
      <c r="F64" s="15" t="s">
        <v>7275</v>
      </c>
      <c r="H64" s="15" t="s">
        <v>7628</v>
      </c>
      <c r="J64" s="15" t="s">
        <v>7320</v>
      </c>
      <c r="K64" s="18">
        <v>2008</v>
      </c>
      <c r="L64" s="18" t="s">
        <v>7321</v>
      </c>
      <c r="M64" s="18" t="s">
        <v>7277</v>
      </c>
      <c r="N64" s="18">
        <v>1.1000000000000001</v>
      </c>
      <c r="BQ64" s="15">
        <v>0.2</v>
      </c>
      <c r="BR64" s="15">
        <v>0.26</v>
      </c>
      <c r="BT64" s="15">
        <v>1.5</v>
      </c>
      <c r="BX64" s="15" t="s">
        <v>7359</v>
      </c>
      <c r="BY64" s="15">
        <v>1.8</v>
      </c>
      <c r="CE64" s="15">
        <v>0.5</v>
      </c>
      <c r="CK64" s="15">
        <v>0.11</v>
      </c>
    </row>
    <row r="65" spans="1:243" s="15" customFormat="1" x14ac:dyDescent="0.2">
      <c r="A65" s="15" t="s">
        <v>7477</v>
      </c>
      <c r="B65" s="15" t="s">
        <v>1029</v>
      </c>
      <c r="D65" s="15" t="s">
        <v>7630</v>
      </c>
      <c r="E65" s="15" t="s">
        <v>11</v>
      </c>
      <c r="F65" s="15" t="s">
        <v>7275</v>
      </c>
      <c r="H65" s="15" t="s">
        <v>7628</v>
      </c>
      <c r="J65" s="15" t="s">
        <v>7320</v>
      </c>
      <c r="K65" s="18">
        <v>2008</v>
      </c>
      <c r="L65" s="18" t="s">
        <v>7321</v>
      </c>
      <c r="M65" s="18" t="s">
        <v>7277</v>
      </c>
      <c r="N65" s="18">
        <v>1.1000000000000001</v>
      </c>
      <c r="BQ65" s="15">
        <v>0.19</v>
      </c>
      <c r="BR65" s="15">
        <v>0.33</v>
      </c>
      <c r="BT65" s="15">
        <v>1.6</v>
      </c>
      <c r="BX65" s="15" t="s">
        <v>7359</v>
      </c>
      <c r="BY65" s="15">
        <v>1.2</v>
      </c>
      <c r="CE65" s="15" t="s">
        <v>7358</v>
      </c>
      <c r="CK65" s="15">
        <v>7.6999999999999999E-2</v>
      </c>
    </row>
    <row r="66" spans="1:243" s="15" customFormat="1" x14ac:dyDescent="0.2">
      <c r="A66" s="15" t="s">
        <v>7478</v>
      </c>
      <c r="B66" s="15" t="s">
        <v>2954</v>
      </c>
      <c r="D66" s="15" t="s">
        <v>7631</v>
      </c>
      <c r="E66" s="15" t="s">
        <v>7</v>
      </c>
      <c r="F66" s="15" t="s">
        <v>7275</v>
      </c>
      <c r="H66" s="15" t="s">
        <v>7628</v>
      </c>
      <c r="J66" s="15" t="s">
        <v>7320</v>
      </c>
      <c r="K66" s="18">
        <v>2008</v>
      </c>
      <c r="L66" s="18" t="s">
        <v>7321</v>
      </c>
      <c r="M66" s="18" t="s">
        <v>7277</v>
      </c>
      <c r="N66" s="18">
        <v>1.1000000000000001</v>
      </c>
      <c r="BQ66" s="15">
        <v>0.11</v>
      </c>
      <c r="BR66" s="15">
        <v>0.12</v>
      </c>
      <c r="BT66" s="15">
        <v>0.73</v>
      </c>
      <c r="BX66" s="15" t="s">
        <v>7359</v>
      </c>
      <c r="BY66" s="15">
        <v>1.2</v>
      </c>
      <c r="CE66" s="15" t="s">
        <v>7358</v>
      </c>
      <c r="CK66" s="15">
        <v>3.7999999999999999E-2</v>
      </c>
    </row>
    <row r="67" spans="1:243" s="15" customFormat="1" x14ac:dyDescent="0.2">
      <c r="A67" s="15" t="s">
        <v>7479</v>
      </c>
      <c r="D67" s="15" t="s">
        <v>7256</v>
      </c>
      <c r="E67" s="15" t="s">
        <v>11</v>
      </c>
      <c r="F67" s="15" t="s">
        <v>7275</v>
      </c>
      <c r="J67" s="15" t="s">
        <v>7320</v>
      </c>
      <c r="K67" s="18">
        <v>2008</v>
      </c>
      <c r="L67" s="18" t="s">
        <v>7321</v>
      </c>
      <c r="M67" s="18" t="s">
        <v>7277</v>
      </c>
      <c r="N67" s="18">
        <v>1.1000000000000001</v>
      </c>
      <c r="BQ67" s="15">
        <v>0.17</v>
      </c>
      <c r="BR67" s="15">
        <v>0.3</v>
      </c>
      <c r="BT67" s="15">
        <v>0.77</v>
      </c>
      <c r="BX67" s="15" t="s">
        <v>7359</v>
      </c>
      <c r="BY67" s="15">
        <v>1.1000000000000001</v>
      </c>
      <c r="CE67" s="15" t="s">
        <v>7358</v>
      </c>
      <c r="CK67" s="15">
        <v>8.5000000000000006E-2</v>
      </c>
    </row>
    <row r="68" spans="1:243" s="15" customFormat="1" x14ac:dyDescent="0.2">
      <c r="A68" s="15" t="s">
        <v>7480</v>
      </c>
      <c r="B68" s="15" t="s">
        <v>7232</v>
      </c>
      <c r="D68" s="15" t="s">
        <v>7257</v>
      </c>
      <c r="E68" s="15" t="s">
        <v>7</v>
      </c>
      <c r="I68" s="15">
        <v>2</v>
      </c>
      <c r="J68" s="15" t="s">
        <v>7698</v>
      </c>
      <c r="K68" s="18">
        <v>2010</v>
      </c>
      <c r="L68" s="18" t="s">
        <v>7323</v>
      </c>
      <c r="M68" s="18" t="s">
        <v>7288</v>
      </c>
      <c r="N68" s="18" t="s">
        <v>7945</v>
      </c>
      <c r="U68" s="15">
        <v>10.6</v>
      </c>
      <c r="W68" s="15">
        <v>6.25</v>
      </c>
      <c r="AB68" s="15">
        <v>8.8000000000000007</v>
      </c>
      <c r="AZ68" s="15">
        <v>71.84</v>
      </c>
      <c r="BF68" s="15">
        <v>4.58</v>
      </c>
      <c r="BG68" s="15">
        <v>4.32</v>
      </c>
      <c r="BH68" s="15">
        <v>0.25</v>
      </c>
      <c r="BO68" s="15">
        <v>17.3</v>
      </c>
      <c r="BR68" s="15">
        <v>1</v>
      </c>
      <c r="HG68" s="18">
        <v>187</v>
      </c>
      <c r="IH68" s="15">
        <v>6</v>
      </c>
      <c r="II68" s="15">
        <v>13.41</v>
      </c>
    </row>
    <row r="69" spans="1:243" s="15" customFormat="1" x14ac:dyDescent="0.2">
      <c r="A69" s="15" t="s">
        <v>7481</v>
      </c>
      <c r="B69" s="15" t="s">
        <v>7232</v>
      </c>
      <c r="D69" s="15" t="s">
        <v>7240</v>
      </c>
      <c r="E69" s="15" t="s">
        <v>7</v>
      </c>
      <c r="I69" s="15">
        <v>2</v>
      </c>
      <c r="J69" s="15" t="s">
        <v>7698</v>
      </c>
      <c r="K69" s="18">
        <v>2010</v>
      </c>
      <c r="L69" s="18" t="s">
        <v>7323</v>
      </c>
      <c r="M69" s="18" t="s">
        <v>7288</v>
      </c>
      <c r="N69" s="18" t="s">
        <v>7945</v>
      </c>
      <c r="U69" s="15">
        <v>9.8000000000000007</v>
      </c>
      <c r="W69" s="15">
        <v>6.25</v>
      </c>
      <c r="AB69" s="15">
        <v>14.82</v>
      </c>
      <c r="AZ69" s="15">
        <v>20.83</v>
      </c>
      <c r="BF69" s="15">
        <v>38.200000000000003</v>
      </c>
      <c r="BG69" s="15">
        <v>33.6</v>
      </c>
      <c r="BH69" s="15">
        <v>4.5999999999999996</v>
      </c>
      <c r="BO69" s="15">
        <v>63.32</v>
      </c>
      <c r="BR69" s="15">
        <v>21.65</v>
      </c>
      <c r="HG69" s="18">
        <v>655</v>
      </c>
      <c r="IH69" s="15">
        <v>360</v>
      </c>
      <c r="II69" s="15">
        <v>20.74</v>
      </c>
    </row>
    <row r="70" spans="1:243" s="15" customFormat="1" x14ac:dyDescent="0.2">
      <c r="A70" s="15" t="s">
        <v>7482</v>
      </c>
      <c r="B70" s="15" t="s">
        <v>7233</v>
      </c>
      <c r="D70" s="15" t="s">
        <v>7258</v>
      </c>
      <c r="E70" s="15" t="s">
        <v>7</v>
      </c>
      <c r="F70" s="15" t="s">
        <v>6190</v>
      </c>
      <c r="H70" s="15" t="s">
        <v>7649</v>
      </c>
      <c r="I70" s="15">
        <v>36</v>
      </c>
      <c r="J70" s="15" t="s">
        <v>7324</v>
      </c>
      <c r="K70" s="18">
        <v>2012</v>
      </c>
      <c r="L70" s="18" t="s">
        <v>7325</v>
      </c>
      <c r="M70" s="18" t="s">
        <v>7277</v>
      </c>
      <c r="N70" s="18">
        <v>1.1000000000000001</v>
      </c>
      <c r="R70" s="15">
        <v>350</v>
      </c>
      <c r="U70" s="15">
        <v>12.2</v>
      </c>
      <c r="AB70" s="15">
        <v>6.9</v>
      </c>
      <c r="AE70" s="15">
        <v>0.26</v>
      </c>
      <c r="AM70" s="15">
        <v>80</v>
      </c>
      <c r="BF70" s="15">
        <v>0.11</v>
      </c>
      <c r="BM70" s="15">
        <v>0.5</v>
      </c>
      <c r="BO70" s="15">
        <v>6.3</v>
      </c>
      <c r="BR70" s="15">
        <v>2.2999999999999998</v>
      </c>
      <c r="BT70" s="15">
        <v>1.2</v>
      </c>
      <c r="BU70" s="15">
        <v>27.6</v>
      </c>
      <c r="BW70" s="15">
        <v>107.4</v>
      </c>
      <c r="CC70" s="15">
        <v>2</v>
      </c>
      <c r="CE70" s="15">
        <v>29</v>
      </c>
      <c r="CJ70" s="15">
        <v>40</v>
      </c>
    </row>
    <row r="71" spans="1:243" s="15" customFormat="1" x14ac:dyDescent="0.2">
      <c r="A71" s="15" t="s">
        <v>7483</v>
      </c>
      <c r="B71" s="15" t="s">
        <v>7233</v>
      </c>
      <c r="D71" s="15" t="s">
        <v>7258</v>
      </c>
      <c r="E71" s="15" t="s">
        <v>7</v>
      </c>
      <c r="F71" s="15" t="s">
        <v>6190</v>
      </c>
      <c r="H71" s="15" t="s">
        <v>7650</v>
      </c>
      <c r="I71" s="15">
        <v>36</v>
      </c>
      <c r="J71" s="15" t="s">
        <v>7324</v>
      </c>
      <c r="K71" s="18">
        <v>2012</v>
      </c>
      <c r="L71" s="18" t="s">
        <v>7325</v>
      </c>
      <c r="M71" s="18" t="s">
        <v>7277</v>
      </c>
      <c r="N71" s="18">
        <v>1.1000000000000001</v>
      </c>
      <c r="R71" s="15">
        <v>352</v>
      </c>
      <c r="U71" s="15">
        <v>11.9</v>
      </c>
      <c r="AB71" s="15">
        <v>7</v>
      </c>
      <c r="AE71" s="15">
        <v>0.35</v>
      </c>
      <c r="AM71" s="15">
        <v>80.099999999999994</v>
      </c>
      <c r="BF71" s="15">
        <v>0.11</v>
      </c>
      <c r="BM71" s="15">
        <v>0.54</v>
      </c>
      <c r="BO71" s="15">
        <v>6</v>
      </c>
      <c r="BR71" s="15">
        <v>5.3</v>
      </c>
      <c r="BT71" s="15">
        <v>1.2</v>
      </c>
      <c r="BU71" s="15">
        <v>27.6</v>
      </c>
      <c r="BW71" s="15">
        <v>102.6</v>
      </c>
      <c r="CC71" s="15">
        <v>5</v>
      </c>
      <c r="CE71" s="15">
        <v>26</v>
      </c>
      <c r="CJ71" s="15">
        <v>14</v>
      </c>
    </row>
    <row r="72" spans="1:243" s="15" customFormat="1" x14ac:dyDescent="0.2">
      <c r="A72" s="15" t="s">
        <v>7484</v>
      </c>
      <c r="B72" s="15" t="s">
        <v>7234</v>
      </c>
      <c r="D72" s="15" t="s">
        <v>7258</v>
      </c>
      <c r="E72" s="15" t="s">
        <v>7</v>
      </c>
      <c r="F72" s="15" t="s">
        <v>6190</v>
      </c>
      <c r="H72" s="15" t="s">
        <v>7649</v>
      </c>
      <c r="I72" s="15">
        <v>36</v>
      </c>
      <c r="J72" s="15" t="s">
        <v>7324</v>
      </c>
      <c r="K72" s="18">
        <v>2012</v>
      </c>
      <c r="L72" s="18" t="s">
        <v>7325</v>
      </c>
      <c r="M72" s="18" t="s">
        <v>7277</v>
      </c>
      <c r="N72" s="18">
        <v>1.1000000000000001</v>
      </c>
      <c r="R72" s="15">
        <v>359</v>
      </c>
      <c r="U72" s="15">
        <v>10.199999999999999</v>
      </c>
      <c r="AB72" s="15">
        <v>9.9</v>
      </c>
      <c r="AE72" s="15">
        <v>0.4</v>
      </c>
      <c r="AM72" s="15">
        <v>78.900000000000006</v>
      </c>
      <c r="BF72" s="15">
        <v>0.1</v>
      </c>
      <c r="BM72" s="15">
        <v>0.53</v>
      </c>
      <c r="BO72" s="15">
        <v>10.4</v>
      </c>
      <c r="BR72" s="15">
        <v>1.1000000000000001</v>
      </c>
      <c r="BT72" s="15">
        <v>1.1000000000000001</v>
      </c>
      <c r="BU72" s="15">
        <v>25.3</v>
      </c>
      <c r="BW72" s="15">
        <v>155.6</v>
      </c>
      <c r="CC72" s="15">
        <v>4</v>
      </c>
      <c r="CE72" s="15">
        <v>21</v>
      </c>
      <c r="CJ72" s="15">
        <v>27</v>
      </c>
    </row>
    <row r="73" spans="1:243" s="15" customFormat="1" x14ac:dyDescent="0.2">
      <c r="A73" s="15" t="s">
        <v>7485</v>
      </c>
      <c r="B73" s="15" t="s">
        <v>7234</v>
      </c>
      <c r="D73" s="15" t="s">
        <v>7258</v>
      </c>
      <c r="E73" s="15" t="s">
        <v>7</v>
      </c>
      <c r="F73" s="15" t="s">
        <v>6190</v>
      </c>
      <c r="H73" s="15" t="s">
        <v>7650</v>
      </c>
      <c r="I73" s="15">
        <v>36</v>
      </c>
      <c r="J73" s="15" t="s">
        <v>7324</v>
      </c>
      <c r="K73" s="18">
        <v>2012</v>
      </c>
      <c r="L73" s="18" t="s">
        <v>7325</v>
      </c>
      <c r="M73" s="18" t="s">
        <v>7277</v>
      </c>
      <c r="N73" s="18">
        <v>1.1000000000000001</v>
      </c>
      <c r="R73" s="15">
        <v>361</v>
      </c>
      <c r="U73" s="15">
        <v>9.8000000000000007</v>
      </c>
      <c r="AB73" s="15">
        <v>10</v>
      </c>
      <c r="AE73" s="15">
        <v>0.54</v>
      </c>
      <c r="AM73" s="15">
        <v>79</v>
      </c>
      <c r="BF73" s="15">
        <v>0.11</v>
      </c>
      <c r="BM73" s="15">
        <v>0.51</v>
      </c>
      <c r="BO73" s="15">
        <v>9.3000000000000007</v>
      </c>
      <c r="BR73" s="15">
        <v>1.7</v>
      </c>
      <c r="BT73" s="15">
        <v>1.1000000000000001</v>
      </c>
      <c r="BU73" s="15">
        <v>28.6</v>
      </c>
      <c r="BW73" s="15">
        <v>117.4</v>
      </c>
      <c r="CC73" s="15">
        <v>1</v>
      </c>
      <c r="CE73" s="15">
        <v>20</v>
      </c>
      <c r="CJ73" s="15">
        <v>19</v>
      </c>
    </row>
    <row r="74" spans="1:243" s="15" customFormat="1" x14ac:dyDescent="0.2">
      <c r="A74" s="15" t="s">
        <v>7486</v>
      </c>
      <c r="B74" s="15" t="s">
        <v>7235</v>
      </c>
      <c r="D74" s="15" t="s">
        <v>7259</v>
      </c>
      <c r="E74" s="15" t="s">
        <v>7</v>
      </c>
      <c r="F74" s="15" t="s">
        <v>6190</v>
      </c>
      <c r="H74" s="15" t="s">
        <v>7326</v>
      </c>
      <c r="J74" s="15" t="s">
        <v>7327</v>
      </c>
      <c r="K74" s="18">
        <v>2008</v>
      </c>
      <c r="L74" s="18" t="s">
        <v>7328</v>
      </c>
      <c r="M74" s="18" t="s">
        <v>7277</v>
      </c>
      <c r="N74" s="18">
        <v>1.1000000000000001</v>
      </c>
      <c r="U74" s="15">
        <v>12</v>
      </c>
      <c r="V74" s="15">
        <f t="shared" ref="V74:V80" si="7">100-U74</f>
        <v>88</v>
      </c>
      <c r="BO74" s="15">
        <f>V74/100/10*(120.37)</f>
        <v>10.592560000000001</v>
      </c>
      <c r="BQ74" s="15">
        <f>V74/100/10*(10.11)</f>
        <v>0.88967999999999992</v>
      </c>
      <c r="BR74" s="15">
        <f>V74/100/10*(5.35)</f>
        <v>0.47079999999999994</v>
      </c>
      <c r="BS74" s="15">
        <f>V74/100/10*(795.53)</f>
        <v>70.00663999999999</v>
      </c>
      <c r="BT74" s="15">
        <f>V74/100/10*(10.57)</f>
        <v>0.93015999999999999</v>
      </c>
      <c r="BU74" s="15">
        <f>V74/100/10*(194.14)</f>
        <v>17.084319999999998</v>
      </c>
      <c r="BV74" s="15">
        <f>V74/100/10*(21.44)</f>
        <v>1.88672</v>
      </c>
      <c r="BY74" s="15">
        <f>V74/100/10*(25.77)</f>
        <v>2.26776</v>
      </c>
    </row>
    <row r="75" spans="1:243" s="15" customFormat="1" x14ac:dyDescent="0.2">
      <c r="A75" s="15" t="s">
        <v>7487</v>
      </c>
      <c r="B75" s="15" t="s">
        <v>7235</v>
      </c>
      <c r="D75" s="15" t="s">
        <v>7260</v>
      </c>
      <c r="E75" s="15" t="s">
        <v>7</v>
      </c>
      <c r="F75" s="15" t="s">
        <v>6190</v>
      </c>
      <c r="H75" s="15" t="s">
        <v>7326</v>
      </c>
      <c r="J75" s="15" t="s">
        <v>7327</v>
      </c>
      <c r="K75" s="18">
        <v>2008</v>
      </c>
      <c r="L75" s="18" t="s">
        <v>7328</v>
      </c>
      <c r="M75" s="18" t="s">
        <v>7277</v>
      </c>
      <c r="N75" s="18">
        <v>1.1000000000000001</v>
      </c>
      <c r="U75" s="15">
        <v>12</v>
      </c>
      <c r="V75" s="15">
        <f t="shared" si="7"/>
        <v>88</v>
      </c>
      <c r="BO75" s="15">
        <f>V75/100/10*(109.03)</f>
        <v>9.5946400000000001</v>
      </c>
      <c r="BQ75" s="15">
        <f>V75/100/10*(8.12)</f>
        <v>0.71455999999999986</v>
      </c>
      <c r="BR75" s="15">
        <f>V75/100/10*(5.96)</f>
        <v>0.52447999999999995</v>
      </c>
      <c r="BS75" s="15">
        <f>V75/100/10*(916.86)</f>
        <v>80.683679999999995</v>
      </c>
      <c r="BT75" s="15">
        <f>V75/100/10*(12.67)</f>
        <v>1.11496</v>
      </c>
      <c r="BU75" s="15">
        <f>V75/100/10*(202.57)</f>
        <v>17.826159999999998</v>
      </c>
      <c r="BV75" s="15">
        <f>V75/100/10*(12.93)</f>
        <v>1.13784</v>
      </c>
      <c r="BY75" s="15">
        <f>V75/100/10*(27.38)</f>
        <v>2.4094399999999996</v>
      </c>
    </row>
    <row r="76" spans="1:243" s="15" customFormat="1" x14ac:dyDescent="0.2">
      <c r="A76" s="15" t="s">
        <v>7488</v>
      </c>
      <c r="B76" s="15" t="s">
        <v>7235</v>
      </c>
      <c r="D76" s="15" t="s">
        <v>7608</v>
      </c>
      <c r="E76" s="15" t="s">
        <v>7</v>
      </c>
      <c r="F76" s="15" t="s">
        <v>6190</v>
      </c>
      <c r="H76" s="15" t="s">
        <v>7329</v>
      </c>
      <c r="J76" s="15" t="s">
        <v>7327</v>
      </c>
      <c r="K76" s="18">
        <v>2008</v>
      </c>
      <c r="L76" s="18" t="s">
        <v>7328</v>
      </c>
      <c r="M76" s="18" t="s">
        <v>7277</v>
      </c>
      <c r="N76" s="18">
        <v>1.1000000000000001</v>
      </c>
      <c r="U76" s="15">
        <v>12</v>
      </c>
      <c r="V76" s="15">
        <f t="shared" si="7"/>
        <v>88</v>
      </c>
      <c r="BO76" s="15">
        <f>V76/100/10*(204.44)</f>
        <v>17.99072</v>
      </c>
      <c r="BQ76" s="15">
        <f>V76/100/10*(10.12)</f>
        <v>0.89055999999999991</v>
      </c>
      <c r="BR76" s="15">
        <f>V76/100/10*(23.07)</f>
        <v>2.03016</v>
      </c>
      <c r="BS76" s="15">
        <f>V76/100/10*(3431.64)</f>
        <v>301.98431999999997</v>
      </c>
      <c r="BT76" s="15">
        <f>V76/100/10*(22.8)</f>
        <v>2.0063999999999997</v>
      </c>
      <c r="BU76" s="15">
        <f>V76/100/10*(1408.47)</f>
        <v>123.94535999999999</v>
      </c>
      <c r="BV76" s="15">
        <f>V76/100/10*(39.06)</f>
        <v>3.4372799999999999</v>
      </c>
      <c r="BY76" s="15">
        <f>V76/100/10*(34.69)</f>
        <v>3.0527199999999994</v>
      </c>
    </row>
    <row r="77" spans="1:243" s="15" customFormat="1" x14ac:dyDescent="0.2">
      <c r="A77" s="15" t="s">
        <v>7489</v>
      </c>
      <c r="B77" s="15" t="s">
        <v>7235</v>
      </c>
      <c r="D77" s="15" t="s">
        <v>7258</v>
      </c>
      <c r="E77" s="15" t="s">
        <v>7</v>
      </c>
      <c r="F77" s="15" t="s">
        <v>6190</v>
      </c>
      <c r="H77" s="15" t="s">
        <v>7329</v>
      </c>
      <c r="J77" s="15" t="s">
        <v>7327</v>
      </c>
      <c r="K77" s="18">
        <v>2008</v>
      </c>
      <c r="L77" s="18" t="s">
        <v>7328</v>
      </c>
      <c r="M77" s="18" t="s">
        <v>7277</v>
      </c>
      <c r="N77" s="18">
        <v>1.1000000000000001</v>
      </c>
      <c r="U77" s="15">
        <v>12</v>
      </c>
      <c r="V77" s="15">
        <f t="shared" si="7"/>
        <v>88</v>
      </c>
      <c r="BO77" s="15">
        <f>V77/100/10*(117.88)</f>
        <v>10.373439999999999</v>
      </c>
      <c r="BQ77" s="15">
        <f>V77/100/10*(7.5)</f>
        <v>0.65999999999999992</v>
      </c>
      <c r="BR77" s="15">
        <f>V77/100/10*(5.06)</f>
        <v>0.44527999999999995</v>
      </c>
      <c r="BS77" s="15">
        <f>V77/100/10*(865.09)</f>
        <v>76.127920000000003</v>
      </c>
      <c r="BT77" s="15">
        <f>V77/100/10*(8.97)</f>
        <v>0.78936000000000006</v>
      </c>
      <c r="BU77" s="15">
        <f>V77/100/10*(211.28)</f>
        <v>18.592639999999999</v>
      </c>
      <c r="BV77" s="15">
        <f>V77/100/10*(26.03)</f>
        <v>2.2906399999999998</v>
      </c>
      <c r="BY77" s="15">
        <f>V77/100/10*(26.83)</f>
        <v>2.3610399999999996</v>
      </c>
    </row>
    <row r="78" spans="1:243" s="15" customFormat="1" x14ac:dyDescent="0.2">
      <c r="A78" s="15" t="s">
        <v>7490</v>
      </c>
      <c r="B78" s="15" t="s">
        <v>7235</v>
      </c>
      <c r="D78" s="15" t="s">
        <v>7261</v>
      </c>
      <c r="E78" s="15" t="s">
        <v>7</v>
      </c>
      <c r="F78" s="15" t="s">
        <v>6190</v>
      </c>
      <c r="J78" s="15" t="s">
        <v>7327</v>
      </c>
      <c r="K78" s="18">
        <v>2008</v>
      </c>
      <c r="L78" s="18" t="s">
        <v>7328</v>
      </c>
      <c r="M78" s="18" t="s">
        <v>7277</v>
      </c>
      <c r="N78" s="18">
        <v>1.1000000000000001</v>
      </c>
      <c r="U78" s="15">
        <v>12</v>
      </c>
      <c r="V78" s="15">
        <f t="shared" si="7"/>
        <v>88</v>
      </c>
      <c r="BO78" s="15">
        <f>V78/100/10*(121.53)</f>
        <v>10.69464</v>
      </c>
      <c r="BQ78" s="15">
        <f>V78/100/10*(9.96)</f>
        <v>0.87648000000000004</v>
      </c>
      <c r="BR78" s="15">
        <f>V78/100/10*(5.36)</f>
        <v>0.47167999999999999</v>
      </c>
      <c r="BS78" s="15">
        <f>V78/100/10*(815.02)</f>
        <v>71.721759999999989</v>
      </c>
      <c r="BT78" s="15">
        <f>V78/100/10*(10.77)</f>
        <v>0.94775999999999994</v>
      </c>
      <c r="BU78" s="15">
        <f>V78/100/10*(197.53)</f>
        <v>17.382639999999999</v>
      </c>
      <c r="BV78" s="15">
        <f>V78/100/10*(21.18)</f>
        <v>1.8638399999999999</v>
      </c>
      <c r="BY78" s="15">
        <f>V78/100/10*(25.73)</f>
        <v>2.26424</v>
      </c>
    </row>
    <row r="79" spans="1:243" s="15" customFormat="1" x14ac:dyDescent="0.2">
      <c r="A79" s="15" t="s">
        <v>7491</v>
      </c>
      <c r="B79" s="15" t="s">
        <v>7235</v>
      </c>
      <c r="D79" s="15" t="s">
        <v>7262</v>
      </c>
      <c r="E79" s="15" t="s">
        <v>7</v>
      </c>
      <c r="F79" s="15" t="s">
        <v>6190</v>
      </c>
      <c r="J79" s="15" t="s">
        <v>7327</v>
      </c>
      <c r="K79" s="18">
        <v>2008</v>
      </c>
      <c r="L79" s="18" t="s">
        <v>7328</v>
      </c>
      <c r="M79" s="18" t="s">
        <v>7277</v>
      </c>
      <c r="N79" s="18">
        <v>1.1000000000000001</v>
      </c>
      <c r="U79" s="15">
        <v>12</v>
      </c>
      <c r="V79" s="15">
        <f t="shared" si="7"/>
        <v>88</v>
      </c>
      <c r="BO79" s="15">
        <f>V79/100/10*(93.33)</f>
        <v>8.2130399999999995</v>
      </c>
      <c r="BQ79" s="15">
        <f>V79/100/10*(11.13)</f>
        <v>0.97943999999999998</v>
      </c>
      <c r="BR79" s="15">
        <f>V79/100/10*(5.5)</f>
        <v>0.48399999999999999</v>
      </c>
      <c r="BS79" s="15">
        <f>V79/100/10*(611.61)</f>
        <v>53.821680000000001</v>
      </c>
      <c r="BT79" s="15">
        <f>V79/100/10*(9.97)</f>
        <v>0.87736000000000003</v>
      </c>
      <c r="BU79" s="15">
        <f>V79/100/10*(145.83)</f>
        <v>12.83304</v>
      </c>
      <c r="BV79" s="15">
        <f>V79/100/10*(17.59)</f>
        <v>1.54792</v>
      </c>
      <c r="BY79" s="15">
        <f>V79/100/10*(31.52)</f>
        <v>2.7737599999999998</v>
      </c>
    </row>
    <row r="80" spans="1:243" s="15" customFormat="1" x14ac:dyDescent="0.2">
      <c r="A80" s="15" t="s">
        <v>7492</v>
      </c>
      <c r="B80" s="15" t="s">
        <v>7235</v>
      </c>
      <c r="D80" s="15" t="s">
        <v>7263</v>
      </c>
      <c r="E80" s="15" t="s">
        <v>7</v>
      </c>
      <c r="F80" s="15" t="s">
        <v>6190</v>
      </c>
      <c r="J80" s="15" t="s">
        <v>7327</v>
      </c>
      <c r="K80" s="18">
        <v>2008</v>
      </c>
      <c r="L80" s="18" t="s">
        <v>7328</v>
      </c>
      <c r="M80" s="18" t="s">
        <v>7277</v>
      </c>
      <c r="N80" s="18">
        <v>1.1000000000000001</v>
      </c>
      <c r="U80" s="15">
        <v>12</v>
      </c>
      <c r="V80" s="15">
        <f t="shared" si="7"/>
        <v>88</v>
      </c>
      <c r="BO80" s="15">
        <f>V80/100/10*(95.62)</f>
        <v>8.4145599999999998</v>
      </c>
      <c r="BQ80" s="15">
        <f>V80/100/10*(9.04)</f>
        <v>0.79551999999999989</v>
      </c>
      <c r="BR80" s="15">
        <f>V80/100/10*(6.33)</f>
        <v>0.55703999999999998</v>
      </c>
      <c r="BS80" s="15">
        <f>V80/100/10*(701.89)</f>
        <v>61.766319999999993</v>
      </c>
      <c r="BT80" s="15">
        <f>V80/100/10*(10.45)</f>
        <v>0.91959999999999986</v>
      </c>
      <c r="BU80" s="15">
        <f>V80/100/10*(173.11)</f>
        <v>15.23368</v>
      </c>
      <c r="BV80" s="15">
        <f>V80/100/10*(15.16)</f>
        <v>1.3340799999999999</v>
      </c>
      <c r="BY80" s="15">
        <f>V80/100/10*(26.38)</f>
        <v>2.3214399999999999</v>
      </c>
    </row>
    <row r="81" spans="1:75" s="15" customFormat="1" x14ac:dyDescent="0.2">
      <c r="A81" s="15" t="s">
        <v>7493</v>
      </c>
      <c r="B81" s="15" t="s">
        <v>7236</v>
      </c>
      <c r="C81" s="15" t="s">
        <v>7632</v>
      </c>
      <c r="D81" s="15" t="s">
        <v>7651</v>
      </c>
      <c r="E81" s="15" t="s">
        <v>7</v>
      </c>
      <c r="J81" s="15" t="s">
        <v>7330</v>
      </c>
      <c r="K81" s="18">
        <v>2012</v>
      </c>
      <c r="L81" s="18" t="s">
        <v>7331</v>
      </c>
      <c r="M81" s="18" t="s">
        <v>7288</v>
      </c>
      <c r="N81" s="18">
        <v>1.1000000000000001</v>
      </c>
      <c r="U81" s="15">
        <v>9.3000000000000007</v>
      </c>
      <c r="AD81" s="15">
        <v>7.5</v>
      </c>
      <c r="AF81" s="15">
        <v>1.18</v>
      </c>
      <c r="AR81" s="15">
        <v>21.2</v>
      </c>
      <c r="AZ81" s="15">
        <v>76.8</v>
      </c>
      <c r="BF81" s="15">
        <v>0.2</v>
      </c>
    </row>
    <row r="82" spans="1:75" s="15" customFormat="1" x14ac:dyDescent="0.2">
      <c r="A82" s="15" t="s">
        <v>7494</v>
      </c>
      <c r="B82" s="15" t="s">
        <v>7236</v>
      </c>
      <c r="C82" s="15" t="s">
        <v>7632</v>
      </c>
      <c r="D82" s="15" t="s">
        <v>7652</v>
      </c>
      <c r="E82" s="15" t="s">
        <v>7</v>
      </c>
      <c r="J82" s="15" t="s">
        <v>7332</v>
      </c>
      <c r="K82" s="18">
        <v>2012</v>
      </c>
      <c r="L82" s="18" t="s">
        <v>7331</v>
      </c>
      <c r="M82" s="18" t="s">
        <v>7288</v>
      </c>
      <c r="N82" s="18">
        <v>1.1000000000000001</v>
      </c>
      <c r="U82" s="15">
        <v>9.3000000000000007</v>
      </c>
      <c r="AF82" s="15">
        <v>22.6</v>
      </c>
      <c r="BF82" s="15">
        <v>8.5</v>
      </c>
    </row>
    <row r="83" spans="1:75" s="15" customFormat="1" x14ac:dyDescent="0.2">
      <c r="A83" s="15" t="s">
        <v>7495</v>
      </c>
      <c r="B83" s="15" t="s">
        <v>7237</v>
      </c>
      <c r="D83" s="15" t="s">
        <v>7264</v>
      </c>
      <c r="E83" s="15" t="s">
        <v>11</v>
      </c>
      <c r="F83" s="15" t="s">
        <v>6190</v>
      </c>
      <c r="H83" s="15" t="s">
        <v>7633</v>
      </c>
      <c r="J83" s="15" t="s">
        <v>7292</v>
      </c>
      <c r="K83" s="18">
        <v>1983</v>
      </c>
      <c r="L83" s="18" t="s">
        <v>7333</v>
      </c>
      <c r="M83" s="18" t="s">
        <v>7288</v>
      </c>
      <c r="N83" s="18">
        <v>1.1000000000000001</v>
      </c>
      <c r="U83" s="15">
        <v>12.59</v>
      </c>
      <c r="V83" s="15">
        <f>100-U83</f>
        <v>87.41</v>
      </c>
      <c r="W83" s="15">
        <v>5.95</v>
      </c>
      <c r="X83" s="15">
        <f>V83/100*1.19</f>
        <v>1.040179</v>
      </c>
      <c r="AD83" s="15">
        <f>V83/100*(7.08)</f>
        <v>6.1886279999999996</v>
      </c>
      <c r="AG83" s="15">
        <f>V83/100*(1.11)</f>
        <v>0.97025100000000009</v>
      </c>
      <c r="AR83" s="15">
        <f>V83/100*(19.9)</f>
        <v>17.394589999999997</v>
      </c>
      <c r="BF83" s="15">
        <f>V83/100*(0.39)</f>
        <v>0.34089900000000001</v>
      </c>
      <c r="BM83" s="15">
        <f>V83/100*(0.56)</f>
        <v>0.48949600000000004</v>
      </c>
    </row>
    <row r="84" spans="1:75" s="15" customFormat="1" x14ac:dyDescent="0.2">
      <c r="A84" s="15" t="s">
        <v>7496</v>
      </c>
      <c r="B84" s="15" t="s">
        <v>7237</v>
      </c>
      <c r="D84" s="15" t="s">
        <v>7264</v>
      </c>
      <c r="E84" s="15" t="s">
        <v>11</v>
      </c>
      <c r="F84" s="15" t="s">
        <v>6190</v>
      </c>
      <c r="H84" s="15" t="s">
        <v>7634</v>
      </c>
      <c r="J84" s="15" t="s">
        <v>7292</v>
      </c>
      <c r="K84" s="18">
        <v>1983</v>
      </c>
      <c r="L84" s="18" t="s">
        <v>7333</v>
      </c>
      <c r="M84" s="18" t="s">
        <v>7288</v>
      </c>
      <c r="N84" s="18">
        <v>1.1000000000000001</v>
      </c>
      <c r="U84" s="15">
        <v>13.43</v>
      </c>
      <c r="V84" s="15">
        <f>100-U84</f>
        <v>86.57</v>
      </c>
      <c r="W84" s="15">
        <v>5.95</v>
      </c>
      <c r="X84" s="15">
        <f>V84/100*1.14</f>
        <v>0.98689799999999983</v>
      </c>
      <c r="AD84" s="15">
        <f>V84/100*(6.78)</f>
        <v>5.8694459999999999</v>
      </c>
      <c r="AG84" s="15">
        <f>V84/100*(1.02)</f>
        <v>0.88301399999999997</v>
      </c>
      <c r="AR84" s="15">
        <f>V84/100*(18.9)</f>
        <v>16.361729999999998</v>
      </c>
      <c r="BF84" s="15">
        <f>V84/100*(0.31)</f>
        <v>0.26836699999999997</v>
      </c>
      <c r="BM84" s="15">
        <f>V84/100*(0.67)</f>
        <v>0.58001899999999995</v>
      </c>
    </row>
    <row r="85" spans="1:75" s="15" customFormat="1" x14ac:dyDescent="0.2">
      <c r="A85" s="15" t="s">
        <v>7497</v>
      </c>
      <c r="B85" s="15" t="s">
        <v>7238</v>
      </c>
      <c r="D85" s="15" t="s">
        <v>7265</v>
      </c>
      <c r="E85" s="15" t="s">
        <v>11</v>
      </c>
      <c r="F85" s="15" t="s">
        <v>6190</v>
      </c>
      <c r="H85" s="15" t="s">
        <v>7635</v>
      </c>
      <c r="J85" s="15" t="s">
        <v>7292</v>
      </c>
      <c r="K85" s="18">
        <v>1983</v>
      </c>
      <c r="L85" s="18" t="s">
        <v>7333</v>
      </c>
      <c r="M85" s="18" t="s">
        <v>7288</v>
      </c>
      <c r="N85" s="18">
        <v>1.1000000000000001</v>
      </c>
      <c r="U85" s="15">
        <v>11.53</v>
      </c>
      <c r="V85" s="15">
        <f>100-U85</f>
        <v>88.47</v>
      </c>
      <c r="W85" s="15">
        <v>5.95</v>
      </c>
      <c r="X85" s="15">
        <f>V85/100*1.54</f>
        <v>1.362438</v>
      </c>
      <c r="AD85" s="15">
        <f>V85/100*(9.16)</f>
        <v>8.1038519999999998</v>
      </c>
      <c r="AG85" s="15">
        <f>V85/100*(1.31)</f>
        <v>1.158957</v>
      </c>
      <c r="AR85" s="15">
        <f>V85/100*(22.6)</f>
        <v>19.994220000000002</v>
      </c>
      <c r="BF85" s="15">
        <f>V85/100*(0.4)</f>
        <v>0.35388000000000003</v>
      </c>
      <c r="BM85" s="15">
        <f>V85/100*(0.55)</f>
        <v>0.48658500000000005</v>
      </c>
    </row>
    <row r="86" spans="1:75" s="15" customFormat="1" x14ac:dyDescent="0.2">
      <c r="A86" s="15" t="s">
        <v>7498</v>
      </c>
      <c r="B86" s="15" t="s">
        <v>2991</v>
      </c>
      <c r="D86" s="15" t="s">
        <v>7636</v>
      </c>
      <c r="E86" s="15" t="s">
        <v>7</v>
      </c>
      <c r="J86" s="15" t="s">
        <v>7334</v>
      </c>
      <c r="K86" s="18">
        <v>2006</v>
      </c>
      <c r="L86" s="18" t="s">
        <v>7335</v>
      </c>
      <c r="M86" s="18" t="s">
        <v>7288</v>
      </c>
      <c r="N86" s="18">
        <v>1.1000000000000001</v>
      </c>
      <c r="V86" s="15">
        <v>96.6</v>
      </c>
      <c r="AD86" s="15">
        <v>16</v>
      </c>
      <c r="AG86" s="15">
        <v>19.899999999999999</v>
      </c>
      <c r="BI86" s="15">
        <v>21</v>
      </c>
      <c r="BJ86" s="15">
        <v>10.1</v>
      </c>
    </row>
    <row r="87" spans="1:75" s="15" customFormat="1" x14ac:dyDescent="0.2">
      <c r="A87" s="15" t="s">
        <v>7499</v>
      </c>
      <c r="B87" s="15" t="s">
        <v>2991</v>
      </c>
      <c r="D87" s="15" t="s">
        <v>7653</v>
      </c>
      <c r="E87" s="15" t="s">
        <v>7</v>
      </c>
      <c r="J87" s="15" t="s">
        <v>7334</v>
      </c>
      <c r="K87" s="18">
        <v>2006</v>
      </c>
      <c r="L87" s="18" t="s">
        <v>7335</v>
      </c>
      <c r="M87" s="18" t="s">
        <v>7288</v>
      </c>
      <c r="N87" s="18">
        <v>1.1000000000000001</v>
      </c>
      <c r="V87" s="15">
        <v>97</v>
      </c>
      <c r="AD87" s="15">
        <v>18</v>
      </c>
      <c r="AG87" s="15">
        <v>14.3</v>
      </c>
      <c r="BI87" s="15">
        <v>24</v>
      </c>
      <c r="BJ87" s="15">
        <v>12</v>
      </c>
    </row>
    <row r="88" spans="1:75" s="15" customFormat="1" x14ac:dyDescent="0.2">
      <c r="A88" s="15" t="s">
        <v>7500</v>
      </c>
      <c r="B88" s="15" t="s">
        <v>2991</v>
      </c>
      <c r="D88" s="15" t="s">
        <v>7654</v>
      </c>
      <c r="E88" s="15" t="s">
        <v>7</v>
      </c>
      <c r="J88" s="15" t="s">
        <v>7334</v>
      </c>
      <c r="K88" s="18">
        <v>2006</v>
      </c>
      <c r="L88" s="18" t="s">
        <v>7335</v>
      </c>
      <c r="M88" s="18" t="s">
        <v>7288</v>
      </c>
      <c r="N88" s="18">
        <v>1.1000000000000001</v>
      </c>
      <c r="V88" s="15">
        <v>69.900000000000006</v>
      </c>
      <c r="AD88" s="15">
        <v>17.7</v>
      </c>
      <c r="AG88" s="15">
        <v>14.1</v>
      </c>
      <c r="BI88" s="15">
        <v>24.1</v>
      </c>
      <c r="BJ88" s="15">
        <v>12.2</v>
      </c>
    </row>
    <row r="89" spans="1:75" s="15" customFormat="1" x14ac:dyDescent="0.2">
      <c r="A89" s="15" t="s">
        <v>7501</v>
      </c>
      <c r="D89" s="15" t="s">
        <v>7266</v>
      </c>
      <c r="E89" s="15" t="s">
        <v>7</v>
      </c>
      <c r="H89" s="15" t="s">
        <v>7336</v>
      </c>
      <c r="J89" s="15" t="s">
        <v>7337</v>
      </c>
      <c r="K89" s="18">
        <v>2007</v>
      </c>
      <c r="L89" s="18" t="s">
        <v>7338</v>
      </c>
      <c r="M89" s="18" t="s">
        <v>7288</v>
      </c>
      <c r="N89" s="18">
        <v>1.1000000000000001</v>
      </c>
      <c r="U89" s="15">
        <v>10.9</v>
      </c>
      <c r="V89" s="15">
        <f>100-U89</f>
        <v>89.1</v>
      </c>
      <c r="BF89" s="15">
        <v>9.6999999999999993</v>
      </c>
      <c r="BM89" s="15">
        <v>0.9</v>
      </c>
      <c r="BO89" s="15">
        <v>165.8</v>
      </c>
      <c r="BR89" s="15">
        <v>3.64</v>
      </c>
      <c r="BW89" s="15">
        <v>290.39999999999998</v>
      </c>
    </row>
    <row r="90" spans="1:75" s="15" customFormat="1" x14ac:dyDescent="0.2">
      <c r="A90" s="15" t="s">
        <v>7502</v>
      </c>
      <c r="D90" s="15" t="s">
        <v>7267</v>
      </c>
      <c r="E90" s="15" t="s">
        <v>7</v>
      </c>
      <c r="H90" s="15" t="s">
        <v>7339</v>
      </c>
      <c r="J90" s="15" t="s">
        <v>7337</v>
      </c>
      <c r="K90" s="18">
        <v>2007</v>
      </c>
      <c r="L90" s="18" t="s">
        <v>7338</v>
      </c>
      <c r="M90" s="18" t="s">
        <v>7288</v>
      </c>
      <c r="N90" s="18">
        <v>1.1000000000000001</v>
      </c>
      <c r="U90" s="15">
        <v>10.7</v>
      </c>
      <c r="V90" s="15">
        <f t="shared" ref="V90:V104" si="8">100-U90</f>
        <v>89.3</v>
      </c>
      <c r="BF90" s="15">
        <v>9.52</v>
      </c>
      <c r="BM90" s="15">
        <v>1</v>
      </c>
      <c r="BO90" s="15">
        <v>169.8</v>
      </c>
      <c r="BR90" s="15">
        <v>6.86</v>
      </c>
      <c r="BW90" s="15">
        <v>215.7</v>
      </c>
    </row>
    <row r="91" spans="1:75" s="15" customFormat="1" x14ac:dyDescent="0.2">
      <c r="A91" s="15" t="s">
        <v>7503</v>
      </c>
      <c r="D91" s="15" t="s">
        <v>7268</v>
      </c>
      <c r="E91" s="15" t="s">
        <v>7</v>
      </c>
      <c r="H91" s="15" t="s">
        <v>7340</v>
      </c>
      <c r="J91" s="15" t="s">
        <v>7337</v>
      </c>
      <c r="K91" s="18">
        <v>2007</v>
      </c>
      <c r="L91" s="18" t="s">
        <v>7338</v>
      </c>
      <c r="M91" s="18" t="s">
        <v>7288</v>
      </c>
      <c r="N91" s="18">
        <v>1.1000000000000001</v>
      </c>
      <c r="U91" s="15">
        <v>8.9</v>
      </c>
      <c r="V91" s="15">
        <f t="shared" si="8"/>
        <v>91.1</v>
      </c>
      <c r="BF91" s="15">
        <v>7.62</v>
      </c>
      <c r="BM91" s="15">
        <v>0.9</v>
      </c>
      <c r="BO91" s="15">
        <v>186.5</v>
      </c>
      <c r="BR91" s="15">
        <v>4.45</v>
      </c>
      <c r="BW91" s="15">
        <v>186.5</v>
      </c>
    </row>
    <row r="92" spans="1:75" s="15" customFormat="1" x14ac:dyDescent="0.2">
      <c r="A92" s="15" t="s">
        <v>7504</v>
      </c>
      <c r="D92" s="15" t="s">
        <v>7269</v>
      </c>
      <c r="E92" s="15" t="s">
        <v>7</v>
      </c>
      <c r="H92" s="15" t="s">
        <v>7341</v>
      </c>
      <c r="J92" s="15" t="s">
        <v>7337</v>
      </c>
      <c r="K92" s="18">
        <v>2007</v>
      </c>
      <c r="L92" s="18" t="s">
        <v>7338</v>
      </c>
      <c r="M92" s="18" t="s">
        <v>7288</v>
      </c>
      <c r="N92" s="18">
        <v>1.1000000000000001</v>
      </c>
      <c r="U92" s="15">
        <v>9.4</v>
      </c>
      <c r="V92" s="15">
        <f t="shared" si="8"/>
        <v>90.6</v>
      </c>
      <c r="BF92" s="15">
        <v>6.67</v>
      </c>
      <c r="BM92" s="15">
        <v>0.5</v>
      </c>
      <c r="BO92" s="15">
        <v>155.6</v>
      </c>
      <c r="BR92" s="15">
        <v>4.4800000000000004</v>
      </c>
      <c r="BW92" s="15">
        <v>135.9</v>
      </c>
    </row>
    <row r="93" spans="1:75" s="15" customFormat="1" x14ac:dyDescent="0.2">
      <c r="A93" s="15" t="s">
        <v>7505</v>
      </c>
      <c r="D93" s="15" t="s">
        <v>7266</v>
      </c>
      <c r="E93" s="15" t="s">
        <v>7</v>
      </c>
      <c r="H93" s="15" t="s">
        <v>7342</v>
      </c>
      <c r="J93" s="15" t="s">
        <v>7337</v>
      </c>
      <c r="K93" s="18">
        <v>2007</v>
      </c>
      <c r="L93" s="18" t="s">
        <v>7338</v>
      </c>
      <c r="M93" s="18" t="s">
        <v>7288</v>
      </c>
      <c r="N93" s="18">
        <v>1.1000000000000001</v>
      </c>
      <c r="U93" s="15">
        <v>10.5</v>
      </c>
      <c r="V93" s="15">
        <f t="shared" si="8"/>
        <v>89.5</v>
      </c>
      <c r="BF93" s="15">
        <v>8.32</v>
      </c>
      <c r="BM93" s="15">
        <v>1</v>
      </c>
      <c r="BO93" s="15">
        <v>157.6</v>
      </c>
      <c r="BR93" s="15">
        <v>4.47</v>
      </c>
      <c r="BW93" s="15">
        <v>260.7</v>
      </c>
    </row>
    <row r="94" spans="1:75" s="15" customFormat="1" x14ac:dyDescent="0.2">
      <c r="A94" s="15" t="s">
        <v>7506</v>
      </c>
      <c r="D94" s="15" t="s">
        <v>7267</v>
      </c>
      <c r="E94" s="15" t="s">
        <v>7</v>
      </c>
      <c r="H94" s="15" t="s">
        <v>7343</v>
      </c>
      <c r="J94" s="15" t="s">
        <v>7337</v>
      </c>
      <c r="K94" s="18">
        <v>2007</v>
      </c>
      <c r="L94" s="18" t="s">
        <v>7338</v>
      </c>
      <c r="M94" s="18" t="s">
        <v>7288</v>
      </c>
      <c r="N94" s="18">
        <v>1.1000000000000001</v>
      </c>
      <c r="U94" s="15">
        <v>11.5</v>
      </c>
      <c r="V94" s="15">
        <f t="shared" si="8"/>
        <v>88.5</v>
      </c>
      <c r="BF94" s="15">
        <v>8.4700000000000006</v>
      </c>
      <c r="BM94" s="15">
        <v>0.9</v>
      </c>
      <c r="BO94" s="15">
        <v>106.5</v>
      </c>
      <c r="BR94" s="15">
        <v>5.93</v>
      </c>
      <c r="BW94" s="15">
        <v>211.6</v>
      </c>
    </row>
    <row r="95" spans="1:75" s="15" customFormat="1" x14ac:dyDescent="0.2">
      <c r="A95" s="15" t="s">
        <v>7507</v>
      </c>
      <c r="D95" s="15" t="s">
        <v>7268</v>
      </c>
      <c r="E95" s="15" t="s">
        <v>7</v>
      </c>
      <c r="H95" s="15" t="s">
        <v>7344</v>
      </c>
      <c r="J95" s="15" t="s">
        <v>7337</v>
      </c>
      <c r="K95" s="18">
        <v>2007</v>
      </c>
      <c r="L95" s="18" t="s">
        <v>7338</v>
      </c>
      <c r="M95" s="18" t="s">
        <v>7288</v>
      </c>
      <c r="N95" s="18">
        <v>1.1000000000000001</v>
      </c>
      <c r="U95" s="15">
        <v>8.9</v>
      </c>
      <c r="V95" s="15">
        <f t="shared" si="8"/>
        <v>91.1</v>
      </c>
      <c r="BF95" s="15">
        <v>6.31</v>
      </c>
      <c r="BM95" s="15">
        <v>0.9</v>
      </c>
      <c r="BO95" s="15">
        <v>135.5</v>
      </c>
      <c r="BR95" s="15">
        <v>6.8</v>
      </c>
      <c r="BW95" s="15">
        <v>164.8</v>
      </c>
    </row>
    <row r="96" spans="1:75" s="15" customFormat="1" x14ac:dyDescent="0.2">
      <c r="A96" s="15" t="s">
        <v>7508</v>
      </c>
      <c r="D96" s="15" t="s">
        <v>7269</v>
      </c>
      <c r="E96" s="15" t="s">
        <v>7</v>
      </c>
      <c r="H96" s="15" t="s">
        <v>7345</v>
      </c>
      <c r="J96" s="15" t="s">
        <v>7337</v>
      </c>
      <c r="K96" s="18">
        <v>2007</v>
      </c>
      <c r="L96" s="18" t="s">
        <v>7338</v>
      </c>
      <c r="M96" s="18" t="s">
        <v>7288</v>
      </c>
      <c r="N96" s="18">
        <v>1.1000000000000001</v>
      </c>
      <c r="U96" s="15">
        <v>9</v>
      </c>
      <c r="V96" s="15">
        <f t="shared" si="8"/>
        <v>91</v>
      </c>
      <c r="BF96" s="15">
        <v>6.42</v>
      </c>
      <c r="BM96" s="15">
        <v>0.4</v>
      </c>
      <c r="BO96" s="15">
        <v>210.9</v>
      </c>
      <c r="BR96" s="15">
        <v>4.33</v>
      </c>
      <c r="BW96" s="15">
        <v>111.8</v>
      </c>
    </row>
    <row r="97" spans="1:244" s="15" customFormat="1" x14ac:dyDescent="0.2">
      <c r="A97" s="15" t="s">
        <v>7509</v>
      </c>
      <c r="D97" s="15" t="s">
        <v>7266</v>
      </c>
      <c r="E97" s="15" t="s">
        <v>7</v>
      </c>
      <c r="H97" s="15" t="s">
        <v>7346</v>
      </c>
      <c r="J97" s="15" t="s">
        <v>7337</v>
      </c>
      <c r="K97" s="18">
        <v>2007</v>
      </c>
      <c r="L97" s="18" t="s">
        <v>7338</v>
      </c>
      <c r="M97" s="18" t="s">
        <v>7288</v>
      </c>
      <c r="N97" s="18">
        <v>1.1000000000000001</v>
      </c>
      <c r="U97" s="15">
        <v>11.2</v>
      </c>
      <c r="V97" s="15">
        <f t="shared" si="8"/>
        <v>88.8</v>
      </c>
      <c r="BF97" s="15">
        <v>9.51</v>
      </c>
      <c r="BM97" s="15">
        <v>1</v>
      </c>
      <c r="BO97" s="15">
        <v>166</v>
      </c>
      <c r="BR97" s="15">
        <v>7.5</v>
      </c>
      <c r="BW97" s="15">
        <v>257.8</v>
      </c>
    </row>
    <row r="98" spans="1:244" s="15" customFormat="1" x14ac:dyDescent="0.2">
      <c r="A98" s="15" t="s">
        <v>7510</v>
      </c>
      <c r="D98" s="15" t="s">
        <v>7267</v>
      </c>
      <c r="E98" s="15" t="s">
        <v>7</v>
      </c>
      <c r="H98" s="15" t="s">
        <v>7347</v>
      </c>
      <c r="J98" s="15" t="s">
        <v>7337</v>
      </c>
      <c r="K98" s="18">
        <v>2007</v>
      </c>
      <c r="L98" s="18" t="s">
        <v>7338</v>
      </c>
      <c r="M98" s="18" t="s">
        <v>7288</v>
      </c>
      <c r="N98" s="18">
        <v>1.1000000000000001</v>
      </c>
      <c r="U98" s="15">
        <v>9.9</v>
      </c>
      <c r="V98" s="15">
        <f t="shared" si="8"/>
        <v>90.1</v>
      </c>
      <c r="BF98" s="15">
        <v>9.5500000000000007</v>
      </c>
      <c r="BM98" s="15">
        <v>1.2</v>
      </c>
      <c r="BO98" s="15">
        <v>136.4</v>
      </c>
      <c r="BR98" s="15">
        <v>6.73</v>
      </c>
      <c r="BW98" s="15">
        <v>221.5</v>
      </c>
    </row>
    <row r="99" spans="1:244" s="15" customFormat="1" x14ac:dyDescent="0.2">
      <c r="A99" s="15" t="s">
        <v>7511</v>
      </c>
      <c r="D99" s="15" t="s">
        <v>7268</v>
      </c>
      <c r="E99" s="15" t="s">
        <v>7</v>
      </c>
      <c r="H99" s="15" t="s">
        <v>7348</v>
      </c>
      <c r="J99" s="15" t="s">
        <v>7337</v>
      </c>
      <c r="K99" s="18">
        <v>2007</v>
      </c>
      <c r="L99" s="18" t="s">
        <v>7338</v>
      </c>
      <c r="M99" s="18" t="s">
        <v>7288</v>
      </c>
      <c r="N99" s="18">
        <v>1.1000000000000001</v>
      </c>
      <c r="U99" s="15">
        <v>9.1999999999999993</v>
      </c>
      <c r="V99" s="15">
        <f t="shared" si="8"/>
        <v>90.8</v>
      </c>
      <c r="BF99" s="15">
        <v>6.22</v>
      </c>
      <c r="BM99" s="15">
        <v>0.9</v>
      </c>
      <c r="BO99" s="15">
        <v>127</v>
      </c>
      <c r="BR99" s="15">
        <v>5.98</v>
      </c>
      <c r="BW99" s="15">
        <v>171.3</v>
      </c>
    </row>
    <row r="100" spans="1:244" s="15" customFormat="1" x14ac:dyDescent="0.2">
      <c r="A100" s="15" t="s">
        <v>7512</v>
      </c>
      <c r="D100" s="15" t="s">
        <v>7269</v>
      </c>
      <c r="E100" s="15" t="s">
        <v>7</v>
      </c>
      <c r="H100" s="15" t="s">
        <v>7349</v>
      </c>
      <c r="J100" s="15" t="s">
        <v>7337</v>
      </c>
      <c r="K100" s="18">
        <v>2007</v>
      </c>
      <c r="L100" s="18" t="s">
        <v>7338</v>
      </c>
      <c r="M100" s="18" t="s">
        <v>7288</v>
      </c>
      <c r="N100" s="18">
        <v>1.1000000000000001</v>
      </c>
      <c r="U100" s="15">
        <v>9.6999999999999993</v>
      </c>
      <c r="V100" s="15">
        <f t="shared" si="8"/>
        <v>90.3</v>
      </c>
      <c r="BF100" s="15">
        <v>5.64</v>
      </c>
      <c r="BM100" s="15">
        <v>1.6</v>
      </c>
      <c r="BO100" s="15">
        <v>176.6</v>
      </c>
      <c r="BR100" s="15">
        <v>4.57</v>
      </c>
      <c r="BW100" s="15">
        <v>130.19999999999999</v>
      </c>
    </row>
    <row r="101" spans="1:244" s="15" customFormat="1" x14ac:dyDescent="0.2">
      <c r="A101" s="15" t="s">
        <v>7513</v>
      </c>
      <c r="D101" s="15" t="s">
        <v>7266</v>
      </c>
      <c r="E101" s="15" t="s">
        <v>7</v>
      </c>
      <c r="H101" s="15" t="s">
        <v>7350</v>
      </c>
      <c r="J101" s="15" t="s">
        <v>7337</v>
      </c>
      <c r="K101" s="18">
        <v>2007</v>
      </c>
      <c r="L101" s="18" t="s">
        <v>7338</v>
      </c>
      <c r="M101" s="18" t="s">
        <v>7288</v>
      </c>
      <c r="N101" s="18">
        <v>1.1000000000000001</v>
      </c>
      <c r="U101" s="15">
        <v>9.6</v>
      </c>
      <c r="V101" s="15">
        <f t="shared" si="8"/>
        <v>90.4</v>
      </c>
      <c r="BF101" s="15">
        <v>11.5</v>
      </c>
      <c r="BM101" s="15">
        <v>1.5</v>
      </c>
      <c r="BO101" s="15">
        <v>150.5</v>
      </c>
      <c r="BR101" s="15">
        <v>4.63</v>
      </c>
      <c r="BW101" s="15">
        <v>430.3</v>
      </c>
    </row>
    <row r="102" spans="1:244" s="15" customFormat="1" x14ac:dyDescent="0.2">
      <c r="A102" s="15" t="s">
        <v>7514</v>
      </c>
      <c r="D102" s="15" t="s">
        <v>7267</v>
      </c>
      <c r="E102" s="15" t="s">
        <v>7</v>
      </c>
      <c r="H102" s="15" t="s">
        <v>7351</v>
      </c>
      <c r="J102" s="15" t="s">
        <v>7337</v>
      </c>
      <c r="K102" s="18">
        <v>2007</v>
      </c>
      <c r="L102" s="18" t="s">
        <v>7338</v>
      </c>
      <c r="M102" s="18" t="s">
        <v>7288</v>
      </c>
      <c r="N102" s="18">
        <v>1.1000000000000001</v>
      </c>
      <c r="U102" s="15">
        <v>11.4</v>
      </c>
      <c r="V102" s="15">
        <f t="shared" si="8"/>
        <v>88.6</v>
      </c>
      <c r="BF102" s="15">
        <v>10.210000000000001</v>
      </c>
      <c r="BM102" s="15">
        <v>0.5</v>
      </c>
      <c r="BO102" s="15">
        <v>155.69999999999999</v>
      </c>
      <c r="BR102" s="15">
        <v>3.38</v>
      </c>
      <c r="BW102" s="15">
        <v>319.5</v>
      </c>
    </row>
    <row r="103" spans="1:244" x14ac:dyDescent="0.2">
      <c r="A103" s="15" t="s">
        <v>7515</v>
      </c>
      <c r="D103" s="1" t="s">
        <v>7268</v>
      </c>
      <c r="E103" s="1" t="s">
        <v>7</v>
      </c>
      <c r="H103" s="1" t="s">
        <v>7352</v>
      </c>
      <c r="J103" s="1" t="s">
        <v>7337</v>
      </c>
      <c r="K103" s="17">
        <v>2007</v>
      </c>
      <c r="L103" s="17" t="s">
        <v>7338</v>
      </c>
      <c r="M103" s="17" t="s">
        <v>7288</v>
      </c>
      <c r="N103" s="17">
        <v>1.1000000000000001</v>
      </c>
      <c r="U103" s="1">
        <v>11</v>
      </c>
      <c r="V103" s="1">
        <f t="shared" si="8"/>
        <v>89</v>
      </c>
      <c r="AD103" s="6"/>
      <c r="AF103" s="6"/>
      <c r="AG103" s="6"/>
      <c r="AH103" s="6"/>
      <c r="BF103" s="1">
        <v>7.97</v>
      </c>
      <c r="BM103" s="1">
        <v>0.7</v>
      </c>
      <c r="BO103" s="1">
        <v>145.69999999999999</v>
      </c>
      <c r="BR103" s="1">
        <v>4.21</v>
      </c>
      <c r="BW103" s="1">
        <v>229.7</v>
      </c>
    </row>
    <row r="104" spans="1:244" x14ac:dyDescent="0.2">
      <c r="A104" s="15" t="s">
        <v>7516</v>
      </c>
      <c r="D104" s="1" t="s">
        <v>7269</v>
      </c>
      <c r="E104" s="1" t="s">
        <v>7</v>
      </c>
      <c r="H104" s="1" t="s">
        <v>7353</v>
      </c>
      <c r="J104" s="1" t="s">
        <v>7337</v>
      </c>
      <c r="K104" s="17">
        <v>2007</v>
      </c>
      <c r="L104" s="17" t="s">
        <v>7338</v>
      </c>
      <c r="M104" s="17" t="s">
        <v>7288</v>
      </c>
      <c r="N104" s="17">
        <v>1.1000000000000001</v>
      </c>
      <c r="U104" s="1">
        <v>11.2</v>
      </c>
      <c r="V104" s="1">
        <f t="shared" si="8"/>
        <v>88.8</v>
      </c>
      <c r="AD104" s="33"/>
      <c r="AF104" s="6"/>
      <c r="AG104" s="6"/>
      <c r="AH104" s="6"/>
      <c r="BF104" s="1">
        <v>6.47</v>
      </c>
      <c r="BM104" s="1">
        <v>0.5</v>
      </c>
      <c r="BO104" s="1">
        <v>171.8</v>
      </c>
      <c r="BR104" s="1">
        <v>5.21</v>
      </c>
      <c r="BW104" s="1">
        <v>153.6</v>
      </c>
    </row>
    <row r="105" spans="1:244" x14ac:dyDescent="0.2">
      <c r="A105" s="15" t="s">
        <v>7517</v>
      </c>
      <c r="D105" s="1" t="s">
        <v>7270</v>
      </c>
      <c r="E105" s="1" t="s">
        <v>7</v>
      </c>
      <c r="H105" s="1" t="s">
        <v>7354</v>
      </c>
      <c r="J105" s="1" t="s">
        <v>7355</v>
      </c>
      <c r="K105" s="17">
        <v>2000</v>
      </c>
      <c r="L105" s="17" t="s">
        <v>7356</v>
      </c>
      <c r="M105" s="17" t="s">
        <v>6182</v>
      </c>
      <c r="N105" s="17">
        <v>1.1000000000000001</v>
      </c>
      <c r="U105" s="1">
        <v>11.9</v>
      </c>
      <c r="AD105" s="6">
        <v>7.2</v>
      </c>
      <c r="AF105" s="6"/>
      <c r="AG105" s="6"/>
      <c r="AH105" s="6"/>
      <c r="BM105" s="1">
        <v>0.7</v>
      </c>
    </row>
    <row r="106" spans="1:244" x14ac:dyDescent="0.2">
      <c r="A106" s="15" t="s">
        <v>7518</v>
      </c>
      <c r="D106" s="1" t="s">
        <v>7271</v>
      </c>
      <c r="E106" s="1" t="s">
        <v>7</v>
      </c>
      <c r="H106" s="1" t="s">
        <v>7357</v>
      </c>
      <c r="J106" s="1" t="s">
        <v>7355</v>
      </c>
      <c r="K106" s="17">
        <v>2000</v>
      </c>
      <c r="L106" s="17" t="s">
        <v>7356</v>
      </c>
      <c r="M106" s="17" t="s">
        <v>6182</v>
      </c>
      <c r="N106" s="17">
        <v>1.1000000000000001</v>
      </c>
      <c r="U106" s="1">
        <v>12.8</v>
      </c>
      <c r="AD106" s="6">
        <v>7</v>
      </c>
      <c r="AF106" s="6"/>
      <c r="AG106" s="6"/>
      <c r="AH106" s="6"/>
      <c r="BM106" s="1">
        <v>0.6</v>
      </c>
    </row>
    <row r="107" spans="1:244" x14ac:dyDescent="0.2">
      <c r="A107" s="15" t="s">
        <v>7519</v>
      </c>
      <c r="B107" s="1" t="s">
        <v>7607</v>
      </c>
      <c r="D107" s="1" t="s">
        <v>7608</v>
      </c>
      <c r="E107" s="1" t="s">
        <v>7</v>
      </c>
      <c r="G107" s="1" t="s">
        <v>7611</v>
      </c>
      <c r="H107" s="1" t="s">
        <v>7616</v>
      </c>
      <c r="I107" s="1">
        <v>7</v>
      </c>
      <c r="J107" s="1" t="s">
        <v>7612</v>
      </c>
      <c r="K107" s="17">
        <v>1991</v>
      </c>
      <c r="L107" s="17" t="s">
        <v>7613</v>
      </c>
      <c r="M107" s="17" t="s">
        <v>7277</v>
      </c>
      <c r="N107" s="17">
        <v>1.1000000000000001</v>
      </c>
      <c r="O107" s="1" t="s">
        <v>4517</v>
      </c>
      <c r="P107" s="1" t="s">
        <v>4517</v>
      </c>
      <c r="Q107" s="1" t="s">
        <v>4517</v>
      </c>
      <c r="R107" s="1" t="s">
        <v>4517</v>
      </c>
      <c r="S107" s="1" t="s">
        <v>4517</v>
      </c>
      <c r="T107" s="1" t="s">
        <v>4517</v>
      </c>
      <c r="U107" s="1" t="s">
        <v>4517</v>
      </c>
      <c r="V107" s="1" t="s">
        <v>4517</v>
      </c>
      <c r="W107" s="1">
        <v>5.95</v>
      </c>
      <c r="X107" s="1">
        <v>1.62</v>
      </c>
      <c r="Y107" s="1" t="s">
        <v>4517</v>
      </c>
      <c r="Z107" s="1" t="s">
        <v>4517</v>
      </c>
      <c r="AA107" s="1" t="s">
        <v>4517</v>
      </c>
      <c r="AB107" s="1">
        <v>9.64</v>
      </c>
      <c r="AC107" s="1" t="s">
        <v>4517</v>
      </c>
      <c r="AD107" s="6" t="s">
        <v>4517</v>
      </c>
      <c r="AE107" s="1" t="s">
        <v>4517</v>
      </c>
      <c r="AF107" s="6" t="s">
        <v>4517</v>
      </c>
      <c r="AG107" s="6" t="s">
        <v>4517</v>
      </c>
      <c r="AH107" s="6"/>
      <c r="AI107" s="1" t="s">
        <v>4517</v>
      </c>
      <c r="AJ107" s="1" t="s">
        <v>4517</v>
      </c>
      <c r="AK107" s="1" t="s">
        <v>4517</v>
      </c>
      <c r="AL107" s="1" t="s">
        <v>4517</v>
      </c>
      <c r="AM107" s="1" t="s">
        <v>4517</v>
      </c>
      <c r="AN107" s="1" t="s">
        <v>4517</v>
      </c>
      <c r="AO107" s="1" t="s">
        <v>4517</v>
      </c>
      <c r="AP107" s="1" t="s">
        <v>4517</v>
      </c>
      <c r="AQ107" s="1" t="s">
        <v>4517</v>
      </c>
      <c r="AR107" s="1" t="s">
        <v>4517</v>
      </c>
      <c r="AS107" s="1" t="s">
        <v>4517</v>
      </c>
      <c r="AT107" s="1" t="s">
        <v>4517</v>
      </c>
      <c r="AU107" s="1" t="s">
        <v>4517</v>
      </c>
      <c r="AV107" s="1" t="s">
        <v>4517</v>
      </c>
      <c r="AW107" s="1" t="s">
        <v>4517</v>
      </c>
      <c r="AX107" s="1" t="s">
        <v>4517</v>
      </c>
      <c r="AY107" s="1" t="s">
        <v>4517</v>
      </c>
      <c r="AZ107" s="1" t="s">
        <v>4517</v>
      </c>
      <c r="BA107" s="1" t="s">
        <v>4517</v>
      </c>
      <c r="BB107" s="1" t="s">
        <v>4517</v>
      </c>
      <c r="BC107" s="1" t="s">
        <v>4517</v>
      </c>
      <c r="BD107" s="1" t="s">
        <v>4517</v>
      </c>
      <c r="BE107" s="1" t="s">
        <v>4517</v>
      </c>
      <c r="BF107" s="1" t="s">
        <v>4517</v>
      </c>
      <c r="BG107" s="1" t="s">
        <v>4517</v>
      </c>
      <c r="BH107" s="1" t="s">
        <v>4517</v>
      </c>
      <c r="BI107" s="1" t="s">
        <v>4517</v>
      </c>
      <c r="BJ107" s="1" t="s">
        <v>4517</v>
      </c>
      <c r="BK107" s="1" t="s">
        <v>4517</v>
      </c>
      <c r="BL107" s="1" t="s">
        <v>4517</v>
      </c>
      <c r="BM107" s="1">
        <v>1.56</v>
      </c>
      <c r="BN107" s="1" t="s">
        <v>4517</v>
      </c>
      <c r="BO107" s="1">
        <v>10</v>
      </c>
      <c r="BP107" s="1" t="s">
        <v>4517</v>
      </c>
      <c r="BQ107" s="1">
        <v>0.47</v>
      </c>
      <c r="BR107" s="1">
        <v>1.24</v>
      </c>
      <c r="BS107" s="1">
        <v>380</v>
      </c>
      <c r="BT107" s="1">
        <v>1.66</v>
      </c>
      <c r="BU107" s="1">
        <v>130</v>
      </c>
      <c r="BV107" s="1" t="s">
        <v>4517</v>
      </c>
      <c r="BW107" s="1">
        <v>380</v>
      </c>
      <c r="BX107" s="1" t="s">
        <v>4517</v>
      </c>
      <c r="BY107" s="1">
        <v>2.2400000000000002</v>
      </c>
      <c r="BZ107" s="1">
        <v>6000</v>
      </c>
      <c r="CA107" s="1" t="s">
        <v>4517</v>
      </c>
      <c r="CB107" s="1" t="s">
        <v>4517</v>
      </c>
      <c r="CC107" s="1" t="s">
        <v>4517</v>
      </c>
      <c r="CD107" s="1">
        <v>34</v>
      </c>
      <c r="CE107" s="1" t="s">
        <v>4517</v>
      </c>
      <c r="CF107" s="1" t="s">
        <v>4517</v>
      </c>
      <c r="CG107" s="1" t="s">
        <v>4517</v>
      </c>
      <c r="CH107" s="1" t="s">
        <v>4517</v>
      </c>
      <c r="CI107" s="1" t="s">
        <v>4517</v>
      </c>
      <c r="CJ107" s="1" t="s">
        <v>4517</v>
      </c>
      <c r="CK107" s="1" t="s">
        <v>4517</v>
      </c>
      <c r="CL107" s="1">
        <v>150</v>
      </c>
      <c r="CM107" s="1" t="s">
        <v>4517</v>
      </c>
      <c r="CN107" s="1" t="s">
        <v>4517</v>
      </c>
      <c r="CO107" s="1" t="s">
        <v>4517</v>
      </c>
      <c r="CP107" s="1" t="s">
        <v>4517</v>
      </c>
      <c r="CQ107" s="1" t="s">
        <v>4517</v>
      </c>
      <c r="CR107" s="1" t="s">
        <v>4517</v>
      </c>
      <c r="CS107" s="1" t="s">
        <v>4517</v>
      </c>
      <c r="CT107" s="1" t="s">
        <v>4517</v>
      </c>
      <c r="CU107" s="1" t="s">
        <v>4517</v>
      </c>
      <c r="CV107" s="1" t="s">
        <v>4517</v>
      </c>
      <c r="CW107" s="1" t="s">
        <v>4517</v>
      </c>
      <c r="CX107" s="1" t="s">
        <v>4517</v>
      </c>
      <c r="CY107" s="1" t="s">
        <v>4517</v>
      </c>
      <c r="CZ107" s="1" t="s">
        <v>4517</v>
      </c>
      <c r="DA107" s="1" t="s">
        <v>4517</v>
      </c>
      <c r="DB107" s="1" t="s">
        <v>4517</v>
      </c>
      <c r="DC107" s="1" t="s">
        <v>4517</v>
      </c>
      <c r="DD107" s="1" t="s">
        <v>4517</v>
      </c>
      <c r="DE107" s="1" t="s">
        <v>4517</v>
      </c>
      <c r="DF107" s="1" t="s">
        <v>4517</v>
      </c>
      <c r="DG107" s="1" t="s">
        <v>4517</v>
      </c>
      <c r="DH107" s="1" t="s">
        <v>4517</v>
      </c>
      <c r="DI107" s="1" t="s">
        <v>4517</v>
      </c>
      <c r="DJ107" s="1" t="s">
        <v>4517</v>
      </c>
      <c r="DK107" s="1" t="s">
        <v>4517</v>
      </c>
      <c r="DL107" s="1" t="s">
        <v>4517</v>
      </c>
      <c r="DM107" s="1" t="s">
        <v>4517</v>
      </c>
      <c r="DN107" s="1" t="s">
        <v>4517</v>
      </c>
      <c r="DO107" s="1" t="s">
        <v>4517</v>
      </c>
      <c r="DP107" s="1" t="s">
        <v>4517</v>
      </c>
      <c r="DQ107" s="1" t="s">
        <v>4517</v>
      </c>
      <c r="DR107" s="1" t="s">
        <v>4517</v>
      </c>
      <c r="DS107" s="1" t="s">
        <v>4517</v>
      </c>
      <c r="DT107" s="1">
        <v>0.32</v>
      </c>
      <c r="DU107" s="1">
        <v>9.8000000000000004E-2</v>
      </c>
      <c r="DV107" s="1" t="s">
        <v>4517</v>
      </c>
      <c r="DW107" s="1" t="s">
        <v>4517</v>
      </c>
      <c r="DX107" s="1" t="s">
        <v>4517</v>
      </c>
      <c r="DY107" s="1" t="s">
        <v>4517</v>
      </c>
      <c r="DZ107" s="1" t="s">
        <v>4517</v>
      </c>
      <c r="EA107" s="1" t="s">
        <v>4517</v>
      </c>
      <c r="EB107" s="1" t="s">
        <v>4517</v>
      </c>
      <c r="EC107" s="1" t="s">
        <v>4517</v>
      </c>
      <c r="ED107" s="1" t="s">
        <v>4517</v>
      </c>
      <c r="EE107" s="1" t="s">
        <v>4517</v>
      </c>
      <c r="EF107" s="1" t="s">
        <v>4517</v>
      </c>
      <c r="EG107" s="1" t="s">
        <v>4517</v>
      </c>
      <c r="EH107" s="1" t="s">
        <v>4517</v>
      </c>
      <c r="EI107" s="1" t="s">
        <v>4517</v>
      </c>
      <c r="EJ107" s="1" t="s">
        <v>4517</v>
      </c>
      <c r="EK107" s="1" t="s">
        <v>4517</v>
      </c>
      <c r="EL107" s="1" t="s">
        <v>4517</v>
      </c>
      <c r="EN107" s="1" t="s">
        <v>4517</v>
      </c>
      <c r="EO107" s="1" t="s">
        <v>4517</v>
      </c>
      <c r="EP107" s="1" t="s">
        <v>4517</v>
      </c>
      <c r="EQ107" s="1" t="s">
        <v>4517</v>
      </c>
      <c r="ER107" s="1" t="s">
        <v>4517</v>
      </c>
      <c r="ES107" s="1" t="s">
        <v>4517</v>
      </c>
      <c r="ET107" s="1" t="s">
        <v>4517</v>
      </c>
      <c r="EU107" s="1" t="s">
        <v>4517</v>
      </c>
      <c r="EV107" s="1" t="s">
        <v>4517</v>
      </c>
      <c r="EW107" s="1" t="s">
        <v>4517</v>
      </c>
      <c r="EX107" s="1" t="s">
        <v>4517</v>
      </c>
      <c r="EY107" s="1" t="s">
        <v>4517</v>
      </c>
      <c r="EZ107" s="1" t="s">
        <v>4517</v>
      </c>
      <c r="FA107" s="1" t="s">
        <v>4517</v>
      </c>
      <c r="FB107" s="1" t="s">
        <v>4517</v>
      </c>
      <c r="FC107" s="1" t="s">
        <v>4517</v>
      </c>
      <c r="FD107" s="1" t="s">
        <v>4517</v>
      </c>
      <c r="FE107" s="1" t="s">
        <v>4517</v>
      </c>
      <c r="FF107" s="1" t="s">
        <v>4517</v>
      </c>
      <c r="FG107" s="1" t="s">
        <v>4517</v>
      </c>
      <c r="FH107" s="1" t="s">
        <v>4517</v>
      </c>
      <c r="FI107" s="1" t="s">
        <v>4517</v>
      </c>
      <c r="FJ107" s="1" t="s">
        <v>4517</v>
      </c>
      <c r="FK107" s="1" t="s">
        <v>4517</v>
      </c>
      <c r="FL107" s="1" t="s">
        <v>4517</v>
      </c>
      <c r="FM107" s="1" t="s">
        <v>4517</v>
      </c>
      <c r="FN107" s="1" t="s">
        <v>4517</v>
      </c>
      <c r="FO107" s="1" t="s">
        <v>4517</v>
      </c>
      <c r="FP107" s="1" t="s">
        <v>4517</v>
      </c>
      <c r="FQ107" s="1" t="s">
        <v>4517</v>
      </c>
      <c r="FR107" s="1" t="s">
        <v>4517</v>
      </c>
      <c r="FS107" s="1" t="s">
        <v>4517</v>
      </c>
      <c r="FT107" s="1" t="s">
        <v>4517</v>
      </c>
      <c r="FU107" s="1" t="s">
        <v>4517</v>
      </c>
      <c r="FV107" s="1" t="s">
        <v>4517</v>
      </c>
      <c r="FW107" s="1" t="s">
        <v>4517</v>
      </c>
      <c r="FX107" s="1" t="s">
        <v>4517</v>
      </c>
      <c r="FY107" s="1" t="s">
        <v>4517</v>
      </c>
      <c r="FZ107" s="1" t="s">
        <v>4517</v>
      </c>
      <c r="GA107" s="1" t="s">
        <v>4517</v>
      </c>
      <c r="GB107" s="1" t="s">
        <v>4517</v>
      </c>
      <c r="GC107" s="1" t="s">
        <v>4517</v>
      </c>
      <c r="GD107" s="1" t="s">
        <v>4517</v>
      </c>
      <c r="GE107" s="1" t="s">
        <v>4517</v>
      </c>
      <c r="GF107" s="1" t="s">
        <v>4517</v>
      </c>
      <c r="GG107" s="1" t="s">
        <v>4517</v>
      </c>
      <c r="GH107" s="1" t="s">
        <v>4517</v>
      </c>
      <c r="GI107" s="1" t="s">
        <v>4517</v>
      </c>
      <c r="GJ107" s="1" t="s">
        <v>4517</v>
      </c>
      <c r="GK107" s="1" t="s">
        <v>4517</v>
      </c>
      <c r="GL107" s="1" t="s">
        <v>4517</v>
      </c>
      <c r="GM107" s="1" t="s">
        <v>4517</v>
      </c>
      <c r="GN107" s="1" t="s">
        <v>4517</v>
      </c>
      <c r="GO107" s="1" t="s">
        <v>4517</v>
      </c>
      <c r="GP107" s="1" t="s">
        <v>4517</v>
      </c>
      <c r="GQ107" s="1" t="s">
        <v>4517</v>
      </c>
      <c r="GR107" s="1" t="s">
        <v>4517</v>
      </c>
      <c r="GS107" s="1" t="s">
        <v>4517</v>
      </c>
      <c r="GT107" s="1" t="s">
        <v>4517</v>
      </c>
      <c r="GU107" s="1" t="s">
        <v>4517</v>
      </c>
      <c r="GV107" s="1" t="s">
        <v>4517</v>
      </c>
      <c r="GW107" s="1" t="s">
        <v>4517</v>
      </c>
      <c r="GX107" s="1" t="s">
        <v>4517</v>
      </c>
      <c r="GY107" s="1" t="s">
        <v>4517</v>
      </c>
      <c r="GZ107" s="1" t="s">
        <v>4517</v>
      </c>
      <c r="HA107" s="1" t="s">
        <v>4517</v>
      </c>
      <c r="HB107" s="1" t="s">
        <v>4517</v>
      </c>
      <c r="HC107" s="1" t="s">
        <v>4517</v>
      </c>
      <c r="HD107" s="1" t="s">
        <v>4517</v>
      </c>
      <c r="HE107" s="1" t="s">
        <v>4517</v>
      </c>
      <c r="HV107" s="1" t="s">
        <v>4517</v>
      </c>
      <c r="HW107" s="1" t="s">
        <v>4517</v>
      </c>
      <c r="HX107" s="1" t="s">
        <v>4517</v>
      </c>
      <c r="HY107" s="1" t="s">
        <v>4517</v>
      </c>
      <c r="HZ107" s="1" t="s">
        <v>4517</v>
      </c>
      <c r="IA107" s="1" t="s">
        <v>4517</v>
      </c>
      <c r="IB107" s="1" t="s">
        <v>4517</v>
      </c>
      <c r="IC107" s="1" t="s">
        <v>4517</v>
      </c>
      <c r="ID107" s="1" t="s">
        <v>4517</v>
      </c>
      <c r="IE107" s="1" t="s">
        <v>4517</v>
      </c>
      <c r="IF107" s="1">
        <v>41</v>
      </c>
      <c r="IG107" s="1" t="s">
        <v>4517</v>
      </c>
      <c r="IH107" s="1" t="s">
        <v>4517</v>
      </c>
      <c r="II107" s="1" t="s">
        <v>4517</v>
      </c>
      <c r="IJ107" s="1" t="s">
        <v>4517</v>
      </c>
    </row>
    <row r="108" spans="1:244" x14ac:dyDescent="0.2">
      <c r="A108" s="15" t="s">
        <v>7520</v>
      </c>
      <c r="B108" s="1" t="s">
        <v>7607</v>
      </c>
      <c r="D108" s="1" t="s">
        <v>7258</v>
      </c>
      <c r="E108" s="1" t="s">
        <v>7</v>
      </c>
      <c r="G108" s="1" t="s">
        <v>7611</v>
      </c>
      <c r="H108" s="1" t="s">
        <v>7616</v>
      </c>
      <c r="I108" s="1">
        <v>7</v>
      </c>
      <c r="J108" s="1" t="s">
        <v>7612</v>
      </c>
      <c r="K108" s="17">
        <v>1991</v>
      </c>
      <c r="L108" s="17" t="s">
        <v>7613</v>
      </c>
      <c r="M108" s="17" t="s">
        <v>7277</v>
      </c>
      <c r="N108" s="17">
        <v>1.1000000000000001</v>
      </c>
      <c r="O108" s="1" t="s">
        <v>4517</v>
      </c>
      <c r="P108" s="1" t="s">
        <v>4517</v>
      </c>
      <c r="Q108" s="1" t="s">
        <v>4517</v>
      </c>
      <c r="R108" s="1" t="s">
        <v>4517</v>
      </c>
      <c r="S108" s="1" t="s">
        <v>4517</v>
      </c>
      <c r="T108" s="1" t="s">
        <v>4517</v>
      </c>
      <c r="U108" s="1" t="s">
        <v>4517</v>
      </c>
      <c r="V108" s="1" t="s">
        <v>4517</v>
      </c>
      <c r="W108" s="1">
        <v>5.95</v>
      </c>
      <c r="X108" s="1">
        <v>1.48</v>
      </c>
      <c r="Y108" s="1" t="s">
        <v>4517</v>
      </c>
      <c r="Z108" s="1" t="s">
        <v>4517</v>
      </c>
      <c r="AA108" s="1" t="s">
        <v>4517</v>
      </c>
      <c r="AB108" s="1">
        <v>8.81</v>
      </c>
      <c r="AC108" s="1" t="s">
        <v>4517</v>
      </c>
      <c r="AD108" s="6" t="s">
        <v>4517</v>
      </c>
      <c r="AE108" s="1" t="s">
        <v>4517</v>
      </c>
      <c r="AF108" s="6" t="s">
        <v>4517</v>
      </c>
      <c r="AG108" s="6" t="s">
        <v>4517</v>
      </c>
      <c r="AH108" s="6"/>
      <c r="AI108" s="1" t="s">
        <v>4517</v>
      </c>
      <c r="AJ108" s="1" t="s">
        <v>4517</v>
      </c>
      <c r="AK108" s="1" t="s">
        <v>4517</v>
      </c>
      <c r="AL108" s="1" t="s">
        <v>4517</v>
      </c>
      <c r="AM108" s="1" t="s">
        <v>4517</v>
      </c>
      <c r="AN108" s="1" t="s">
        <v>4517</v>
      </c>
      <c r="AO108" s="1" t="s">
        <v>4517</v>
      </c>
      <c r="AP108" s="1" t="s">
        <v>4517</v>
      </c>
      <c r="AQ108" s="1" t="s">
        <v>4517</v>
      </c>
      <c r="AR108" s="1" t="s">
        <v>4517</v>
      </c>
      <c r="AS108" s="1" t="s">
        <v>4517</v>
      </c>
      <c r="AT108" s="1" t="s">
        <v>4517</v>
      </c>
      <c r="AU108" s="1" t="s">
        <v>4517</v>
      </c>
      <c r="AV108" s="1" t="s">
        <v>4517</v>
      </c>
      <c r="AW108" s="1" t="s">
        <v>4517</v>
      </c>
      <c r="AX108" s="1" t="s">
        <v>4517</v>
      </c>
      <c r="AY108" s="1" t="s">
        <v>4517</v>
      </c>
      <c r="AZ108" s="1" t="s">
        <v>4517</v>
      </c>
      <c r="BA108" s="1" t="s">
        <v>4517</v>
      </c>
      <c r="BB108" s="1" t="s">
        <v>4517</v>
      </c>
      <c r="BC108" s="1" t="s">
        <v>4517</v>
      </c>
      <c r="BD108" s="1" t="s">
        <v>4517</v>
      </c>
      <c r="BE108" s="1" t="s">
        <v>4517</v>
      </c>
      <c r="BF108" s="1" t="s">
        <v>4517</v>
      </c>
      <c r="BG108" s="1" t="s">
        <v>4517</v>
      </c>
      <c r="BH108" s="1" t="s">
        <v>4517</v>
      </c>
      <c r="BI108" s="1" t="s">
        <v>4517</v>
      </c>
      <c r="BJ108" s="1" t="s">
        <v>4517</v>
      </c>
      <c r="BK108" s="1" t="s">
        <v>4517</v>
      </c>
      <c r="BL108" s="1" t="s">
        <v>4517</v>
      </c>
      <c r="BM108" s="1">
        <v>0.66</v>
      </c>
      <c r="BN108" s="1" t="s">
        <v>4517</v>
      </c>
      <c r="BO108" s="1">
        <v>6</v>
      </c>
      <c r="BP108" s="1" t="s">
        <v>4517</v>
      </c>
      <c r="BQ108" s="1">
        <v>0.52</v>
      </c>
      <c r="BR108" s="1">
        <v>0.9</v>
      </c>
      <c r="BS108" s="1">
        <v>210</v>
      </c>
      <c r="BT108" s="1">
        <v>0.84</v>
      </c>
      <c r="BU108" s="1">
        <v>58</v>
      </c>
      <c r="BV108" s="1" t="s">
        <v>4517</v>
      </c>
      <c r="BW108" s="1">
        <v>210</v>
      </c>
      <c r="BX108" s="1" t="s">
        <v>4517</v>
      </c>
      <c r="BY108" s="1">
        <v>1.64</v>
      </c>
      <c r="BZ108" s="1">
        <v>6000</v>
      </c>
      <c r="CA108" s="1" t="s">
        <v>4517</v>
      </c>
      <c r="CB108" s="1" t="s">
        <v>4517</v>
      </c>
      <c r="CC108" s="1" t="s">
        <v>4517</v>
      </c>
      <c r="CD108" s="1">
        <v>31</v>
      </c>
      <c r="CE108" s="1" t="s">
        <v>4517</v>
      </c>
      <c r="CF108" s="1" t="s">
        <v>4517</v>
      </c>
      <c r="CG108" s="1" t="s">
        <v>4517</v>
      </c>
      <c r="CH108" s="1" t="s">
        <v>4517</v>
      </c>
      <c r="CI108" s="1" t="s">
        <v>4517</v>
      </c>
      <c r="CJ108" s="1" t="s">
        <v>4517</v>
      </c>
      <c r="CK108" s="1" t="s">
        <v>4517</v>
      </c>
      <c r="CL108" s="1">
        <v>140</v>
      </c>
      <c r="CM108" s="1" t="s">
        <v>4517</v>
      </c>
      <c r="CN108" s="1" t="s">
        <v>4517</v>
      </c>
      <c r="CO108" s="1" t="s">
        <v>4517</v>
      </c>
      <c r="CP108" s="1" t="s">
        <v>4517</v>
      </c>
      <c r="CQ108" s="1" t="s">
        <v>4517</v>
      </c>
      <c r="CR108" s="1" t="s">
        <v>4517</v>
      </c>
      <c r="CS108" s="1" t="s">
        <v>4517</v>
      </c>
      <c r="CT108" s="1" t="s">
        <v>4517</v>
      </c>
      <c r="CU108" s="1" t="s">
        <v>4517</v>
      </c>
      <c r="CV108" s="1" t="s">
        <v>4517</v>
      </c>
      <c r="CW108" s="1" t="s">
        <v>4517</v>
      </c>
      <c r="CX108" s="1" t="s">
        <v>4517</v>
      </c>
      <c r="CY108" s="1" t="s">
        <v>4517</v>
      </c>
      <c r="CZ108" s="1" t="s">
        <v>4517</v>
      </c>
      <c r="DA108" s="1" t="s">
        <v>4517</v>
      </c>
      <c r="DB108" s="1" t="s">
        <v>4517</v>
      </c>
      <c r="DC108" s="1" t="s">
        <v>4517</v>
      </c>
      <c r="DD108" s="1" t="s">
        <v>4517</v>
      </c>
      <c r="DE108" s="1" t="s">
        <v>4517</v>
      </c>
      <c r="DF108" s="1" t="s">
        <v>4517</v>
      </c>
      <c r="DG108" s="1" t="s">
        <v>4517</v>
      </c>
      <c r="DH108" s="1" t="s">
        <v>4517</v>
      </c>
      <c r="DI108" s="1" t="s">
        <v>4517</v>
      </c>
      <c r="DJ108" s="1" t="s">
        <v>4517</v>
      </c>
      <c r="DK108" s="1" t="s">
        <v>4517</v>
      </c>
      <c r="DL108" s="1" t="s">
        <v>4517</v>
      </c>
      <c r="DM108" s="1" t="s">
        <v>4517</v>
      </c>
      <c r="DN108" s="1" t="s">
        <v>4517</v>
      </c>
      <c r="DO108" s="1" t="s">
        <v>4517</v>
      </c>
      <c r="DP108" s="1" t="s">
        <v>4517</v>
      </c>
      <c r="DQ108" s="1" t="s">
        <v>4517</v>
      </c>
      <c r="DR108" s="1" t="s">
        <v>4517</v>
      </c>
      <c r="DS108" s="1" t="s">
        <v>4517</v>
      </c>
      <c r="DT108" s="1">
        <v>4.5999999999999999E-2</v>
      </c>
      <c r="DU108" s="1">
        <v>0.05</v>
      </c>
      <c r="DV108" s="1" t="s">
        <v>4517</v>
      </c>
      <c r="DW108" s="1" t="s">
        <v>4517</v>
      </c>
      <c r="DX108" s="1" t="s">
        <v>4517</v>
      </c>
      <c r="DY108" s="1" t="s">
        <v>4517</v>
      </c>
      <c r="DZ108" s="1" t="s">
        <v>4517</v>
      </c>
      <c r="EA108" s="1" t="s">
        <v>4517</v>
      </c>
      <c r="EB108" s="1" t="s">
        <v>4517</v>
      </c>
      <c r="EC108" s="1" t="s">
        <v>4517</v>
      </c>
      <c r="ED108" s="1" t="s">
        <v>4517</v>
      </c>
      <c r="EE108" s="1" t="s">
        <v>4517</v>
      </c>
      <c r="EF108" s="1" t="s">
        <v>4517</v>
      </c>
      <c r="EG108" s="1" t="s">
        <v>4517</v>
      </c>
      <c r="EH108" s="1" t="s">
        <v>4517</v>
      </c>
      <c r="EI108" s="1" t="s">
        <v>4517</v>
      </c>
      <c r="EJ108" s="1" t="s">
        <v>4517</v>
      </c>
      <c r="EK108" s="1" t="s">
        <v>4517</v>
      </c>
      <c r="EL108" s="1" t="s">
        <v>4517</v>
      </c>
      <c r="EN108" s="1" t="s">
        <v>4517</v>
      </c>
      <c r="EO108" s="1" t="s">
        <v>4517</v>
      </c>
      <c r="EP108" s="1" t="s">
        <v>4517</v>
      </c>
      <c r="EQ108" s="1" t="s">
        <v>4517</v>
      </c>
      <c r="ER108" s="1" t="s">
        <v>4517</v>
      </c>
      <c r="ES108" s="1" t="s">
        <v>4517</v>
      </c>
      <c r="ET108" s="1" t="s">
        <v>4517</v>
      </c>
      <c r="EU108" s="1" t="s">
        <v>4517</v>
      </c>
      <c r="EV108" s="1" t="s">
        <v>4517</v>
      </c>
      <c r="EW108" s="1" t="s">
        <v>4517</v>
      </c>
      <c r="EX108" s="1" t="s">
        <v>4517</v>
      </c>
      <c r="EY108" s="1" t="s">
        <v>4517</v>
      </c>
      <c r="EZ108" s="1" t="s">
        <v>4517</v>
      </c>
      <c r="FA108" s="1" t="s">
        <v>4517</v>
      </c>
      <c r="FB108" s="1" t="s">
        <v>4517</v>
      </c>
      <c r="FC108" s="1" t="s">
        <v>4517</v>
      </c>
      <c r="FD108" s="1" t="s">
        <v>4517</v>
      </c>
      <c r="FE108" s="1" t="s">
        <v>4517</v>
      </c>
      <c r="FF108" s="1" t="s">
        <v>4517</v>
      </c>
      <c r="FG108" s="1" t="s">
        <v>4517</v>
      </c>
      <c r="FH108" s="1" t="s">
        <v>4517</v>
      </c>
      <c r="FI108" s="1" t="s">
        <v>4517</v>
      </c>
      <c r="FJ108" s="1" t="s">
        <v>4517</v>
      </c>
      <c r="FK108" s="1" t="s">
        <v>4517</v>
      </c>
      <c r="FL108" s="1" t="s">
        <v>4517</v>
      </c>
      <c r="FM108" s="1" t="s">
        <v>4517</v>
      </c>
      <c r="FN108" s="1" t="s">
        <v>4517</v>
      </c>
      <c r="FO108" s="1" t="s">
        <v>4517</v>
      </c>
      <c r="FP108" s="1" t="s">
        <v>4517</v>
      </c>
      <c r="FQ108" s="1" t="s">
        <v>4517</v>
      </c>
      <c r="FR108" s="1" t="s">
        <v>4517</v>
      </c>
      <c r="FS108" s="1" t="s">
        <v>4517</v>
      </c>
      <c r="FT108" s="1" t="s">
        <v>4517</v>
      </c>
      <c r="FU108" s="1" t="s">
        <v>4517</v>
      </c>
      <c r="FV108" s="1" t="s">
        <v>4517</v>
      </c>
      <c r="FW108" s="1" t="s">
        <v>4517</v>
      </c>
      <c r="FX108" s="1" t="s">
        <v>4517</v>
      </c>
      <c r="FY108" s="1" t="s">
        <v>4517</v>
      </c>
      <c r="FZ108" s="1" t="s">
        <v>4517</v>
      </c>
      <c r="GA108" s="1" t="s">
        <v>4517</v>
      </c>
      <c r="GB108" s="1" t="s">
        <v>4517</v>
      </c>
      <c r="GC108" s="1" t="s">
        <v>4517</v>
      </c>
      <c r="GD108" s="1" t="s">
        <v>4517</v>
      </c>
      <c r="GE108" s="1" t="s">
        <v>4517</v>
      </c>
      <c r="GF108" s="1" t="s">
        <v>4517</v>
      </c>
      <c r="GG108" s="1" t="s">
        <v>4517</v>
      </c>
      <c r="GH108" s="1" t="s">
        <v>4517</v>
      </c>
      <c r="GI108" s="1" t="s">
        <v>4517</v>
      </c>
      <c r="GJ108" s="1" t="s">
        <v>4517</v>
      </c>
      <c r="GK108" s="1" t="s">
        <v>4517</v>
      </c>
      <c r="GL108" s="1" t="s">
        <v>4517</v>
      </c>
      <c r="GM108" s="1" t="s">
        <v>4517</v>
      </c>
      <c r="GN108" s="1" t="s">
        <v>4517</v>
      </c>
      <c r="GO108" s="1" t="s">
        <v>4517</v>
      </c>
      <c r="GP108" s="1" t="s">
        <v>4517</v>
      </c>
      <c r="GQ108" s="1" t="s">
        <v>4517</v>
      </c>
      <c r="GR108" s="1" t="s">
        <v>4517</v>
      </c>
      <c r="GS108" s="1" t="s">
        <v>4517</v>
      </c>
      <c r="GT108" s="1" t="s">
        <v>4517</v>
      </c>
      <c r="GU108" s="1" t="s">
        <v>4517</v>
      </c>
      <c r="GV108" s="1" t="s">
        <v>4517</v>
      </c>
      <c r="GW108" s="1" t="s">
        <v>4517</v>
      </c>
      <c r="GX108" s="1" t="s">
        <v>4517</v>
      </c>
      <c r="GY108" s="1" t="s">
        <v>4517</v>
      </c>
      <c r="GZ108" s="1" t="s">
        <v>4517</v>
      </c>
      <c r="HA108" s="1" t="s">
        <v>4517</v>
      </c>
      <c r="HB108" s="1" t="s">
        <v>4517</v>
      </c>
      <c r="HC108" s="1" t="s">
        <v>4517</v>
      </c>
      <c r="HD108" s="1" t="s">
        <v>4517</v>
      </c>
      <c r="HE108" s="1" t="s">
        <v>4517</v>
      </c>
      <c r="HV108" s="1" t="s">
        <v>4517</v>
      </c>
      <c r="HW108" s="1" t="s">
        <v>4517</v>
      </c>
      <c r="HX108" s="1" t="s">
        <v>4517</v>
      </c>
      <c r="HY108" s="1" t="s">
        <v>4517</v>
      </c>
      <c r="HZ108" s="1" t="s">
        <v>4517</v>
      </c>
      <c r="IA108" s="1" t="s">
        <v>4517</v>
      </c>
      <c r="IB108" s="1" t="s">
        <v>4517</v>
      </c>
      <c r="IC108" s="1" t="s">
        <v>4517</v>
      </c>
      <c r="ID108" s="1" t="s">
        <v>4517</v>
      </c>
      <c r="IE108" s="1" t="s">
        <v>4517</v>
      </c>
      <c r="IF108" s="1">
        <v>15</v>
      </c>
      <c r="IG108" s="1" t="s">
        <v>4517</v>
      </c>
      <c r="IH108" s="1" t="s">
        <v>4517</v>
      </c>
      <c r="II108" s="1" t="s">
        <v>4517</v>
      </c>
      <c r="IJ108" s="1" t="s">
        <v>4517</v>
      </c>
    </row>
    <row r="109" spans="1:244" x14ac:dyDescent="0.2">
      <c r="A109" s="15" t="s">
        <v>7521</v>
      </c>
      <c r="B109" s="1" t="s">
        <v>7609</v>
      </c>
      <c r="D109" s="1" t="s">
        <v>7608</v>
      </c>
      <c r="E109" s="1" t="s">
        <v>7</v>
      </c>
      <c r="G109" s="1">
        <v>1981</v>
      </c>
      <c r="H109" s="1" t="s">
        <v>7617</v>
      </c>
      <c r="I109" s="1" t="s">
        <v>4517</v>
      </c>
      <c r="J109" s="1" t="s">
        <v>7614</v>
      </c>
      <c r="K109" s="17">
        <v>1987</v>
      </c>
      <c r="L109" s="17" t="s">
        <v>7615</v>
      </c>
      <c r="M109" s="17" t="s">
        <v>7277</v>
      </c>
      <c r="N109" s="17">
        <v>1.1000000000000001</v>
      </c>
      <c r="O109" s="1" t="s">
        <v>4517</v>
      </c>
      <c r="P109" s="1" t="s">
        <v>4517</v>
      </c>
      <c r="Q109" s="1" t="s">
        <v>4517</v>
      </c>
      <c r="R109" s="1" t="s">
        <v>4517</v>
      </c>
      <c r="S109" s="1" t="s">
        <v>4517</v>
      </c>
      <c r="T109" s="1" t="s">
        <v>4517</v>
      </c>
      <c r="U109" s="1" t="s">
        <v>4517</v>
      </c>
      <c r="V109" s="1" t="s">
        <v>4517</v>
      </c>
      <c r="W109" s="1" t="s">
        <v>4517</v>
      </c>
      <c r="X109" s="1" t="s">
        <v>4517</v>
      </c>
      <c r="Y109" s="1" t="s">
        <v>4517</v>
      </c>
      <c r="Z109" s="1" t="s">
        <v>4517</v>
      </c>
      <c r="AA109" s="1" t="s">
        <v>4517</v>
      </c>
      <c r="AB109" s="1" t="s">
        <v>4517</v>
      </c>
      <c r="AC109" s="1" t="s">
        <v>4517</v>
      </c>
      <c r="AD109" s="6">
        <v>9.3000000000000007</v>
      </c>
      <c r="AE109" s="1" t="s">
        <v>4517</v>
      </c>
      <c r="AF109" s="6" t="s">
        <v>4517</v>
      </c>
      <c r="AG109" s="6" t="s">
        <v>4517</v>
      </c>
      <c r="AH109" s="6"/>
      <c r="AI109" s="1" t="s">
        <v>4517</v>
      </c>
      <c r="AJ109" s="1" t="s">
        <v>4517</v>
      </c>
      <c r="AK109" s="1" t="s">
        <v>4517</v>
      </c>
      <c r="AL109" s="1" t="s">
        <v>4517</v>
      </c>
      <c r="AM109" s="1" t="s">
        <v>4517</v>
      </c>
      <c r="AN109" s="1" t="s">
        <v>4517</v>
      </c>
      <c r="AO109" s="1" t="s">
        <v>4517</v>
      </c>
      <c r="AP109" s="1" t="s">
        <v>4517</v>
      </c>
      <c r="AQ109" s="1" t="s">
        <v>4517</v>
      </c>
      <c r="AR109" s="1" t="s">
        <v>4517</v>
      </c>
      <c r="AS109" s="1" t="s">
        <v>4517</v>
      </c>
      <c r="AT109" s="1" t="s">
        <v>4517</v>
      </c>
      <c r="AU109" s="1" t="s">
        <v>4517</v>
      </c>
      <c r="AV109" s="1" t="s">
        <v>4517</v>
      </c>
      <c r="AW109" s="1" t="s">
        <v>4517</v>
      </c>
      <c r="AX109" s="1" t="s">
        <v>4517</v>
      </c>
      <c r="AY109" s="1" t="s">
        <v>4517</v>
      </c>
      <c r="AZ109" s="1" t="s">
        <v>4517</v>
      </c>
      <c r="BA109" s="1" t="s">
        <v>4517</v>
      </c>
      <c r="BB109" s="1" t="s">
        <v>4517</v>
      </c>
      <c r="BC109" s="1" t="s">
        <v>4517</v>
      </c>
      <c r="BD109" s="1" t="s">
        <v>4517</v>
      </c>
      <c r="BE109" s="1" t="s">
        <v>4517</v>
      </c>
      <c r="BF109" s="1" t="s">
        <v>4517</v>
      </c>
      <c r="BG109" s="1" t="s">
        <v>4517</v>
      </c>
      <c r="BH109" s="1" t="s">
        <v>4517</v>
      </c>
      <c r="BI109" s="1" t="s">
        <v>4517</v>
      </c>
      <c r="BJ109" s="1" t="s">
        <v>4517</v>
      </c>
      <c r="BK109" s="1" t="s">
        <v>4517</v>
      </c>
      <c r="BL109" s="1" t="s">
        <v>4517</v>
      </c>
      <c r="BM109" s="1" t="s">
        <v>4517</v>
      </c>
      <c r="BN109" s="1" t="s">
        <v>4517</v>
      </c>
      <c r="BO109" s="1" t="s">
        <v>4517</v>
      </c>
      <c r="BP109" s="1" t="s">
        <v>4517</v>
      </c>
      <c r="BQ109" s="1" t="s">
        <v>4517</v>
      </c>
      <c r="BR109" s="1" t="s">
        <v>4517</v>
      </c>
      <c r="BS109" s="1" t="s">
        <v>4517</v>
      </c>
      <c r="BT109" s="1" t="s">
        <v>4517</v>
      </c>
      <c r="BU109" s="1" t="s">
        <v>4517</v>
      </c>
      <c r="BV109" s="1" t="s">
        <v>4517</v>
      </c>
      <c r="BW109" s="1" t="s">
        <v>4517</v>
      </c>
      <c r="BX109" s="1" t="s">
        <v>4517</v>
      </c>
      <c r="BY109" s="1" t="s">
        <v>4517</v>
      </c>
      <c r="BZ109" s="1" t="s">
        <v>4517</v>
      </c>
      <c r="CA109" s="1" t="s">
        <v>4517</v>
      </c>
      <c r="CB109" s="1" t="s">
        <v>4517</v>
      </c>
      <c r="CC109" s="1" t="s">
        <v>4517</v>
      </c>
      <c r="CD109" s="1" t="s">
        <v>4517</v>
      </c>
      <c r="CE109" s="1" t="s">
        <v>4517</v>
      </c>
      <c r="CF109" s="1" t="s">
        <v>4517</v>
      </c>
      <c r="CG109" s="1" t="s">
        <v>4517</v>
      </c>
      <c r="CH109" s="1" t="s">
        <v>4517</v>
      </c>
      <c r="CI109" s="1" t="s">
        <v>4517</v>
      </c>
      <c r="CJ109" s="1" t="s">
        <v>4517</v>
      </c>
      <c r="CK109" s="1" t="s">
        <v>4517</v>
      </c>
      <c r="CL109" s="1" t="s">
        <v>4517</v>
      </c>
      <c r="CM109" s="1" t="s">
        <v>4517</v>
      </c>
      <c r="CN109" s="1" t="s">
        <v>4517</v>
      </c>
      <c r="CO109" s="1" t="s">
        <v>4517</v>
      </c>
      <c r="CP109" s="1" t="s">
        <v>4517</v>
      </c>
      <c r="CQ109" s="1" t="s">
        <v>4517</v>
      </c>
      <c r="CR109" s="1" t="s">
        <v>4517</v>
      </c>
      <c r="CS109" s="1" t="s">
        <v>4517</v>
      </c>
      <c r="CT109" s="1" t="s">
        <v>4517</v>
      </c>
      <c r="CU109" s="1" t="s">
        <v>4517</v>
      </c>
      <c r="CV109" s="1" t="s">
        <v>4517</v>
      </c>
      <c r="CW109" s="1" t="s">
        <v>4517</v>
      </c>
      <c r="CX109" s="1" t="s">
        <v>4517</v>
      </c>
      <c r="CY109" s="1" t="s">
        <v>4517</v>
      </c>
      <c r="CZ109" s="1" t="s">
        <v>4517</v>
      </c>
      <c r="DA109" s="1" t="s">
        <v>4517</v>
      </c>
      <c r="DB109" s="1" t="s">
        <v>4517</v>
      </c>
      <c r="DC109" s="1" t="s">
        <v>4517</v>
      </c>
      <c r="DD109" s="1" t="s">
        <v>4517</v>
      </c>
      <c r="DE109" s="1" t="s">
        <v>4517</v>
      </c>
      <c r="DF109" s="1" t="s">
        <v>4517</v>
      </c>
      <c r="DG109" s="1" t="s">
        <v>4517</v>
      </c>
      <c r="DH109" s="1" t="s">
        <v>4517</v>
      </c>
      <c r="DI109" s="1" t="s">
        <v>4517</v>
      </c>
      <c r="DJ109" s="1" t="s">
        <v>4517</v>
      </c>
      <c r="DK109" s="1" t="s">
        <v>4517</v>
      </c>
      <c r="DL109" s="1" t="s">
        <v>4517</v>
      </c>
      <c r="DM109" s="1" t="s">
        <v>4517</v>
      </c>
      <c r="DN109" s="1" t="s">
        <v>4517</v>
      </c>
      <c r="DO109" s="1" t="s">
        <v>4517</v>
      </c>
      <c r="DP109" s="1" t="s">
        <v>4517</v>
      </c>
      <c r="DQ109" s="1" t="s">
        <v>4517</v>
      </c>
      <c r="DR109" s="1" t="s">
        <v>4517</v>
      </c>
      <c r="DS109" s="1" t="s">
        <v>4517</v>
      </c>
      <c r="DT109" s="1" t="s">
        <v>4517</v>
      </c>
      <c r="DU109" s="1" t="s">
        <v>4517</v>
      </c>
      <c r="DV109" s="1" t="s">
        <v>4517</v>
      </c>
      <c r="DW109" s="1" t="s">
        <v>4517</v>
      </c>
      <c r="DX109" s="1" t="s">
        <v>4517</v>
      </c>
      <c r="DY109" s="1" t="s">
        <v>4517</v>
      </c>
      <c r="DZ109" s="1" t="s">
        <v>4517</v>
      </c>
      <c r="EA109" s="1" t="s">
        <v>4517</v>
      </c>
      <c r="EB109" s="1" t="s">
        <v>4517</v>
      </c>
      <c r="EC109" s="1" t="s">
        <v>4517</v>
      </c>
      <c r="ED109" s="1" t="s">
        <v>4517</v>
      </c>
      <c r="EE109" s="1" t="s">
        <v>4517</v>
      </c>
      <c r="EF109" s="1" t="s">
        <v>4517</v>
      </c>
      <c r="EG109" s="1" t="s">
        <v>4517</v>
      </c>
      <c r="EH109" s="1" t="s">
        <v>4517</v>
      </c>
      <c r="EI109" s="1" t="s">
        <v>4517</v>
      </c>
      <c r="EJ109" s="1" t="s">
        <v>4517</v>
      </c>
      <c r="EK109" s="1" t="s">
        <v>4517</v>
      </c>
      <c r="EL109" s="1" t="s">
        <v>4517</v>
      </c>
      <c r="EN109" s="1" t="s">
        <v>4517</v>
      </c>
      <c r="EO109" s="1" t="s">
        <v>4517</v>
      </c>
      <c r="EP109" s="1" t="s">
        <v>4517</v>
      </c>
      <c r="EQ109" s="1" t="s">
        <v>4517</v>
      </c>
      <c r="ER109" s="1" t="s">
        <v>4517</v>
      </c>
      <c r="ES109" s="1" t="s">
        <v>4517</v>
      </c>
      <c r="ET109" s="1" t="s">
        <v>4517</v>
      </c>
      <c r="EU109" s="1" t="s">
        <v>4517</v>
      </c>
      <c r="EV109" s="1" t="s">
        <v>4517</v>
      </c>
      <c r="EW109" s="1" t="s">
        <v>4517</v>
      </c>
      <c r="EX109" s="1" t="s">
        <v>4517</v>
      </c>
      <c r="EY109" s="1" t="s">
        <v>4517</v>
      </c>
      <c r="EZ109" s="1" t="s">
        <v>4517</v>
      </c>
      <c r="FA109" s="1" t="s">
        <v>4517</v>
      </c>
      <c r="FB109" s="1" t="s">
        <v>4517</v>
      </c>
      <c r="FC109" s="1" t="s">
        <v>4517</v>
      </c>
      <c r="FD109" s="1" t="s">
        <v>4517</v>
      </c>
      <c r="FE109" s="1" t="s">
        <v>4517</v>
      </c>
      <c r="FF109" s="1" t="s">
        <v>4517</v>
      </c>
      <c r="FG109" s="1" t="s">
        <v>4517</v>
      </c>
      <c r="FH109" s="1" t="s">
        <v>4517</v>
      </c>
      <c r="FI109" s="1" t="s">
        <v>4517</v>
      </c>
      <c r="FJ109" s="1" t="s">
        <v>4517</v>
      </c>
      <c r="FK109" s="1" t="s">
        <v>4517</v>
      </c>
      <c r="FL109" s="1" t="s">
        <v>4517</v>
      </c>
      <c r="FM109" s="1" t="s">
        <v>4517</v>
      </c>
      <c r="FN109" s="1" t="s">
        <v>4517</v>
      </c>
      <c r="FO109" s="1" t="s">
        <v>4517</v>
      </c>
      <c r="FP109" s="1" t="s">
        <v>4517</v>
      </c>
      <c r="FQ109" s="1" t="s">
        <v>4517</v>
      </c>
      <c r="FR109" s="1" t="s">
        <v>4517</v>
      </c>
      <c r="FS109" s="1" t="s">
        <v>4517</v>
      </c>
      <c r="FT109" s="1" t="s">
        <v>4517</v>
      </c>
      <c r="FU109" s="1" t="s">
        <v>4517</v>
      </c>
      <c r="FV109" s="1" t="s">
        <v>4517</v>
      </c>
      <c r="FW109" s="1" t="s">
        <v>4517</v>
      </c>
      <c r="FX109" s="1" t="s">
        <v>4517</v>
      </c>
      <c r="FY109" s="1" t="s">
        <v>4517</v>
      </c>
      <c r="FZ109" s="1" t="s">
        <v>4517</v>
      </c>
      <c r="GA109" s="1" t="s">
        <v>4517</v>
      </c>
      <c r="GB109" s="1" t="s">
        <v>4517</v>
      </c>
      <c r="GC109" s="1" t="s">
        <v>4517</v>
      </c>
      <c r="GD109" s="1" t="s">
        <v>4517</v>
      </c>
      <c r="GE109" s="1" t="s">
        <v>4517</v>
      </c>
      <c r="GF109" s="1" t="s">
        <v>4517</v>
      </c>
      <c r="GG109" s="1" t="s">
        <v>4517</v>
      </c>
      <c r="GH109" s="1" t="s">
        <v>4517</v>
      </c>
      <c r="GI109" s="1" t="s">
        <v>4517</v>
      </c>
      <c r="GJ109" s="1" t="s">
        <v>4517</v>
      </c>
      <c r="GK109" s="1" t="s">
        <v>4517</v>
      </c>
      <c r="GL109" s="1" t="s">
        <v>4517</v>
      </c>
      <c r="GM109" s="1" t="s">
        <v>4517</v>
      </c>
      <c r="GN109" s="1" t="s">
        <v>4517</v>
      </c>
      <c r="GO109" s="1" t="s">
        <v>4517</v>
      </c>
      <c r="GP109" s="1" t="s">
        <v>4517</v>
      </c>
      <c r="GQ109" s="1" t="s">
        <v>4517</v>
      </c>
      <c r="GR109" s="1">
        <v>372</v>
      </c>
      <c r="GS109" s="1" t="s">
        <v>4517</v>
      </c>
      <c r="GT109" s="1" t="s">
        <v>4517</v>
      </c>
      <c r="GU109" s="1" t="s">
        <v>4517</v>
      </c>
      <c r="GV109" s="1" t="s">
        <v>4517</v>
      </c>
      <c r="GW109" s="1" t="s">
        <v>4517</v>
      </c>
      <c r="GX109" s="1" t="s">
        <v>4517</v>
      </c>
      <c r="GY109" s="1" t="s">
        <v>4517</v>
      </c>
      <c r="GZ109" s="1" t="s">
        <v>4517</v>
      </c>
      <c r="HA109" s="1" t="s">
        <v>4517</v>
      </c>
      <c r="HB109" s="1" t="s">
        <v>4517</v>
      </c>
      <c r="HC109" s="1" t="s">
        <v>4517</v>
      </c>
      <c r="HD109" s="1" t="s">
        <v>4517</v>
      </c>
      <c r="HE109" s="1" t="s">
        <v>4517</v>
      </c>
      <c r="HV109" s="1" t="s">
        <v>4517</v>
      </c>
      <c r="HW109" s="1" t="s">
        <v>4517</v>
      </c>
      <c r="HX109" s="1" t="s">
        <v>4517</v>
      </c>
      <c r="HY109" s="1" t="s">
        <v>4517</v>
      </c>
      <c r="HZ109" s="1" t="s">
        <v>4517</v>
      </c>
      <c r="IA109" s="1" t="s">
        <v>4517</v>
      </c>
      <c r="IB109" s="1" t="s">
        <v>4517</v>
      </c>
      <c r="IC109" s="1" t="s">
        <v>4517</v>
      </c>
      <c r="ID109" s="1" t="s">
        <v>4517</v>
      </c>
      <c r="IE109" s="1" t="s">
        <v>4517</v>
      </c>
      <c r="IF109" s="1" t="s">
        <v>4517</v>
      </c>
      <c r="IG109" s="1" t="s">
        <v>4517</v>
      </c>
      <c r="IH109" s="1" t="s">
        <v>4517</v>
      </c>
      <c r="II109" s="1" t="s">
        <v>4517</v>
      </c>
      <c r="IJ109" s="1" t="s">
        <v>4517</v>
      </c>
    </row>
    <row r="110" spans="1:244" x14ac:dyDescent="0.2">
      <c r="A110" s="15" t="s">
        <v>7522</v>
      </c>
      <c r="B110" s="1" t="s">
        <v>7609</v>
      </c>
      <c r="D110" s="1" t="s">
        <v>7608</v>
      </c>
      <c r="E110" s="1" t="s">
        <v>7</v>
      </c>
      <c r="G110" s="1">
        <v>1981</v>
      </c>
      <c r="H110" s="1" t="s">
        <v>7618</v>
      </c>
      <c r="I110" s="1" t="s">
        <v>4517</v>
      </c>
      <c r="J110" s="1" t="s">
        <v>7614</v>
      </c>
      <c r="K110" s="17">
        <v>1987</v>
      </c>
      <c r="L110" s="17" t="s">
        <v>7615</v>
      </c>
      <c r="M110" s="17" t="s">
        <v>7277</v>
      </c>
      <c r="N110" s="17">
        <v>1.1000000000000001</v>
      </c>
      <c r="O110" s="1" t="s">
        <v>4517</v>
      </c>
      <c r="P110" s="1" t="s">
        <v>4517</v>
      </c>
      <c r="Q110" s="1" t="s">
        <v>4517</v>
      </c>
      <c r="R110" s="1" t="s">
        <v>4517</v>
      </c>
      <c r="S110" s="1" t="s">
        <v>4517</v>
      </c>
      <c r="T110" s="1" t="s">
        <v>4517</v>
      </c>
      <c r="U110" s="1" t="s">
        <v>4517</v>
      </c>
      <c r="V110" s="1" t="s">
        <v>4517</v>
      </c>
      <c r="W110" s="1" t="s">
        <v>4517</v>
      </c>
      <c r="X110" s="1" t="s">
        <v>4517</v>
      </c>
      <c r="Y110" s="1" t="s">
        <v>4517</v>
      </c>
      <c r="Z110" s="1" t="s">
        <v>4517</v>
      </c>
      <c r="AA110" s="1" t="s">
        <v>4517</v>
      </c>
      <c r="AB110" s="1" t="s">
        <v>4517</v>
      </c>
      <c r="AC110" s="1" t="s">
        <v>4517</v>
      </c>
      <c r="AD110" s="6">
        <v>9.1999999999999993</v>
      </c>
      <c r="AE110" s="1" t="s">
        <v>4517</v>
      </c>
      <c r="AF110" s="6" t="s">
        <v>4517</v>
      </c>
      <c r="AG110" s="6" t="s">
        <v>4517</v>
      </c>
      <c r="AH110" s="6"/>
      <c r="AI110" s="1" t="s">
        <v>4517</v>
      </c>
      <c r="AJ110" s="1" t="s">
        <v>4517</v>
      </c>
      <c r="AK110" s="1" t="s">
        <v>4517</v>
      </c>
      <c r="AL110" s="1" t="s">
        <v>4517</v>
      </c>
      <c r="AM110" s="1" t="s">
        <v>4517</v>
      </c>
      <c r="AN110" s="1" t="s">
        <v>4517</v>
      </c>
      <c r="AO110" s="1" t="s">
        <v>4517</v>
      </c>
      <c r="AP110" s="1" t="s">
        <v>4517</v>
      </c>
      <c r="AQ110" s="1" t="s">
        <v>4517</v>
      </c>
      <c r="AR110" s="1" t="s">
        <v>4517</v>
      </c>
      <c r="AS110" s="1" t="s">
        <v>4517</v>
      </c>
      <c r="AT110" s="1" t="s">
        <v>4517</v>
      </c>
      <c r="AU110" s="1" t="s">
        <v>4517</v>
      </c>
      <c r="AV110" s="1" t="s">
        <v>4517</v>
      </c>
      <c r="AW110" s="1" t="s">
        <v>4517</v>
      </c>
      <c r="AX110" s="1" t="s">
        <v>4517</v>
      </c>
      <c r="AY110" s="1" t="s">
        <v>4517</v>
      </c>
      <c r="AZ110" s="1" t="s">
        <v>4517</v>
      </c>
      <c r="BA110" s="1" t="s">
        <v>4517</v>
      </c>
      <c r="BB110" s="1" t="s">
        <v>4517</v>
      </c>
      <c r="BC110" s="1" t="s">
        <v>4517</v>
      </c>
      <c r="BD110" s="1" t="s">
        <v>4517</v>
      </c>
      <c r="BE110" s="1" t="s">
        <v>4517</v>
      </c>
      <c r="BF110" s="1" t="s">
        <v>4517</v>
      </c>
      <c r="BG110" s="1" t="s">
        <v>4517</v>
      </c>
      <c r="BH110" s="1" t="s">
        <v>4517</v>
      </c>
      <c r="BI110" s="1" t="s">
        <v>4517</v>
      </c>
      <c r="BJ110" s="1" t="s">
        <v>4517</v>
      </c>
      <c r="BK110" s="1" t="s">
        <v>4517</v>
      </c>
      <c r="BL110" s="1" t="s">
        <v>4517</v>
      </c>
      <c r="BM110" s="1" t="s">
        <v>4517</v>
      </c>
      <c r="BN110" s="1" t="s">
        <v>4517</v>
      </c>
      <c r="BO110" s="1" t="s">
        <v>4517</v>
      </c>
      <c r="BP110" s="1" t="s">
        <v>4517</v>
      </c>
      <c r="BQ110" s="1" t="s">
        <v>4517</v>
      </c>
      <c r="BR110" s="1" t="s">
        <v>4517</v>
      </c>
      <c r="BS110" s="1" t="s">
        <v>4517</v>
      </c>
      <c r="BT110" s="1" t="s">
        <v>4517</v>
      </c>
      <c r="BU110" s="1" t="s">
        <v>4517</v>
      </c>
      <c r="BV110" s="1" t="s">
        <v>4517</v>
      </c>
      <c r="BW110" s="1" t="s">
        <v>4517</v>
      </c>
      <c r="BX110" s="1" t="s">
        <v>4517</v>
      </c>
      <c r="BY110" s="1" t="s">
        <v>4517</v>
      </c>
      <c r="BZ110" s="1" t="s">
        <v>4517</v>
      </c>
      <c r="CA110" s="1" t="s">
        <v>4517</v>
      </c>
      <c r="CB110" s="1" t="s">
        <v>4517</v>
      </c>
      <c r="CC110" s="1" t="s">
        <v>4517</v>
      </c>
      <c r="CD110" s="1" t="s">
        <v>4517</v>
      </c>
      <c r="CE110" s="1" t="s">
        <v>4517</v>
      </c>
      <c r="CF110" s="1" t="s">
        <v>4517</v>
      </c>
      <c r="CG110" s="1" t="s">
        <v>4517</v>
      </c>
      <c r="CH110" s="1" t="s">
        <v>4517</v>
      </c>
      <c r="CI110" s="1" t="s">
        <v>4517</v>
      </c>
      <c r="CJ110" s="1" t="s">
        <v>4517</v>
      </c>
      <c r="CK110" s="1" t="s">
        <v>4517</v>
      </c>
      <c r="CL110" s="1" t="s">
        <v>4517</v>
      </c>
      <c r="CM110" s="1" t="s">
        <v>4517</v>
      </c>
      <c r="CN110" s="1" t="s">
        <v>4517</v>
      </c>
      <c r="CO110" s="1" t="s">
        <v>4517</v>
      </c>
      <c r="CP110" s="1" t="s">
        <v>4517</v>
      </c>
      <c r="CQ110" s="1" t="s">
        <v>4517</v>
      </c>
      <c r="CR110" s="1" t="s">
        <v>4517</v>
      </c>
      <c r="CS110" s="1" t="s">
        <v>4517</v>
      </c>
      <c r="CT110" s="1" t="s">
        <v>4517</v>
      </c>
      <c r="CU110" s="1" t="s">
        <v>4517</v>
      </c>
      <c r="CV110" s="1" t="s">
        <v>4517</v>
      </c>
      <c r="CW110" s="1" t="s">
        <v>4517</v>
      </c>
      <c r="CX110" s="1" t="s">
        <v>4517</v>
      </c>
      <c r="CY110" s="1" t="s">
        <v>4517</v>
      </c>
      <c r="CZ110" s="1" t="s">
        <v>4517</v>
      </c>
      <c r="DA110" s="1" t="s">
        <v>4517</v>
      </c>
      <c r="DB110" s="1" t="s">
        <v>4517</v>
      </c>
      <c r="DC110" s="1" t="s">
        <v>4517</v>
      </c>
      <c r="DD110" s="1" t="s">
        <v>4517</v>
      </c>
      <c r="DE110" s="1" t="s">
        <v>4517</v>
      </c>
      <c r="DF110" s="1" t="s">
        <v>4517</v>
      </c>
      <c r="DG110" s="1" t="s">
        <v>4517</v>
      </c>
      <c r="DH110" s="1" t="s">
        <v>4517</v>
      </c>
      <c r="DI110" s="1" t="s">
        <v>4517</v>
      </c>
      <c r="DJ110" s="1" t="s">
        <v>4517</v>
      </c>
      <c r="DK110" s="1" t="s">
        <v>4517</v>
      </c>
      <c r="DL110" s="1" t="s">
        <v>4517</v>
      </c>
      <c r="DM110" s="1" t="s">
        <v>4517</v>
      </c>
      <c r="DN110" s="1" t="s">
        <v>4517</v>
      </c>
      <c r="DO110" s="1" t="s">
        <v>4517</v>
      </c>
      <c r="DP110" s="1" t="s">
        <v>4517</v>
      </c>
      <c r="DQ110" s="1" t="s">
        <v>4517</v>
      </c>
      <c r="DR110" s="1" t="s">
        <v>4517</v>
      </c>
      <c r="DS110" s="1" t="s">
        <v>4517</v>
      </c>
      <c r="DT110" s="1" t="s">
        <v>4517</v>
      </c>
      <c r="DU110" s="1" t="s">
        <v>4517</v>
      </c>
      <c r="DV110" s="1" t="s">
        <v>4517</v>
      </c>
      <c r="DW110" s="1" t="s">
        <v>4517</v>
      </c>
      <c r="DX110" s="1" t="s">
        <v>4517</v>
      </c>
      <c r="DY110" s="1" t="s">
        <v>4517</v>
      </c>
      <c r="DZ110" s="1" t="s">
        <v>4517</v>
      </c>
      <c r="EA110" s="1" t="s">
        <v>4517</v>
      </c>
      <c r="EB110" s="1" t="s">
        <v>4517</v>
      </c>
      <c r="EC110" s="1" t="s">
        <v>4517</v>
      </c>
      <c r="ED110" s="1" t="s">
        <v>4517</v>
      </c>
      <c r="EE110" s="1" t="s">
        <v>4517</v>
      </c>
      <c r="EF110" s="1" t="s">
        <v>4517</v>
      </c>
      <c r="EG110" s="1" t="s">
        <v>4517</v>
      </c>
      <c r="EH110" s="1" t="s">
        <v>4517</v>
      </c>
      <c r="EI110" s="1" t="s">
        <v>4517</v>
      </c>
      <c r="EJ110" s="1" t="s">
        <v>4517</v>
      </c>
      <c r="EK110" s="1" t="s">
        <v>4517</v>
      </c>
      <c r="EL110" s="1" t="s">
        <v>4517</v>
      </c>
      <c r="EN110" s="1" t="s">
        <v>4517</v>
      </c>
      <c r="EO110" s="1" t="s">
        <v>4517</v>
      </c>
      <c r="EP110" s="1" t="s">
        <v>4517</v>
      </c>
      <c r="EQ110" s="1" t="s">
        <v>4517</v>
      </c>
      <c r="ER110" s="1" t="s">
        <v>4517</v>
      </c>
      <c r="ES110" s="1" t="s">
        <v>4517</v>
      </c>
      <c r="ET110" s="1" t="s">
        <v>4517</v>
      </c>
      <c r="EU110" s="1" t="s">
        <v>4517</v>
      </c>
      <c r="EV110" s="1" t="s">
        <v>4517</v>
      </c>
      <c r="EW110" s="1" t="s">
        <v>4517</v>
      </c>
      <c r="EX110" s="1" t="s">
        <v>4517</v>
      </c>
      <c r="EY110" s="1" t="s">
        <v>4517</v>
      </c>
      <c r="EZ110" s="1" t="s">
        <v>4517</v>
      </c>
      <c r="FA110" s="1" t="s">
        <v>4517</v>
      </c>
      <c r="FB110" s="1" t="s">
        <v>4517</v>
      </c>
      <c r="FC110" s="1" t="s">
        <v>4517</v>
      </c>
      <c r="FD110" s="1" t="s">
        <v>4517</v>
      </c>
      <c r="FE110" s="1" t="s">
        <v>4517</v>
      </c>
      <c r="FF110" s="1" t="s">
        <v>4517</v>
      </c>
      <c r="FG110" s="1" t="s">
        <v>4517</v>
      </c>
      <c r="FH110" s="1" t="s">
        <v>4517</v>
      </c>
      <c r="FI110" s="1" t="s">
        <v>4517</v>
      </c>
      <c r="FJ110" s="1" t="s">
        <v>4517</v>
      </c>
      <c r="FK110" s="1" t="s">
        <v>4517</v>
      </c>
      <c r="FL110" s="1" t="s">
        <v>4517</v>
      </c>
      <c r="FM110" s="1" t="s">
        <v>4517</v>
      </c>
      <c r="FN110" s="1" t="s">
        <v>4517</v>
      </c>
      <c r="FO110" s="1" t="s">
        <v>4517</v>
      </c>
      <c r="FP110" s="1" t="s">
        <v>4517</v>
      </c>
      <c r="FQ110" s="1" t="s">
        <v>4517</v>
      </c>
      <c r="FR110" s="1" t="s">
        <v>4517</v>
      </c>
      <c r="FS110" s="1" t="s">
        <v>4517</v>
      </c>
      <c r="FT110" s="1" t="s">
        <v>4517</v>
      </c>
      <c r="FU110" s="1" t="s">
        <v>4517</v>
      </c>
      <c r="FV110" s="1" t="s">
        <v>4517</v>
      </c>
      <c r="FW110" s="1" t="s">
        <v>4517</v>
      </c>
      <c r="FX110" s="1" t="s">
        <v>4517</v>
      </c>
      <c r="FY110" s="1" t="s">
        <v>4517</v>
      </c>
      <c r="FZ110" s="1" t="s">
        <v>4517</v>
      </c>
      <c r="GA110" s="1" t="s">
        <v>4517</v>
      </c>
      <c r="GB110" s="1" t="s">
        <v>4517</v>
      </c>
      <c r="GC110" s="1" t="s">
        <v>4517</v>
      </c>
      <c r="GD110" s="1" t="s">
        <v>4517</v>
      </c>
      <c r="GE110" s="1" t="s">
        <v>4517</v>
      </c>
      <c r="GF110" s="1" t="s">
        <v>4517</v>
      </c>
      <c r="GG110" s="1" t="s">
        <v>4517</v>
      </c>
      <c r="GH110" s="1" t="s">
        <v>4517</v>
      </c>
      <c r="GI110" s="1" t="s">
        <v>4517</v>
      </c>
      <c r="GJ110" s="1" t="s">
        <v>4517</v>
      </c>
      <c r="GK110" s="1" t="s">
        <v>4517</v>
      </c>
      <c r="GL110" s="1" t="s">
        <v>4517</v>
      </c>
      <c r="GM110" s="1" t="s">
        <v>4517</v>
      </c>
      <c r="GN110" s="1" t="s">
        <v>4517</v>
      </c>
      <c r="GO110" s="1" t="s">
        <v>4517</v>
      </c>
      <c r="GP110" s="1" t="s">
        <v>4517</v>
      </c>
      <c r="GQ110" s="1" t="s">
        <v>4517</v>
      </c>
      <c r="GR110" s="1">
        <v>404.79999999999995</v>
      </c>
      <c r="GS110" s="1" t="s">
        <v>4517</v>
      </c>
      <c r="GT110" s="1" t="s">
        <v>4517</v>
      </c>
      <c r="GU110" s="1" t="s">
        <v>4517</v>
      </c>
      <c r="GV110" s="1" t="s">
        <v>4517</v>
      </c>
      <c r="GW110" s="1" t="s">
        <v>4517</v>
      </c>
      <c r="GX110" s="1" t="s">
        <v>4517</v>
      </c>
      <c r="GY110" s="1" t="s">
        <v>4517</v>
      </c>
      <c r="GZ110" s="1" t="s">
        <v>4517</v>
      </c>
      <c r="HA110" s="1" t="s">
        <v>4517</v>
      </c>
      <c r="HB110" s="1" t="s">
        <v>4517</v>
      </c>
      <c r="HC110" s="1" t="s">
        <v>4517</v>
      </c>
      <c r="HD110" s="1" t="s">
        <v>4517</v>
      </c>
      <c r="HE110" s="1" t="s">
        <v>4517</v>
      </c>
      <c r="HV110" s="1" t="s">
        <v>4517</v>
      </c>
      <c r="HW110" s="1" t="s">
        <v>4517</v>
      </c>
      <c r="HX110" s="1" t="s">
        <v>4517</v>
      </c>
      <c r="HY110" s="1" t="s">
        <v>4517</v>
      </c>
      <c r="HZ110" s="1" t="s">
        <v>4517</v>
      </c>
      <c r="IA110" s="1" t="s">
        <v>4517</v>
      </c>
      <c r="IB110" s="1" t="s">
        <v>4517</v>
      </c>
      <c r="IC110" s="1" t="s">
        <v>4517</v>
      </c>
      <c r="ID110" s="1" t="s">
        <v>4517</v>
      </c>
      <c r="IE110" s="1" t="s">
        <v>4517</v>
      </c>
      <c r="IF110" s="1" t="s">
        <v>4517</v>
      </c>
      <c r="IG110" s="1" t="s">
        <v>4517</v>
      </c>
      <c r="IH110" s="1" t="s">
        <v>4517</v>
      </c>
      <c r="II110" s="1" t="s">
        <v>4517</v>
      </c>
      <c r="IJ110" s="1" t="s">
        <v>4517</v>
      </c>
    </row>
    <row r="111" spans="1:244" x14ac:dyDescent="0.2">
      <c r="A111" s="15" t="s">
        <v>7523</v>
      </c>
      <c r="B111" s="1" t="s">
        <v>7609</v>
      </c>
      <c r="D111" s="1" t="s">
        <v>7608</v>
      </c>
      <c r="E111" s="1" t="s">
        <v>7</v>
      </c>
      <c r="G111" s="1">
        <v>1985</v>
      </c>
      <c r="H111" s="1" t="s">
        <v>7619</v>
      </c>
      <c r="I111" s="1" t="s">
        <v>4517</v>
      </c>
      <c r="J111" s="1" t="s">
        <v>7614</v>
      </c>
      <c r="K111" s="17">
        <v>1987</v>
      </c>
      <c r="L111" s="17" t="s">
        <v>7615</v>
      </c>
      <c r="M111" s="17" t="s">
        <v>7277</v>
      </c>
      <c r="N111" s="17">
        <v>1.1000000000000001</v>
      </c>
      <c r="O111" s="1" t="s">
        <v>4517</v>
      </c>
      <c r="P111" s="1" t="s">
        <v>4517</v>
      </c>
      <c r="Q111" s="1" t="s">
        <v>4517</v>
      </c>
      <c r="R111" s="1" t="s">
        <v>4517</v>
      </c>
      <c r="S111" s="1" t="s">
        <v>4517</v>
      </c>
      <c r="T111" s="1" t="s">
        <v>4517</v>
      </c>
      <c r="U111" s="1" t="s">
        <v>4517</v>
      </c>
      <c r="V111" s="1" t="s">
        <v>4517</v>
      </c>
      <c r="W111" s="1" t="s">
        <v>4517</v>
      </c>
      <c r="X111" s="1" t="s">
        <v>4517</v>
      </c>
      <c r="Y111" s="1" t="s">
        <v>4517</v>
      </c>
      <c r="Z111" s="1" t="s">
        <v>4517</v>
      </c>
      <c r="AA111" s="1" t="s">
        <v>4517</v>
      </c>
      <c r="AB111" s="1" t="s">
        <v>4517</v>
      </c>
      <c r="AC111" s="1" t="s">
        <v>4517</v>
      </c>
      <c r="AD111" s="6">
        <v>8.3000000000000007</v>
      </c>
      <c r="AE111" s="1" t="s">
        <v>4517</v>
      </c>
      <c r="AF111" s="6" t="s">
        <v>4517</v>
      </c>
      <c r="AG111" s="6" t="s">
        <v>4517</v>
      </c>
      <c r="AH111" s="6"/>
      <c r="AI111" s="1" t="s">
        <v>4517</v>
      </c>
      <c r="AJ111" s="1" t="s">
        <v>4517</v>
      </c>
      <c r="AK111" s="1" t="s">
        <v>4517</v>
      </c>
      <c r="AL111" s="1" t="s">
        <v>4517</v>
      </c>
      <c r="AM111" s="1" t="s">
        <v>4517</v>
      </c>
      <c r="AN111" s="1" t="s">
        <v>4517</v>
      </c>
      <c r="AO111" s="1" t="s">
        <v>4517</v>
      </c>
      <c r="AP111" s="1" t="s">
        <v>4517</v>
      </c>
      <c r="AQ111" s="1" t="s">
        <v>4517</v>
      </c>
      <c r="AR111" s="1" t="s">
        <v>4517</v>
      </c>
      <c r="AS111" s="1" t="s">
        <v>4517</v>
      </c>
      <c r="AT111" s="1" t="s">
        <v>4517</v>
      </c>
      <c r="AU111" s="1" t="s">
        <v>4517</v>
      </c>
      <c r="AV111" s="1" t="s">
        <v>4517</v>
      </c>
      <c r="AW111" s="1" t="s">
        <v>4517</v>
      </c>
      <c r="AX111" s="1" t="s">
        <v>4517</v>
      </c>
      <c r="AY111" s="1" t="s">
        <v>4517</v>
      </c>
      <c r="AZ111" s="1" t="s">
        <v>4517</v>
      </c>
      <c r="BA111" s="1" t="s">
        <v>4517</v>
      </c>
      <c r="BB111" s="1" t="s">
        <v>4517</v>
      </c>
      <c r="BC111" s="1" t="s">
        <v>4517</v>
      </c>
      <c r="BD111" s="1" t="s">
        <v>4517</v>
      </c>
      <c r="BE111" s="1" t="s">
        <v>4517</v>
      </c>
      <c r="BF111" s="1" t="s">
        <v>4517</v>
      </c>
      <c r="BG111" s="1" t="s">
        <v>4517</v>
      </c>
      <c r="BH111" s="1" t="s">
        <v>4517</v>
      </c>
      <c r="BI111" s="1" t="s">
        <v>4517</v>
      </c>
      <c r="BJ111" s="1" t="s">
        <v>4517</v>
      </c>
      <c r="BK111" s="1" t="s">
        <v>4517</v>
      </c>
      <c r="BL111" s="1" t="s">
        <v>4517</v>
      </c>
      <c r="BM111" s="1" t="s">
        <v>4517</v>
      </c>
      <c r="BN111" s="1" t="s">
        <v>4517</v>
      </c>
      <c r="BO111" s="1" t="s">
        <v>4517</v>
      </c>
      <c r="BP111" s="1" t="s">
        <v>4517</v>
      </c>
      <c r="BQ111" s="1" t="s">
        <v>4517</v>
      </c>
      <c r="BR111" s="1" t="s">
        <v>4517</v>
      </c>
      <c r="BS111" s="1" t="s">
        <v>4517</v>
      </c>
      <c r="BT111" s="1" t="s">
        <v>4517</v>
      </c>
      <c r="BU111" s="1" t="s">
        <v>4517</v>
      </c>
      <c r="BV111" s="1" t="s">
        <v>4517</v>
      </c>
      <c r="BW111" s="1" t="s">
        <v>4517</v>
      </c>
      <c r="BX111" s="1" t="s">
        <v>4517</v>
      </c>
      <c r="BY111" s="1" t="s">
        <v>4517</v>
      </c>
      <c r="BZ111" s="1" t="s">
        <v>4517</v>
      </c>
      <c r="CA111" s="1" t="s">
        <v>4517</v>
      </c>
      <c r="CB111" s="1" t="s">
        <v>4517</v>
      </c>
      <c r="CC111" s="1" t="s">
        <v>4517</v>
      </c>
      <c r="CD111" s="1" t="s">
        <v>4517</v>
      </c>
      <c r="CE111" s="1" t="s">
        <v>4517</v>
      </c>
      <c r="CF111" s="1" t="s">
        <v>4517</v>
      </c>
      <c r="CG111" s="1" t="s">
        <v>4517</v>
      </c>
      <c r="CH111" s="1" t="s">
        <v>4517</v>
      </c>
      <c r="CI111" s="1" t="s">
        <v>4517</v>
      </c>
      <c r="CJ111" s="1" t="s">
        <v>4517</v>
      </c>
      <c r="CK111" s="1" t="s">
        <v>4517</v>
      </c>
      <c r="CL111" s="1" t="s">
        <v>4517</v>
      </c>
      <c r="CM111" s="1" t="s">
        <v>4517</v>
      </c>
      <c r="CN111" s="1" t="s">
        <v>4517</v>
      </c>
      <c r="CO111" s="1" t="s">
        <v>4517</v>
      </c>
      <c r="CP111" s="1" t="s">
        <v>4517</v>
      </c>
      <c r="CQ111" s="1" t="s">
        <v>4517</v>
      </c>
      <c r="CR111" s="1" t="s">
        <v>4517</v>
      </c>
      <c r="CS111" s="1" t="s">
        <v>4517</v>
      </c>
      <c r="CT111" s="1" t="s">
        <v>4517</v>
      </c>
      <c r="CU111" s="1" t="s">
        <v>4517</v>
      </c>
      <c r="CV111" s="1" t="s">
        <v>4517</v>
      </c>
      <c r="CW111" s="1" t="s">
        <v>4517</v>
      </c>
      <c r="CX111" s="1" t="s">
        <v>4517</v>
      </c>
      <c r="CY111" s="1" t="s">
        <v>4517</v>
      </c>
      <c r="CZ111" s="1" t="s">
        <v>4517</v>
      </c>
      <c r="DA111" s="1" t="s">
        <v>4517</v>
      </c>
      <c r="DB111" s="1" t="s">
        <v>4517</v>
      </c>
      <c r="DC111" s="1" t="s">
        <v>4517</v>
      </c>
      <c r="DD111" s="1" t="s">
        <v>4517</v>
      </c>
      <c r="DE111" s="1" t="s">
        <v>4517</v>
      </c>
      <c r="DF111" s="1" t="s">
        <v>4517</v>
      </c>
      <c r="DG111" s="1" t="s">
        <v>4517</v>
      </c>
      <c r="DH111" s="1" t="s">
        <v>4517</v>
      </c>
      <c r="DI111" s="1" t="s">
        <v>4517</v>
      </c>
      <c r="DJ111" s="1" t="s">
        <v>4517</v>
      </c>
      <c r="DK111" s="1" t="s">
        <v>4517</v>
      </c>
      <c r="DL111" s="1" t="s">
        <v>4517</v>
      </c>
      <c r="DM111" s="1" t="s">
        <v>4517</v>
      </c>
      <c r="DN111" s="1" t="s">
        <v>4517</v>
      </c>
      <c r="DO111" s="1" t="s">
        <v>4517</v>
      </c>
      <c r="DP111" s="1" t="s">
        <v>4517</v>
      </c>
      <c r="DQ111" s="1" t="s">
        <v>4517</v>
      </c>
      <c r="DR111" s="1" t="s">
        <v>4517</v>
      </c>
      <c r="DS111" s="1" t="s">
        <v>4517</v>
      </c>
      <c r="DT111" s="1" t="s">
        <v>4517</v>
      </c>
      <c r="DU111" s="1" t="s">
        <v>4517</v>
      </c>
      <c r="DV111" s="1" t="s">
        <v>4517</v>
      </c>
      <c r="DW111" s="1" t="s">
        <v>4517</v>
      </c>
      <c r="DX111" s="1" t="s">
        <v>4517</v>
      </c>
      <c r="DY111" s="1" t="s">
        <v>4517</v>
      </c>
      <c r="DZ111" s="1" t="s">
        <v>4517</v>
      </c>
      <c r="EA111" s="1" t="s">
        <v>4517</v>
      </c>
      <c r="EB111" s="1" t="s">
        <v>4517</v>
      </c>
      <c r="EC111" s="1" t="s">
        <v>4517</v>
      </c>
      <c r="ED111" s="1" t="s">
        <v>4517</v>
      </c>
      <c r="EE111" s="1" t="s">
        <v>4517</v>
      </c>
      <c r="EF111" s="1" t="s">
        <v>4517</v>
      </c>
      <c r="EG111" s="1" t="s">
        <v>4517</v>
      </c>
      <c r="EH111" s="1" t="s">
        <v>4517</v>
      </c>
      <c r="EI111" s="1" t="s">
        <v>4517</v>
      </c>
      <c r="EJ111" s="1" t="s">
        <v>4517</v>
      </c>
      <c r="EK111" s="1" t="s">
        <v>4517</v>
      </c>
      <c r="EL111" s="1" t="s">
        <v>4517</v>
      </c>
      <c r="EN111" s="1" t="s">
        <v>4517</v>
      </c>
      <c r="EO111" s="1" t="s">
        <v>4517</v>
      </c>
      <c r="EP111" s="1" t="s">
        <v>4517</v>
      </c>
      <c r="EQ111" s="1" t="s">
        <v>4517</v>
      </c>
      <c r="ER111" s="1" t="s">
        <v>4517</v>
      </c>
      <c r="ES111" s="1" t="s">
        <v>4517</v>
      </c>
      <c r="ET111" s="1" t="s">
        <v>4517</v>
      </c>
      <c r="EU111" s="1" t="s">
        <v>4517</v>
      </c>
      <c r="EV111" s="1" t="s">
        <v>4517</v>
      </c>
      <c r="EW111" s="1" t="s">
        <v>4517</v>
      </c>
      <c r="EX111" s="1" t="s">
        <v>4517</v>
      </c>
      <c r="EY111" s="1" t="s">
        <v>4517</v>
      </c>
      <c r="EZ111" s="1" t="s">
        <v>4517</v>
      </c>
      <c r="FA111" s="1" t="s">
        <v>4517</v>
      </c>
      <c r="FB111" s="1" t="s">
        <v>4517</v>
      </c>
      <c r="FC111" s="1" t="s">
        <v>4517</v>
      </c>
      <c r="FD111" s="1" t="s">
        <v>4517</v>
      </c>
      <c r="FE111" s="1" t="s">
        <v>4517</v>
      </c>
      <c r="FF111" s="1" t="s">
        <v>4517</v>
      </c>
      <c r="FG111" s="1" t="s">
        <v>4517</v>
      </c>
      <c r="FH111" s="1" t="s">
        <v>4517</v>
      </c>
      <c r="FI111" s="1" t="s">
        <v>4517</v>
      </c>
      <c r="FJ111" s="1" t="s">
        <v>4517</v>
      </c>
      <c r="FK111" s="1" t="s">
        <v>4517</v>
      </c>
      <c r="FL111" s="1" t="s">
        <v>4517</v>
      </c>
      <c r="FM111" s="1" t="s">
        <v>4517</v>
      </c>
      <c r="FN111" s="1" t="s">
        <v>4517</v>
      </c>
      <c r="FO111" s="1" t="s">
        <v>4517</v>
      </c>
      <c r="FP111" s="1" t="s">
        <v>4517</v>
      </c>
      <c r="FQ111" s="1" t="s">
        <v>4517</v>
      </c>
      <c r="FR111" s="1" t="s">
        <v>4517</v>
      </c>
      <c r="FS111" s="1" t="s">
        <v>4517</v>
      </c>
      <c r="FT111" s="1" t="s">
        <v>4517</v>
      </c>
      <c r="FU111" s="1" t="s">
        <v>4517</v>
      </c>
      <c r="FV111" s="1" t="s">
        <v>4517</v>
      </c>
      <c r="FW111" s="1" t="s">
        <v>4517</v>
      </c>
      <c r="FX111" s="1" t="s">
        <v>4517</v>
      </c>
      <c r="FY111" s="1" t="s">
        <v>4517</v>
      </c>
      <c r="FZ111" s="1" t="s">
        <v>4517</v>
      </c>
      <c r="GA111" s="1" t="s">
        <v>4517</v>
      </c>
      <c r="GB111" s="1" t="s">
        <v>4517</v>
      </c>
      <c r="GC111" s="1" t="s">
        <v>4517</v>
      </c>
      <c r="GD111" s="1" t="s">
        <v>4517</v>
      </c>
      <c r="GE111" s="1" t="s">
        <v>4517</v>
      </c>
      <c r="GF111" s="1" t="s">
        <v>4517</v>
      </c>
      <c r="GG111" s="1" t="s">
        <v>4517</v>
      </c>
      <c r="GH111" s="1" t="s">
        <v>4517</v>
      </c>
      <c r="GI111" s="1" t="s">
        <v>4517</v>
      </c>
      <c r="GJ111" s="1" t="s">
        <v>4517</v>
      </c>
      <c r="GK111" s="1" t="s">
        <v>4517</v>
      </c>
      <c r="GL111" s="1" t="s">
        <v>4517</v>
      </c>
      <c r="GM111" s="1" t="s">
        <v>4517</v>
      </c>
      <c r="GN111" s="1" t="s">
        <v>4517</v>
      </c>
      <c r="GO111" s="1" t="s">
        <v>4517</v>
      </c>
      <c r="GP111" s="1" t="s">
        <v>4517</v>
      </c>
      <c r="GQ111" s="1" t="s">
        <v>4517</v>
      </c>
      <c r="GR111" s="1">
        <v>348.60000000000008</v>
      </c>
      <c r="GS111" s="1" t="s">
        <v>4517</v>
      </c>
      <c r="GT111" s="1" t="s">
        <v>4517</v>
      </c>
      <c r="GU111" s="1" t="s">
        <v>4517</v>
      </c>
      <c r="GV111" s="1" t="s">
        <v>4517</v>
      </c>
      <c r="GW111" s="1" t="s">
        <v>4517</v>
      </c>
      <c r="GX111" s="1" t="s">
        <v>4517</v>
      </c>
      <c r="GY111" s="1" t="s">
        <v>4517</v>
      </c>
      <c r="GZ111" s="1" t="s">
        <v>4517</v>
      </c>
      <c r="HA111" s="1" t="s">
        <v>4517</v>
      </c>
      <c r="HB111" s="1" t="s">
        <v>4517</v>
      </c>
      <c r="HC111" s="1" t="s">
        <v>4517</v>
      </c>
      <c r="HD111" s="1" t="s">
        <v>4517</v>
      </c>
      <c r="HE111" s="1" t="s">
        <v>4517</v>
      </c>
      <c r="HV111" s="1" t="s">
        <v>4517</v>
      </c>
      <c r="HW111" s="1" t="s">
        <v>4517</v>
      </c>
      <c r="HX111" s="1" t="s">
        <v>4517</v>
      </c>
      <c r="HY111" s="1" t="s">
        <v>4517</v>
      </c>
      <c r="HZ111" s="1" t="s">
        <v>4517</v>
      </c>
      <c r="IA111" s="1" t="s">
        <v>4517</v>
      </c>
      <c r="IB111" s="1" t="s">
        <v>4517</v>
      </c>
      <c r="IC111" s="1" t="s">
        <v>4517</v>
      </c>
      <c r="ID111" s="1" t="s">
        <v>4517</v>
      </c>
      <c r="IE111" s="1" t="s">
        <v>4517</v>
      </c>
      <c r="IF111" s="1" t="s">
        <v>4517</v>
      </c>
      <c r="IG111" s="1" t="s">
        <v>4517</v>
      </c>
      <c r="IH111" s="1" t="s">
        <v>4517</v>
      </c>
      <c r="II111" s="1" t="s">
        <v>4517</v>
      </c>
      <c r="IJ111" s="1" t="s">
        <v>4517</v>
      </c>
    </row>
    <row r="112" spans="1:244" x14ac:dyDescent="0.2">
      <c r="A112" s="15" t="s">
        <v>7524</v>
      </c>
      <c r="B112" s="1" t="s">
        <v>7609</v>
      </c>
      <c r="D112" s="1" t="s">
        <v>7608</v>
      </c>
      <c r="E112" s="1" t="s">
        <v>7</v>
      </c>
      <c r="G112" s="1">
        <v>1985</v>
      </c>
      <c r="H112" s="1" t="s">
        <v>7620</v>
      </c>
      <c r="I112" s="1" t="s">
        <v>4517</v>
      </c>
      <c r="J112" s="1" t="s">
        <v>7614</v>
      </c>
      <c r="K112" s="17">
        <v>1987</v>
      </c>
      <c r="L112" s="17" t="s">
        <v>7615</v>
      </c>
      <c r="M112" s="17" t="s">
        <v>7277</v>
      </c>
      <c r="N112" s="17">
        <v>1.1000000000000001</v>
      </c>
      <c r="O112" s="1" t="s">
        <v>4517</v>
      </c>
      <c r="P112" s="1" t="s">
        <v>4517</v>
      </c>
      <c r="Q112" s="1" t="s">
        <v>4517</v>
      </c>
      <c r="R112" s="1" t="s">
        <v>4517</v>
      </c>
      <c r="S112" s="1" t="s">
        <v>4517</v>
      </c>
      <c r="T112" s="1" t="s">
        <v>4517</v>
      </c>
      <c r="U112" s="1" t="s">
        <v>4517</v>
      </c>
      <c r="V112" s="1" t="s">
        <v>4517</v>
      </c>
      <c r="W112" s="1" t="s">
        <v>4517</v>
      </c>
      <c r="X112" s="1" t="s">
        <v>4517</v>
      </c>
      <c r="Y112" s="1" t="s">
        <v>4517</v>
      </c>
      <c r="Z112" s="1" t="s">
        <v>4517</v>
      </c>
      <c r="AA112" s="1" t="s">
        <v>4517</v>
      </c>
      <c r="AB112" s="1" t="s">
        <v>4517</v>
      </c>
      <c r="AC112" s="1" t="s">
        <v>4517</v>
      </c>
      <c r="AD112" s="6">
        <v>8</v>
      </c>
      <c r="AE112" s="1" t="s">
        <v>4517</v>
      </c>
      <c r="AF112" s="6" t="s">
        <v>4517</v>
      </c>
      <c r="AG112" s="6" t="s">
        <v>4517</v>
      </c>
      <c r="AH112" s="6"/>
      <c r="AI112" s="1" t="s">
        <v>4517</v>
      </c>
      <c r="AJ112" s="1" t="s">
        <v>4517</v>
      </c>
      <c r="AK112" s="1" t="s">
        <v>4517</v>
      </c>
      <c r="AL112" s="1" t="s">
        <v>4517</v>
      </c>
      <c r="AM112" s="1" t="s">
        <v>4517</v>
      </c>
      <c r="AN112" s="1" t="s">
        <v>4517</v>
      </c>
      <c r="AO112" s="1" t="s">
        <v>4517</v>
      </c>
      <c r="AP112" s="1" t="s">
        <v>4517</v>
      </c>
      <c r="AQ112" s="1" t="s">
        <v>4517</v>
      </c>
      <c r="AR112" s="1" t="s">
        <v>4517</v>
      </c>
      <c r="AS112" s="1" t="s">
        <v>4517</v>
      </c>
      <c r="AT112" s="1" t="s">
        <v>4517</v>
      </c>
      <c r="AU112" s="1" t="s">
        <v>4517</v>
      </c>
      <c r="AV112" s="1" t="s">
        <v>4517</v>
      </c>
      <c r="AW112" s="1" t="s">
        <v>4517</v>
      </c>
      <c r="AX112" s="1" t="s">
        <v>4517</v>
      </c>
      <c r="AY112" s="1" t="s">
        <v>4517</v>
      </c>
      <c r="AZ112" s="1" t="s">
        <v>4517</v>
      </c>
      <c r="BA112" s="1" t="s">
        <v>4517</v>
      </c>
      <c r="BB112" s="1" t="s">
        <v>4517</v>
      </c>
      <c r="BC112" s="1" t="s">
        <v>4517</v>
      </c>
      <c r="BD112" s="1" t="s">
        <v>4517</v>
      </c>
      <c r="BE112" s="1" t="s">
        <v>4517</v>
      </c>
      <c r="BF112" s="1" t="s">
        <v>4517</v>
      </c>
      <c r="BG112" s="1" t="s">
        <v>4517</v>
      </c>
      <c r="BH112" s="1" t="s">
        <v>4517</v>
      </c>
      <c r="BI112" s="1" t="s">
        <v>4517</v>
      </c>
      <c r="BJ112" s="1" t="s">
        <v>4517</v>
      </c>
      <c r="BK112" s="1" t="s">
        <v>4517</v>
      </c>
      <c r="BL112" s="1" t="s">
        <v>4517</v>
      </c>
      <c r="BM112" s="1" t="s">
        <v>4517</v>
      </c>
      <c r="BN112" s="1" t="s">
        <v>4517</v>
      </c>
      <c r="BO112" s="1" t="s">
        <v>4517</v>
      </c>
      <c r="BP112" s="1" t="s">
        <v>4517</v>
      </c>
      <c r="BQ112" s="1" t="s">
        <v>4517</v>
      </c>
      <c r="BR112" s="1" t="s">
        <v>4517</v>
      </c>
      <c r="BS112" s="1" t="s">
        <v>4517</v>
      </c>
      <c r="BT112" s="1" t="s">
        <v>4517</v>
      </c>
      <c r="BU112" s="1" t="s">
        <v>4517</v>
      </c>
      <c r="BV112" s="1" t="s">
        <v>4517</v>
      </c>
      <c r="BW112" s="1" t="s">
        <v>4517</v>
      </c>
      <c r="BX112" s="1" t="s">
        <v>4517</v>
      </c>
      <c r="BY112" s="1" t="s">
        <v>4517</v>
      </c>
      <c r="BZ112" s="1" t="s">
        <v>4517</v>
      </c>
      <c r="CA112" s="1" t="s">
        <v>4517</v>
      </c>
      <c r="CB112" s="1" t="s">
        <v>4517</v>
      </c>
      <c r="CC112" s="1" t="s">
        <v>4517</v>
      </c>
      <c r="CD112" s="1" t="s">
        <v>4517</v>
      </c>
      <c r="CE112" s="1" t="s">
        <v>4517</v>
      </c>
      <c r="CF112" s="1" t="s">
        <v>4517</v>
      </c>
      <c r="CG112" s="1" t="s">
        <v>4517</v>
      </c>
      <c r="CH112" s="1" t="s">
        <v>4517</v>
      </c>
      <c r="CI112" s="1" t="s">
        <v>4517</v>
      </c>
      <c r="CJ112" s="1" t="s">
        <v>4517</v>
      </c>
      <c r="CK112" s="1" t="s">
        <v>4517</v>
      </c>
      <c r="CL112" s="1" t="s">
        <v>4517</v>
      </c>
      <c r="CM112" s="1" t="s">
        <v>4517</v>
      </c>
      <c r="CN112" s="1" t="s">
        <v>4517</v>
      </c>
      <c r="CO112" s="1" t="s">
        <v>4517</v>
      </c>
      <c r="CP112" s="1" t="s">
        <v>4517</v>
      </c>
      <c r="CQ112" s="1" t="s">
        <v>4517</v>
      </c>
      <c r="CR112" s="1" t="s">
        <v>4517</v>
      </c>
      <c r="CS112" s="1" t="s">
        <v>4517</v>
      </c>
      <c r="CT112" s="1" t="s">
        <v>4517</v>
      </c>
      <c r="CU112" s="1" t="s">
        <v>4517</v>
      </c>
      <c r="CV112" s="1" t="s">
        <v>4517</v>
      </c>
      <c r="CW112" s="1" t="s">
        <v>4517</v>
      </c>
      <c r="CX112" s="1" t="s">
        <v>4517</v>
      </c>
      <c r="CY112" s="1" t="s">
        <v>4517</v>
      </c>
      <c r="CZ112" s="1" t="s">
        <v>4517</v>
      </c>
      <c r="DA112" s="1" t="s">
        <v>4517</v>
      </c>
      <c r="DB112" s="1" t="s">
        <v>4517</v>
      </c>
      <c r="DC112" s="1" t="s">
        <v>4517</v>
      </c>
      <c r="DD112" s="1" t="s">
        <v>4517</v>
      </c>
      <c r="DE112" s="1" t="s">
        <v>4517</v>
      </c>
      <c r="DF112" s="1" t="s">
        <v>4517</v>
      </c>
      <c r="DG112" s="1" t="s">
        <v>4517</v>
      </c>
      <c r="DH112" s="1" t="s">
        <v>4517</v>
      </c>
      <c r="DI112" s="1" t="s">
        <v>4517</v>
      </c>
      <c r="DJ112" s="1" t="s">
        <v>4517</v>
      </c>
      <c r="DK112" s="1" t="s">
        <v>4517</v>
      </c>
      <c r="DL112" s="1" t="s">
        <v>4517</v>
      </c>
      <c r="DM112" s="1" t="s">
        <v>4517</v>
      </c>
      <c r="DN112" s="1" t="s">
        <v>4517</v>
      </c>
      <c r="DO112" s="1" t="s">
        <v>4517</v>
      </c>
      <c r="DP112" s="1" t="s">
        <v>4517</v>
      </c>
      <c r="DQ112" s="1" t="s">
        <v>4517</v>
      </c>
      <c r="DR112" s="1" t="s">
        <v>4517</v>
      </c>
      <c r="DS112" s="1" t="s">
        <v>4517</v>
      </c>
      <c r="DT112" s="1" t="s">
        <v>4517</v>
      </c>
      <c r="DU112" s="1" t="s">
        <v>4517</v>
      </c>
      <c r="DV112" s="1" t="s">
        <v>4517</v>
      </c>
      <c r="DW112" s="1" t="s">
        <v>4517</v>
      </c>
      <c r="DX112" s="1" t="s">
        <v>4517</v>
      </c>
      <c r="DY112" s="1" t="s">
        <v>4517</v>
      </c>
      <c r="DZ112" s="1" t="s">
        <v>4517</v>
      </c>
      <c r="EA112" s="1" t="s">
        <v>4517</v>
      </c>
      <c r="EB112" s="1" t="s">
        <v>4517</v>
      </c>
      <c r="EC112" s="1" t="s">
        <v>4517</v>
      </c>
      <c r="ED112" s="1" t="s">
        <v>4517</v>
      </c>
      <c r="EE112" s="1" t="s">
        <v>4517</v>
      </c>
      <c r="EF112" s="1" t="s">
        <v>4517</v>
      </c>
      <c r="EG112" s="1" t="s">
        <v>4517</v>
      </c>
      <c r="EH112" s="1" t="s">
        <v>4517</v>
      </c>
      <c r="EI112" s="1" t="s">
        <v>4517</v>
      </c>
      <c r="EJ112" s="1" t="s">
        <v>4517</v>
      </c>
      <c r="EK112" s="1" t="s">
        <v>4517</v>
      </c>
      <c r="EL112" s="1" t="s">
        <v>4517</v>
      </c>
      <c r="EN112" s="1" t="s">
        <v>4517</v>
      </c>
      <c r="EO112" s="1" t="s">
        <v>4517</v>
      </c>
      <c r="EP112" s="1" t="s">
        <v>4517</v>
      </c>
      <c r="EQ112" s="1" t="s">
        <v>4517</v>
      </c>
      <c r="ER112" s="1" t="s">
        <v>4517</v>
      </c>
      <c r="ES112" s="1" t="s">
        <v>4517</v>
      </c>
      <c r="ET112" s="1" t="s">
        <v>4517</v>
      </c>
      <c r="EU112" s="1" t="s">
        <v>4517</v>
      </c>
      <c r="EV112" s="1" t="s">
        <v>4517</v>
      </c>
      <c r="EW112" s="1" t="s">
        <v>4517</v>
      </c>
      <c r="EX112" s="1" t="s">
        <v>4517</v>
      </c>
      <c r="EY112" s="1" t="s">
        <v>4517</v>
      </c>
      <c r="EZ112" s="1" t="s">
        <v>4517</v>
      </c>
      <c r="FA112" s="1" t="s">
        <v>4517</v>
      </c>
      <c r="FB112" s="1" t="s">
        <v>4517</v>
      </c>
      <c r="FC112" s="1" t="s">
        <v>4517</v>
      </c>
      <c r="FD112" s="1" t="s">
        <v>4517</v>
      </c>
      <c r="FE112" s="1" t="s">
        <v>4517</v>
      </c>
      <c r="FF112" s="1" t="s">
        <v>4517</v>
      </c>
      <c r="FG112" s="1" t="s">
        <v>4517</v>
      </c>
      <c r="FH112" s="1" t="s">
        <v>4517</v>
      </c>
      <c r="FI112" s="1" t="s">
        <v>4517</v>
      </c>
      <c r="FJ112" s="1" t="s">
        <v>4517</v>
      </c>
      <c r="FK112" s="1" t="s">
        <v>4517</v>
      </c>
      <c r="FL112" s="1" t="s">
        <v>4517</v>
      </c>
      <c r="FM112" s="1" t="s">
        <v>4517</v>
      </c>
      <c r="FN112" s="1" t="s">
        <v>4517</v>
      </c>
      <c r="FO112" s="1" t="s">
        <v>4517</v>
      </c>
      <c r="FP112" s="1" t="s">
        <v>4517</v>
      </c>
      <c r="FQ112" s="1" t="s">
        <v>4517</v>
      </c>
      <c r="FR112" s="1" t="s">
        <v>4517</v>
      </c>
      <c r="FS112" s="1" t="s">
        <v>4517</v>
      </c>
      <c r="FT112" s="1" t="s">
        <v>4517</v>
      </c>
      <c r="FU112" s="1" t="s">
        <v>4517</v>
      </c>
      <c r="FV112" s="1" t="s">
        <v>4517</v>
      </c>
      <c r="FW112" s="1" t="s">
        <v>4517</v>
      </c>
      <c r="FX112" s="1" t="s">
        <v>4517</v>
      </c>
      <c r="FY112" s="1" t="s">
        <v>4517</v>
      </c>
      <c r="FZ112" s="1" t="s">
        <v>4517</v>
      </c>
      <c r="GA112" s="1" t="s">
        <v>4517</v>
      </c>
      <c r="GB112" s="1" t="s">
        <v>4517</v>
      </c>
      <c r="GC112" s="1" t="s">
        <v>4517</v>
      </c>
      <c r="GD112" s="1" t="s">
        <v>4517</v>
      </c>
      <c r="GE112" s="1" t="s">
        <v>4517</v>
      </c>
      <c r="GF112" s="1" t="s">
        <v>4517</v>
      </c>
      <c r="GG112" s="1" t="s">
        <v>4517</v>
      </c>
      <c r="GH112" s="1" t="s">
        <v>4517</v>
      </c>
      <c r="GI112" s="1" t="s">
        <v>4517</v>
      </c>
      <c r="GJ112" s="1" t="s">
        <v>4517</v>
      </c>
      <c r="GK112" s="1" t="s">
        <v>4517</v>
      </c>
      <c r="GL112" s="1" t="s">
        <v>4517</v>
      </c>
      <c r="GM112" s="1" t="s">
        <v>4517</v>
      </c>
      <c r="GN112" s="1" t="s">
        <v>4517</v>
      </c>
      <c r="GO112" s="1" t="s">
        <v>4517</v>
      </c>
      <c r="GP112" s="1" t="s">
        <v>4517</v>
      </c>
      <c r="GQ112" s="1" t="s">
        <v>4517</v>
      </c>
      <c r="GR112" s="1">
        <v>344</v>
      </c>
      <c r="GS112" s="1" t="s">
        <v>4517</v>
      </c>
      <c r="GT112" s="1" t="s">
        <v>4517</v>
      </c>
      <c r="GU112" s="1" t="s">
        <v>4517</v>
      </c>
      <c r="GV112" s="1" t="s">
        <v>4517</v>
      </c>
      <c r="GW112" s="1" t="s">
        <v>4517</v>
      </c>
      <c r="GX112" s="1" t="s">
        <v>4517</v>
      </c>
      <c r="GY112" s="1" t="s">
        <v>4517</v>
      </c>
      <c r="GZ112" s="1" t="s">
        <v>4517</v>
      </c>
      <c r="HA112" s="1" t="s">
        <v>4517</v>
      </c>
      <c r="HB112" s="1" t="s">
        <v>4517</v>
      </c>
      <c r="HC112" s="1" t="s">
        <v>4517</v>
      </c>
      <c r="HD112" s="1" t="s">
        <v>4517</v>
      </c>
      <c r="HE112" s="1" t="s">
        <v>4517</v>
      </c>
      <c r="HV112" s="1" t="s">
        <v>4517</v>
      </c>
      <c r="HW112" s="1" t="s">
        <v>4517</v>
      </c>
      <c r="HX112" s="1" t="s">
        <v>4517</v>
      </c>
      <c r="HY112" s="1" t="s">
        <v>4517</v>
      </c>
      <c r="HZ112" s="1" t="s">
        <v>4517</v>
      </c>
      <c r="IA112" s="1" t="s">
        <v>4517</v>
      </c>
      <c r="IB112" s="1" t="s">
        <v>4517</v>
      </c>
      <c r="IC112" s="1" t="s">
        <v>4517</v>
      </c>
      <c r="ID112" s="1" t="s">
        <v>4517</v>
      </c>
      <c r="IE112" s="1" t="s">
        <v>4517</v>
      </c>
      <c r="IF112" s="1" t="s">
        <v>4517</v>
      </c>
      <c r="IG112" s="1" t="s">
        <v>4517</v>
      </c>
      <c r="IH112" s="1" t="s">
        <v>4517</v>
      </c>
      <c r="II112" s="1" t="s">
        <v>4517</v>
      </c>
      <c r="IJ112" s="1" t="s">
        <v>4517</v>
      </c>
    </row>
    <row r="113" spans="1:244" x14ac:dyDescent="0.2">
      <c r="A113" s="15" t="s">
        <v>7525</v>
      </c>
      <c r="B113" s="1" t="s">
        <v>7610</v>
      </c>
      <c r="D113" s="1" t="s">
        <v>7608</v>
      </c>
      <c r="E113" s="1" t="s">
        <v>7</v>
      </c>
      <c r="G113" s="1" t="s">
        <v>4517</v>
      </c>
      <c r="H113" s="1" t="s">
        <v>7621</v>
      </c>
      <c r="I113" s="1" t="s">
        <v>4517</v>
      </c>
      <c r="J113" s="1" t="s">
        <v>7614</v>
      </c>
      <c r="K113" s="17">
        <v>1987</v>
      </c>
      <c r="L113" s="17" t="s">
        <v>7615</v>
      </c>
      <c r="M113" s="17" t="s">
        <v>7277</v>
      </c>
      <c r="N113" s="17">
        <v>1.1000000000000001</v>
      </c>
      <c r="O113" s="1" t="s">
        <v>4517</v>
      </c>
      <c r="P113" s="1" t="s">
        <v>4517</v>
      </c>
      <c r="Q113" s="1" t="s">
        <v>4517</v>
      </c>
      <c r="R113" s="1" t="s">
        <v>4517</v>
      </c>
      <c r="S113" s="1" t="s">
        <v>4517</v>
      </c>
      <c r="T113" s="1" t="s">
        <v>4517</v>
      </c>
      <c r="U113" s="1" t="s">
        <v>4517</v>
      </c>
      <c r="V113" s="1" t="s">
        <v>4517</v>
      </c>
      <c r="W113" s="1" t="s">
        <v>4517</v>
      </c>
      <c r="X113" s="1" t="s">
        <v>4517</v>
      </c>
      <c r="Y113" s="1" t="s">
        <v>4517</v>
      </c>
      <c r="Z113" s="1" t="s">
        <v>4517</v>
      </c>
      <c r="AA113" s="1" t="s">
        <v>4517</v>
      </c>
      <c r="AB113" s="1" t="s">
        <v>4517</v>
      </c>
      <c r="AC113" s="1" t="s">
        <v>4517</v>
      </c>
      <c r="AD113" s="6">
        <v>10.4</v>
      </c>
      <c r="AE113" s="1" t="s">
        <v>4517</v>
      </c>
      <c r="AF113" s="6" t="s">
        <v>4517</v>
      </c>
      <c r="AG113" s="6" t="s">
        <v>4517</v>
      </c>
      <c r="AH113" s="6"/>
      <c r="AI113" s="1" t="s">
        <v>4517</v>
      </c>
      <c r="AJ113" s="1" t="s">
        <v>4517</v>
      </c>
      <c r="AK113" s="1" t="s">
        <v>4517</v>
      </c>
      <c r="AL113" s="1" t="s">
        <v>4517</v>
      </c>
      <c r="AM113" s="1" t="s">
        <v>4517</v>
      </c>
      <c r="AN113" s="1" t="s">
        <v>4517</v>
      </c>
      <c r="AO113" s="1" t="s">
        <v>4517</v>
      </c>
      <c r="AP113" s="1" t="s">
        <v>4517</v>
      </c>
      <c r="AQ113" s="1" t="s">
        <v>4517</v>
      </c>
      <c r="AR113" s="1" t="s">
        <v>4517</v>
      </c>
      <c r="AS113" s="1" t="s">
        <v>4517</v>
      </c>
      <c r="AT113" s="1" t="s">
        <v>4517</v>
      </c>
      <c r="AU113" s="1" t="s">
        <v>4517</v>
      </c>
      <c r="AV113" s="1" t="s">
        <v>4517</v>
      </c>
      <c r="AW113" s="1" t="s">
        <v>4517</v>
      </c>
      <c r="AX113" s="1" t="s">
        <v>4517</v>
      </c>
      <c r="AY113" s="1" t="s">
        <v>4517</v>
      </c>
      <c r="AZ113" s="1" t="s">
        <v>4517</v>
      </c>
      <c r="BA113" s="1" t="s">
        <v>4517</v>
      </c>
      <c r="BB113" s="1" t="s">
        <v>4517</v>
      </c>
      <c r="BC113" s="1" t="s">
        <v>4517</v>
      </c>
      <c r="BD113" s="1" t="s">
        <v>4517</v>
      </c>
      <c r="BE113" s="1" t="s">
        <v>4517</v>
      </c>
      <c r="BF113" s="1" t="s">
        <v>4517</v>
      </c>
      <c r="BG113" s="1" t="s">
        <v>4517</v>
      </c>
      <c r="BH113" s="1" t="s">
        <v>4517</v>
      </c>
      <c r="BI113" s="1" t="s">
        <v>4517</v>
      </c>
      <c r="BJ113" s="1" t="s">
        <v>4517</v>
      </c>
      <c r="BK113" s="1" t="s">
        <v>4517</v>
      </c>
      <c r="BL113" s="1" t="s">
        <v>4517</v>
      </c>
      <c r="BM113" s="1" t="s">
        <v>4517</v>
      </c>
      <c r="BN113" s="1" t="s">
        <v>4517</v>
      </c>
      <c r="BO113" s="1" t="s">
        <v>4517</v>
      </c>
      <c r="BP113" s="1" t="s">
        <v>4517</v>
      </c>
      <c r="BQ113" s="1" t="s">
        <v>4517</v>
      </c>
      <c r="BR113" s="1" t="s">
        <v>4517</v>
      </c>
      <c r="BS113" s="1" t="s">
        <v>4517</v>
      </c>
      <c r="BT113" s="1" t="s">
        <v>4517</v>
      </c>
      <c r="BU113" s="1" t="s">
        <v>4517</v>
      </c>
      <c r="BV113" s="1" t="s">
        <v>4517</v>
      </c>
      <c r="BW113" s="1" t="s">
        <v>4517</v>
      </c>
      <c r="BX113" s="1" t="s">
        <v>4517</v>
      </c>
      <c r="BY113" s="1" t="s">
        <v>4517</v>
      </c>
      <c r="BZ113" s="1" t="s">
        <v>4517</v>
      </c>
      <c r="CA113" s="1" t="s">
        <v>4517</v>
      </c>
      <c r="CB113" s="1" t="s">
        <v>4517</v>
      </c>
      <c r="CC113" s="1" t="s">
        <v>4517</v>
      </c>
      <c r="CD113" s="1" t="s">
        <v>4517</v>
      </c>
      <c r="CE113" s="1" t="s">
        <v>4517</v>
      </c>
      <c r="CF113" s="1" t="s">
        <v>4517</v>
      </c>
      <c r="CG113" s="1" t="s">
        <v>4517</v>
      </c>
      <c r="CH113" s="1" t="s">
        <v>4517</v>
      </c>
      <c r="CI113" s="1" t="s">
        <v>4517</v>
      </c>
      <c r="CJ113" s="1" t="s">
        <v>4517</v>
      </c>
      <c r="CK113" s="1" t="s">
        <v>4517</v>
      </c>
      <c r="CL113" s="1" t="s">
        <v>4517</v>
      </c>
      <c r="CM113" s="1" t="s">
        <v>4517</v>
      </c>
      <c r="CN113" s="1" t="s">
        <v>4517</v>
      </c>
      <c r="CO113" s="1" t="s">
        <v>4517</v>
      </c>
      <c r="CP113" s="1" t="s">
        <v>4517</v>
      </c>
      <c r="CQ113" s="1" t="s">
        <v>4517</v>
      </c>
      <c r="CR113" s="1" t="s">
        <v>4517</v>
      </c>
      <c r="CS113" s="1" t="s">
        <v>4517</v>
      </c>
      <c r="CT113" s="1" t="s">
        <v>4517</v>
      </c>
      <c r="CU113" s="1" t="s">
        <v>4517</v>
      </c>
      <c r="CV113" s="1" t="s">
        <v>4517</v>
      </c>
      <c r="CW113" s="1" t="s">
        <v>4517</v>
      </c>
      <c r="CX113" s="1" t="s">
        <v>4517</v>
      </c>
      <c r="CY113" s="1" t="s">
        <v>4517</v>
      </c>
      <c r="CZ113" s="1" t="s">
        <v>4517</v>
      </c>
      <c r="DA113" s="1" t="s">
        <v>4517</v>
      </c>
      <c r="DB113" s="1" t="s">
        <v>4517</v>
      </c>
      <c r="DC113" s="1" t="s">
        <v>4517</v>
      </c>
      <c r="DD113" s="1" t="s">
        <v>4517</v>
      </c>
      <c r="DE113" s="1" t="s">
        <v>4517</v>
      </c>
      <c r="DF113" s="1" t="s">
        <v>4517</v>
      </c>
      <c r="DG113" s="1" t="s">
        <v>4517</v>
      </c>
      <c r="DH113" s="1" t="s">
        <v>4517</v>
      </c>
      <c r="DI113" s="1" t="s">
        <v>4517</v>
      </c>
      <c r="DJ113" s="1" t="s">
        <v>4517</v>
      </c>
      <c r="DK113" s="1" t="s">
        <v>4517</v>
      </c>
      <c r="DL113" s="1" t="s">
        <v>4517</v>
      </c>
      <c r="DM113" s="1" t="s">
        <v>4517</v>
      </c>
      <c r="DN113" s="1" t="s">
        <v>4517</v>
      </c>
      <c r="DO113" s="1" t="s">
        <v>4517</v>
      </c>
      <c r="DP113" s="1" t="s">
        <v>4517</v>
      </c>
      <c r="DQ113" s="1" t="s">
        <v>4517</v>
      </c>
      <c r="DR113" s="1" t="s">
        <v>4517</v>
      </c>
      <c r="DS113" s="1" t="s">
        <v>4517</v>
      </c>
      <c r="DT113" s="1" t="s">
        <v>4517</v>
      </c>
      <c r="DU113" s="1" t="s">
        <v>4517</v>
      </c>
      <c r="DV113" s="1" t="s">
        <v>4517</v>
      </c>
      <c r="DW113" s="1" t="s">
        <v>4517</v>
      </c>
      <c r="DX113" s="1" t="s">
        <v>4517</v>
      </c>
      <c r="DY113" s="1" t="s">
        <v>4517</v>
      </c>
      <c r="DZ113" s="1" t="s">
        <v>4517</v>
      </c>
      <c r="EA113" s="1" t="s">
        <v>4517</v>
      </c>
      <c r="EB113" s="1" t="s">
        <v>4517</v>
      </c>
      <c r="EC113" s="1" t="s">
        <v>4517</v>
      </c>
      <c r="ED113" s="1" t="s">
        <v>4517</v>
      </c>
      <c r="EE113" s="1" t="s">
        <v>4517</v>
      </c>
      <c r="EF113" s="1" t="s">
        <v>4517</v>
      </c>
      <c r="EG113" s="1" t="s">
        <v>4517</v>
      </c>
      <c r="EH113" s="1" t="s">
        <v>4517</v>
      </c>
      <c r="EI113" s="1" t="s">
        <v>4517</v>
      </c>
      <c r="EJ113" s="1" t="s">
        <v>4517</v>
      </c>
      <c r="EK113" s="1" t="s">
        <v>4517</v>
      </c>
      <c r="EL113" s="1" t="s">
        <v>4517</v>
      </c>
      <c r="EN113" s="1" t="s">
        <v>4517</v>
      </c>
      <c r="EO113" s="1" t="s">
        <v>4517</v>
      </c>
      <c r="EP113" s="1" t="s">
        <v>4517</v>
      </c>
      <c r="EQ113" s="1" t="s">
        <v>4517</v>
      </c>
      <c r="ER113" s="1" t="s">
        <v>4517</v>
      </c>
      <c r="ES113" s="1" t="s">
        <v>4517</v>
      </c>
      <c r="ET113" s="1" t="s">
        <v>4517</v>
      </c>
      <c r="EU113" s="1" t="s">
        <v>4517</v>
      </c>
      <c r="EV113" s="1" t="s">
        <v>4517</v>
      </c>
      <c r="EW113" s="1" t="s">
        <v>4517</v>
      </c>
      <c r="EX113" s="1" t="s">
        <v>4517</v>
      </c>
      <c r="EY113" s="1" t="s">
        <v>4517</v>
      </c>
      <c r="EZ113" s="1" t="s">
        <v>4517</v>
      </c>
      <c r="FA113" s="1" t="s">
        <v>4517</v>
      </c>
      <c r="FB113" s="1" t="s">
        <v>4517</v>
      </c>
      <c r="FC113" s="1" t="s">
        <v>4517</v>
      </c>
      <c r="FD113" s="1" t="s">
        <v>4517</v>
      </c>
      <c r="FE113" s="1" t="s">
        <v>4517</v>
      </c>
      <c r="FF113" s="1" t="s">
        <v>4517</v>
      </c>
      <c r="FG113" s="1" t="s">
        <v>4517</v>
      </c>
      <c r="FH113" s="1" t="s">
        <v>4517</v>
      </c>
      <c r="FI113" s="1" t="s">
        <v>4517</v>
      </c>
      <c r="FJ113" s="1" t="s">
        <v>4517</v>
      </c>
      <c r="FK113" s="1" t="s">
        <v>4517</v>
      </c>
      <c r="FL113" s="1" t="s">
        <v>4517</v>
      </c>
      <c r="FM113" s="1" t="s">
        <v>4517</v>
      </c>
      <c r="FN113" s="1" t="s">
        <v>4517</v>
      </c>
      <c r="FO113" s="1" t="s">
        <v>4517</v>
      </c>
      <c r="FP113" s="1" t="s">
        <v>4517</v>
      </c>
      <c r="FQ113" s="1" t="s">
        <v>4517</v>
      </c>
      <c r="FR113" s="1" t="s">
        <v>4517</v>
      </c>
      <c r="FS113" s="1" t="s">
        <v>4517</v>
      </c>
      <c r="FT113" s="1" t="s">
        <v>4517</v>
      </c>
      <c r="FU113" s="1" t="s">
        <v>4517</v>
      </c>
      <c r="FV113" s="1" t="s">
        <v>4517</v>
      </c>
      <c r="FW113" s="1" t="s">
        <v>4517</v>
      </c>
      <c r="FX113" s="1" t="s">
        <v>4517</v>
      </c>
      <c r="FY113" s="1" t="s">
        <v>4517</v>
      </c>
      <c r="FZ113" s="1" t="s">
        <v>4517</v>
      </c>
      <c r="GA113" s="1" t="s">
        <v>4517</v>
      </c>
      <c r="GB113" s="1" t="s">
        <v>4517</v>
      </c>
      <c r="GC113" s="1" t="s">
        <v>4517</v>
      </c>
      <c r="GD113" s="1" t="s">
        <v>4517</v>
      </c>
      <c r="GE113" s="1" t="s">
        <v>4517</v>
      </c>
      <c r="GF113" s="1" t="s">
        <v>4517</v>
      </c>
      <c r="GG113" s="1" t="s">
        <v>4517</v>
      </c>
      <c r="GH113" s="1" t="s">
        <v>4517</v>
      </c>
      <c r="GI113" s="1" t="s">
        <v>4517</v>
      </c>
      <c r="GJ113" s="1" t="s">
        <v>4517</v>
      </c>
      <c r="GK113" s="1" t="s">
        <v>4517</v>
      </c>
      <c r="GL113" s="1" t="s">
        <v>4517</v>
      </c>
      <c r="GM113" s="1" t="s">
        <v>4517</v>
      </c>
      <c r="GN113" s="1" t="s">
        <v>4517</v>
      </c>
      <c r="GO113" s="1" t="s">
        <v>4517</v>
      </c>
      <c r="GP113" s="1" t="s">
        <v>4517</v>
      </c>
      <c r="GQ113" s="1" t="s">
        <v>4517</v>
      </c>
      <c r="GR113" s="1">
        <v>405.6</v>
      </c>
      <c r="GS113" s="1" t="s">
        <v>4517</v>
      </c>
      <c r="GT113" s="1" t="s">
        <v>4517</v>
      </c>
      <c r="GU113" s="1" t="s">
        <v>4517</v>
      </c>
      <c r="GV113" s="1" t="s">
        <v>4517</v>
      </c>
      <c r="GW113" s="1" t="s">
        <v>4517</v>
      </c>
      <c r="GX113" s="1" t="s">
        <v>4517</v>
      </c>
      <c r="GY113" s="1" t="s">
        <v>4517</v>
      </c>
      <c r="GZ113" s="1" t="s">
        <v>4517</v>
      </c>
      <c r="HA113" s="1" t="s">
        <v>4517</v>
      </c>
      <c r="HB113" s="1" t="s">
        <v>4517</v>
      </c>
      <c r="HC113" s="1" t="s">
        <v>4517</v>
      </c>
      <c r="HD113" s="1" t="s">
        <v>4517</v>
      </c>
      <c r="HE113" s="1" t="s">
        <v>4517</v>
      </c>
      <c r="HV113" s="1" t="s">
        <v>4517</v>
      </c>
      <c r="HW113" s="1" t="s">
        <v>4517</v>
      </c>
      <c r="HX113" s="1" t="s">
        <v>4517</v>
      </c>
      <c r="HY113" s="1" t="s">
        <v>4517</v>
      </c>
      <c r="HZ113" s="1" t="s">
        <v>4517</v>
      </c>
      <c r="IA113" s="1" t="s">
        <v>4517</v>
      </c>
      <c r="IB113" s="1" t="s">
        <v>4517</v>
      </c>
      <c r="IC113" s="1" t="s">
        <v>4517</v>
      </c>
      <c r="ID113" s="1" t="s">
        <v>4517</v>
      </c>
      <c r="IE113" s="1" t="s">
        <v>4517</v>
      </c>
      <c r="IF113" s="1" t="s">
        <v>4517</v>
      </c>
      <c r="IG113" s="1" t="s">
        <v>4517</v>
      </c>
      <c r="IH113" s="1" t="s">
        <v>4517</v>
      </c>
      <c r="II113" s="1" t="s">
        <v>4517</v>
      </c>
      <c r="IJ113" s="1" t="s">
        <v>4517</v>
      </c>
    </row>
    <row r="114" spans="1:244" x14ac:dyDescent="0.2">
      <c r="A114" s="15" t="s">
        <v>7526</v>
      </c>
      <c r="B114" s="1" t="s">
        <v>7610</v>
      </c>
      <c r="D114" s="1" t="s">
        <v>7608</v>
      </c>
      <c r="E114" s="1" t="s">
        <v>7</v>
      </c>
      <c r="G114" s="1" t="s">
        <v>4517</v>
      </c>
      <c r="H114" s="1" t="s">
        <v>7622</v>
      </c>
      <c r="I114" s="1" t="s">
        <v>4517</v>
      </c>
      <c r="J114" s="1" t="s">
        <v>7614</v>
      </c>
      <c r="K114" s="17">
        <v>1987</v>
      </c>
      <c r="L114" s="17" t="s">
        <v>7615</v>
      </c>
      <c r="M114" s="17" t="s">
        <v>7277</v>
      </c>
      <c r="N114" s="17">
        <v>1.1000000000000001</v>
      </c>
      <c r="O114" s="1" t="s">
        <v>4517</v>
      </c>
      <c r="P114" s="1" t="s">
        <v>4517</v>
      </c>
      <c r="Q114" s="1" t="s">
        <v>4517</v>
      </c>
      <c r="R114" s="1" t="s">
        <v>4517</v>
      </c>
      <c r="S114" s="1" t="s">
        <v>4517</v>
      </c>
      <c r="T114" s="1" t="s">
        <v>4517</v>
      </c>
      <c r="U114" s="1" t="s">
        <v>4517</v>
      </c>
      <c r="V114" s="1" t="s">
        <v>4517</v>
      </c>
      <c r="W114" s="1" t="s">
        <v>4517</v>
      </c>
      <c r="X114" s="1" t="s">
        <v>4517</v>
      </c>
      <c r="Y114" s="1" t="s">
        <v>4517</v>
      </c>
      <c r="Z114" s="1" t="s">
        <v>4517</v>
      </c>
      <c r="AA114" s="1" t="s">
        <v>4517</v>
      </c>
      <c r="AB114" s="1" t="s">
        <v>4517</v>
      </c>
      <c r="AC114" s="1" t="s">
        <v>4517</v>
      </c>
      <c r="AD114" s="6">
        <v>8.1</v>
      </c>
      <c r="AE114" s="1" t="s">
        <v>4517</v>
      </c>
      <c r="AF114" s="6" t="s">
        <v>4517</v>
      </c>
      <c r="AG114" s="6" t="s">
        <v>4517</v>
      </c>
      <c r="AH114" s="6"/>
      <c r="AI114" s="1" t="s">
        <v>4517</v>
      </c>
      <c r="AJ114" s="1" t="s">
        <v>4517</v>
      </c>
      <c r="AK114" s="1" t="s">
        <v>4517</v>
      </c>
      <c r="AL114" s="1" t="s">
        <v>4517</v>
      </c>
      <c r="AM114" s="1" t="s">
        <v>4517</v>
      </c>
      <c r="AN114" s="1" t="s">
        <v>4517</v>
      </c>
      <c r="AO114" s="1" t="s">
        <v>4517</v>
      </c>
      <c r="AP114" s="1" t="s">
        <v>4517</v>
      </c>
      <c r="AQ114" s="1" t="s">
        <v>4517</v>
      </c>
      <c r="AR114" s="1" t="s">
        <v>4517</v>
      </c>
      <c r="AS114" s="1" t="s">
        <v>4517</v>
      </c>
      <c r="AT114" s="1" t="s">
        <v>4517</v>
      </c>
      <c r="AU114" s="1" t="s">
        <v>4517</v>
      </c>
      <c r="AV114" s="1" t="s">
        <v>4517</v>
      </c>
      <c r="AW114" s="1" t="s">
        <v>4517</v>
      </c>
      <c r="AX114" s="1" t="s">
        <v>4517</v>
      </c>
      <c r="AY114" s="1" t="s">
        <v>4517</v>
      </c>
      <c r="AZ114" s="1" t="s">
        <v>4517</v>
      </c>
      <c r="BA114" s="1" t="s">
        <v>4517</v>
      </c>
      <c r="BB114" s="1" t="s">
        <v>4517</v>
      </c>
      <c r="BC114" s="1" t="s">
        <v>4517</v>
      </c>
      <c r="BD114" s="1" t="s">
        <v>4517</v>
      </c>
      <c r="BE114" s="1" t="s">
        <v>4517</v>
      </c>
      <c r="BF114" s="1" t="s">
        <v>4517</v>
      </c>
      <c r="BG114" s="1" t="s">
        <v>4517</v>
      </c>
      <c r="BH114" s="1" t="s">
        <v>4517</v>
      </c>
      <c r="BI114" s="1" t="s">
        <v>4517</v>
      </c>
      <c r="BJ114" s="1" t="s">
        <v>4517</v>
      </c>
      <c r="BK114" s="1" t="s">
        <v>4517</v>
      </c>
      <c r="BL114" s="1" t="s">
        <v>4517</v>
      </c>
      <c r="BM114" s="1" t="s">
        <v>4517</v>
      </c>
      <c r="BN114" s="1" t="s">
        <v>4517</v>
      </c>
      <c r="BO114" s="1" t="s">
        <v>4517</v>
      </c>
      <c r="BP114" s="1" t="s">
        <v>4517</v>
      </c>
      <c r="BQ114" s="1" t="s">
        <v>4517</v>
      </c>
      <c r="BR114" s="1" t="s">
        <v>4517</v>
      </c>
      <c r="BS114" s="1" t="s">
        <v>4517</v>
      </c>
      <c r="BT114" s="1" t="s">
        <v>4517</v>
      </c>
      <c r="BU114" s="1" t="s">
        <v>4517</v>
      </c>
      <c r="BV114" s="1" t="s">
        <v>4517</v>
      </c>
      <c r="BW114" s="1" t="s">
        <v>4517</v>
      </c>
      <c r="BX114" s="1" t="s">
        <v>4517</v>
      </c>
      <c r="BY114" s="1" t="s">
        <v>4517</v>
      </c>
      <c r="BZ114" s="1" t="s">
        <v>4517</v>
      </c>
      <c r="CA114" s="1" t="s">
        <v>4517</v>
      </c>
      <c r="CB114" s="1" t="s">
        <v>4517</v>
      </c>
      <c r="CC114" s="1" t="s">
        <v>4517</v>
      </c>
      <c r="CD114" s="1" t="s">
        <v>4517</v>
      </c>
      <c r="CE114" s="1" t="s">
        <v>4517</v>
      </c>
      <c r="CF114" s="1" t="s">
        <v>4517</v>
      </c>
      <c r="CG114" s="1" t="s">
        <v>4517</v>
      </c>
      <c r="CH114" s="1" t="s">
        <v>4517</v>
      </c>
      <c r="CI114" s="1" t="s">
        <v>4517</v>
      </c>
      <c r="CJ114" s="1" t="s">
        <v>4517</v>
      </c>
      <c r="CK114" s="1" t="s">
        <v>4517</v>
      </c>
      <c r="CL114" s="1" t="s">
        <v>4517</v>
      </c>
      <c r="CM114" s="1" t="s">
        <v>4517</v>
      </c>
      <c r="CN114" s="1" t="s">
        <v>4517</v>
      </c>
      <c r="CO114" s="1" t="s">
        <v>4517</v>
      </c>
      <c r="CP114" s="1" t="s">
        <v>4517</v>
      </c>
      <c r="CQ114" s="1" t="s">
        <v>4517</v>
      </c>
      <c r="CR114" s="1" t="s">
        <v>4517</v>
      </c>
      <c r="CS114" s="1" t="s">
        <v>4517</v>
      </c>
      <c r="CT114" s="1" t="s">
        <v>4517</v>
      </c>
      <c r="CU114" s="1" t="s">
        <v>4517</v>
      </c>
      <c r="CV114" s="1" t="s">
        <v>4517</v>
      </c>
      <c r="CW114" s="1" t="s">
        <v>4517</v>
      </c>
      <c r="CX114" s="1" t="s">
        <v>4517</v>
      </c>
      <c r="CY114" s="1" t="s">
        <v>4517</v>
      </c>
      <c r="CZ114" s="1" t="s">
        <v>4517</v>
      </c>
      <c r="DA114" s="1" t="s">
        <v>4517</v>
      </c>
      <c r="DB114" s="1" t="s">
        <v>4517</v>
      </c>
      <c r="DC114" s="1" t="s">
        <v>4517</v>
      </c>
      <c r="DD114" s="1" t="s">
        <v>4517</v>
      </c>
      <c r="DE114" s="1" t="s">
        <v>4517</v>
      </c>
      <c r="DF114" s="1" t="s">
        <v>4517</v>
      </c>
      <c r="DG114" s="1" t="s">
        <v>4517</v>
      </c>
      <c r="DH114" s="1" t="s">
        <v>4517</v>
      </c>
      <c r="DI114" s="1" t="s">
        <v>4517</v>
      </c>
      <c r="DJ114" s="1" t="s">
        <v>4517</v>
      </c>
      <c r="DK114" s="1" t="s">
        <v>4517</v>
      </c>
      <c r="DL114" s="1" t="s">
        <v>4517</v>
      </c>
      <c r="DM114" s="1" t="s">
        <v>4517</v>
      </c>
      <c r="DN114" s="1" t="s">
        <v>4517</v>
      </c>
      <c r="DO114" s="1" t="s">
        <v>4517</v>
      </c>
      <c r="DP114" s="1" t="s">
        <v>4517</v>
      </c>
      <c r="DQ114" s="1" t="s">
        <v>4517</v>
      </c>
      <c r="DR114" s="1" t="s">
        <v>4517</v>
      </c>
      <c r="DS114" s="1" t="s">
        <v>4517</v>
      </c>
      <c r="DT114" s="1" t="s">
        <v>4517</v>
      </c>
      <c r="DU114" s="1" t="s">
        <v>4517</v>
      </c>
      <c r="DV114" s="1" t="s">
        <v>4517</v>
      </c>
      <c r="DW114" s="1" t="s">
        <v>4517</v>
      </c>
      <c r="DX114" s="1" t="s">
        <v>4517</v>
      </c>
      <c r="DY114" s="1" t="s">
        <v>4517</v>
      </c>
      <c r="DZ114" s="1" t="s">
        <v>4517</v>
      </c>
      <c r="EA114" s="1" t="s">
        <v>4517</v>
      </c>
      <c r="EB114" s="1" t="s">
        <v>4517</v>
      </c>
      <c r="EC114" s="1" t="s">
        <v>4517</v>
      </c>
      <c r="ED114" s="1" t="s">
        <v>4517</v>
      </c>
      <c r="EE114" s="1" t="s">
        <v>4517</v>
      </c>
      <c r="EF114" s="1" t="s">
        <v>4517</v>
      </c>
      <c r="EG114" s="1" t="s">
        <v>4517</v>
      </c>
      <c r="EH114" s="1" t="s">
        <v>4517</v>
      </c>
      <c r="EI114" s="1" t="s">
        <v>4517</v>
      </c>
      <c r="EJ114" s="1" t="s">
        <v>4517</v>
      </c>
      <c r="EK114" s="1" t="s">
        <v>4517</v>
      </c>
      <c r="EL114" s="1" t="s">
        <v>4517</v>
      </c>
      <c r="EN114" s="1" t="s">
        <v>4517</v>
      </c>
      <c r="EO114" s="1" t="s">
        <v>4517</v>
      </c>
      <c r="EP114" s="1" t="s">
        <v>4517</v>
      </c>
      <c r="EQ114" s="1" t="s">
        <v>4517</v>
      </c>
      <c r="ER114" s="1" t="s">
        <v>4517</v>
      </c>
      <c r="ES114" s="1" t="s">
        <v>4517</v>
      </c>
      <c r="ET114" s="1" t="s">
        <v>4517</v>
      </c>
      <c r="EU114" s="1" t="s">
        <v>4517</v>
      </c>
      <c r="EV114" s="1" t="s">
        <v>4517</v>
      </c>
      <c r="EW114" s="1" t="s">
        <v>4517</v>
      </c>
      <c r="EX114" s="1" t="s">
        <v>4517</v>
      </c>
      <c r="EY114" s="1" t="s">
        <v>4517</v>
      </c>
      <c r="EZ114" s="1" t="s">
        <v>4517</v>
      </c>
      <c r="FA114" s="1" t="s">
        <v>4517</v>
      </c>
      <c r="FB114" s="1" t="s">
        <v>4517</v>
      </c>
      <c r="FC114" s="1" t="s">
        <v>4517</v>
      </c>
      <c r="FD114" s="1" t="s">
        <v>4517</v>
      </c>
      <c r="FE114" s="1" t="s">
        <v>4517</v>
      </c>
      <c r="FF114" s="1" t="s">
        <v>4517</v>
      </c>
      <c r="FG114" s="1" t="s">
        <v>4517</v>
      </c>
      <c r="FH114" s="1" t="s">
        <v>4517</v>
      </c>
      <c r="FI114" s="1" t="s">
        <v>4517</v>
      </c>
      <c r="FJ114" s="1" t="s">
        <v>4517</v>
      </c>
      <c r="FK114" s="1" t="s">
        <v>4517</v>
      </c>
      <c r="FL114" s="1" t="s">
        <v>4517</v>
      </c>
      <c r="FM114" s="1" t="s">
        <v>4517</v>
      </c>
      <c r="FN114" s="1" t="s">
        <v>4517</v>
      </c>
      <c r="FO114" s="1" t="s">
        <v>4517</v>
      </c>
      <c r="FP114" s="1" t="s">
        <v>4517</v>
      </c>
      <c r="FQ114" s="1" t="s">
        <v>4517</v>
      </c>
      <c r="FR114" s="1" t="s">
        <v>4517</v>
      </c>
      <c r="FS114" s="1" t="s">
        <v>4517</v>
      </c>
      <c r="FT114" s="1" t="s">
        <v>4517</v>
      </c>
      <c r="FU114" s="1" t="s">
        <v>4517</v>
      </c>
      <c r="FV114" s="1" t="s">
        <v>4517</v>
      </c>
      <c r="FW114" s="1" t="s">
        <v>4517</v>
      </c>
      <c r="FX114" s="1" t="s">
        <v>4517</v>
      </c>
      <c r="FY114" s="1" t="s">
        <v>4517</v>
      </c>
      <c r="FZ114" s="1" t="s">
        <v>4517</v>
      </c>
      <c r="GA114" s="1" t="s">
        <v>4517</v>
      </c>
      <c r="GB114" s="1" t="s">
        <v>4517</v>
      </c>
      <c r="GC114" s="1" t="s">
        <v>4517</v>
      </c>
      <c r="GD114" s="1" t="s">
        <v>4517</v>
      </c>
      <c r="GE114" s="1" t="s">
        <v>4517</v>
      </c>
      <c r="GF114" s="1" t="s">
        <v>4517</v>
      </c>
      <c r="GG114" s="1" t="s">
        <v>4517</v>
      </c>
      <c r="GH114" s="1" t="s">
        <v>4517</v>
      </c>
      <c r="GI114" s="1" t="s">
        <v>4517</v>
      </c>
      <c r="GJ114" s="1" t="s">
        <v>4517</v>
      </c>
      <c r="GK114" s="1" t="s">
        <v>4517</v>
      </c>
      <c r="GL114" s="1" t="s">
        <v>4517</v>
      </c>
      <c r="GM114" s="1" t="s">
        <v>4517</v>
      </c>
      <c r="GN114" s="1" t="s">
        <v>4517</v>
      </c>
      <c r="GO114" s="1" t="s">
        <v>4517</v>
      </c>
      <c r="GP114" s="1" t="s">
        <v>4517</v>
      </c>
      <c r="GQ114" s="1" t="s">
        <v>4517</v>
      </c>
      <c r="GR114" s="1">
        <v>348.29999999999995</v>
      </c>
      <c r="GS114" s="1" t="s">
        <v>4517</v>
      </c>
      <c r="GT114" s="1" t="s">
        <v>4517</v>
      </c>
      <c r="GU114" s="1" t="s">
        <v>4517</v>
      </c>
      <c r="GV114" s="1" t="s">
        <v>4517</v>
      </c>
      <c r="GW114" s="1" t="s">
        <v>4517</v>
      </c>
      <c r="GX114" s="1" t="s">
        <v>4517</v>
      </c>
      <c r="GY114" s="1" t="s">
        <v>4517</v>
      </c>
      <c r="GZ114" s="1" t="s">
        <v>4517</v>
      </c>
      <c r="HA114" s="1" t="s">
        <v>4517</v>
      </c>
      <c r="HB114" s="1" t="s">
        <v>4517</v>
      </c>
      <c r="HC114" s="1" t="s">
        <v>4517</v>
      </c>
      <c r="HD114" s="1" t="s">
        <v>4517</v>
      </c>
      <c r="HE114" s="1" t="s">
        <v>4517</v>
      </c>
      <c r="HV114" s="1" t="s">
        <v>4517</v>
      </c>
      <c r="HW114" s="1" t="s">
        <v>4517</v>
      </c>
      <c r="HX114" s="1" t="s">
        <v>4517</v>
      </c>
      <c r="HY114" s="1" t="s">
        <v>4517</v>
      </c>
      <c r="HZ114" s="1" t="s">
        <v>4517</v>
      </c>
      <c r="IA114" s="1" t="s">
        <v>4517</v>
      </c>
      <c r="IB114" s="1" t="s">
        <v>4517</v>
      </c>
      <c r="IC114" s="1" t="s">
        <v>4517</v>
      </c>
      <c r="ID114" s="1" t="s">
        <v>4517</v>
      </c>
      <c r="IE114" s="1" t="s">
        <v>4517</v>
      </c>
      <c r="IF114" s="1" t="s">
        <v>4517</v>
      </c>
      <c r="IG114" s="1" t="s">
        <v>4517</v>
      </c>
      <c r="IH114" s="1" t="s">
        <v>4517</v>
      </c>
      <c r="II114" s="1" t="s">
        <v>4517</v>
      </c>
      <c r="IJ114" s="1" t="s">
        <v>4517</v>
      </c>
    </row>
  </sheetData>
  <autoFilter ref="A2:IW2"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S56"/>
  <sheetViews>
    <sheetView zoomScale="130" zoomScaleNormal="130" zoomScalePageLayoutView="130" workbookViewId="0">
      <pane ySplit="1" topLeftCell="A2" activePane="bottomLeft" state="frozen"/>
      <selection pane="bottomLeft"/>
    </sheetView>
  </sheetViews>
  <sheetFormatPr baseColWidth="10" defaultColWidth="11.5" defaultRowHeight="14" x14ac:dyDescent="0.2"/>
  <cols>
    <col min="1" max="9" width="11.5" style="1"/>
    <col min="10" max="10" width="48.33203125" style="1" customWidth="1"/>
    <col min="11" max="16384" width="11.5" style="1"/>
  </cols>
  <sheetData>
    <row r="1" spans="1:253" ht="30" customHeight="1" x14ac:dyDescent="0.2">
      <c r="A1" s="47" t="s">
        <v>64</v>
      </c>
      <c r="B1" s="4" t="s">
        <v>65</v>
      </c>
      <c r="C1" s="4" t="s">
        <v>1062</v>
      </c>
      <c r="D1" s="4" t="s">
        <v>1063</v>
      </c>
      <c r="E1" s="4" t="s">
        <v>6</v>
      </c>
      <c r="F1" s="4" t="s">
        <v>6191</v>
      </c>
      <c r="G1" s="4" t="s">
        <v>68</v>
      </c>
      <c r="H1" s="4" t="s">
        <v>69</v>
      </c>
      <c r="I1" s="4" t="s">
        <v>13</v>
      </c>
      <c r="J1" s="4" t="s">
        <v>70</v>
      </c>
      <c r="K1" s="4" t="s">
        <v>71</v>
      </c>
      <c r="L1" s="4" t="s">
        <v>6192</v>
      </c>
      <c r="M1" s="4" t="s">
        <v>19</v>
      </c>
      <c r="N1" s="4" t="s">
        <v>72</v>
      </c>
      <c r="O1" s="4" t="s">
        <v>243</v>
      </c>
      <c r="P1" s="4" t="s">
        <v>244</v>
      </c>
      <c r="Q1" s="4" t="s">
        <v>73</v>
      </c>
      <c r="R1" s="4" t="s">
        <v>74</v>
      </c>
      <c r="S1" s="4" t="s">
        <v>1070</v>
      </c>
      <c r="T1" s="4" t="s">
        <v>6193</v>
      </c>
      <c r="U1" s="4" t="s">
        <v>246</v>
      </c>
      <c r="V1" s="4" t="s">
        <v>76</v>
      </c>
      <c r="W1" s="4" t="s">
        <v>77</v>
      </c>
      <c r="X1" s="4" t="s">
        <v>79</v>
      </c>
      <c r="Y1" s="4" t="s">
        <v>6195</v>
      </c>
      <c r="Z1" s="4" t="s">
        <v>247</v>
      </c>
      <c r="AA1" s="4" t="s">
        <v>6196</v>
      </c>
      <c r="AB1" s="4" t="s">
        <v>6197</v>
      </c>
      <c r="AC1" s="4" t="s">
        <v>81</v>
      </c>
      <c r="AD1" s="4" t="s">
        <v>248</v>
      </c>
      <c r="AE1" s="4" t="s">
        <v>6198</v>
      </c>
      <c r="AF1" s="4" t="s">
        <v>6199</v>
      </c>
      <c r="AG1" s="4" t="s">
        <v>6200</v>
      </c>
      <c r="AH1" s="4" t="s">
        <v>6201</v>
      </c>
      <c r="AI1" s="4" t="s">
        <v>6202</v>
      </c>
      <c r="AJ1" s="4" t="s">
        <v>82</v>
      </c>
      <c r="AK1" s="4" t="s">
        <v>83</v>
      </c>
      <c r="AL1" s="4" t="s">
        <v>6203</v>
      </c>
      <c r="AM1" s="4" t="s">
        <v>6204</v>
      </c>
      <c r="AN1" s="4" t="s">
        <v>6205</v>
      </c>
      <c r="AO1" s="4" t="s">
        <v>6206</v>
      </c>
      <c r="AP1" s="4" t="s">
        <v>84</v>
      </c>
      <c r="AQ1" s="4" t="s">
        <v>85</v>
      </c>
      <c r="AR1" s="4" t="s">
        <v>1081</v>
      </c>
      <c r="AS1" s="4" t="s">
        <v>1082</v>
      </c>
      <c r="AT1" s="4" t="s">
        <v>86</v>
      </c>
      <c r="AU1" s="4" t="s">
        <v>87</v>
      </c>
      <c r="AV1" s="4" t="s">
        <v>88</v>
      </c>
      <c r="AW1" s="4" t="s">
        <v>89</v>
      </c>
      <c r="AX1" s="4" t="s">
        <v>251</v>
      </c>
      <c r="AY1" s="4" t="s">
        <v>90</v>
      </c>
      <c r="AZ1" s="4" t="s">
        <v>1086</v>
      </c>
      <c r="BA1" s="4" t="s">
        <v>91</v>
      </c>
      <c r="BB1" s="4" t="s">
        <v>1087</v>
      </c>
      <c r="BC1" s="4" t="s">
        <v>1088</v>
      </c>
      <c r="BD1" s="4" t="s">
        <v>92</v>
      </c>
      <c r="BE1" s="4" t="s">
        <v>252</v>
      </c>
      <c r="BF1" s="4" t="s">
        <v>6207</v>
      </c>
      <c r="BG1" s="4" t="s">
        <v>6208</v>
      </c>
      <c r="BH1" s="4" t="s">
        <v>253</v>
      </c>
      <c r="BI1" s="4" t="s">
        <v>254</v>
      </c>
      <c r="BJ1" s="4" t="s">
        <v>1097</v>
      </c>
      <c r="BK1" s="4" t="s">
        <v>6209</v>
      </c>
      <c r="BL1" s="4" t="s">
        <v>255</v>
      </c>
      <c r="BM1" s="4" t="s">
        <v>6210</v>
      </c>
      <c r="BN1" s="4" t="s">
        <v>1101</v>
      </c>
      <c r="BO1" s="4" t="s">
        <v>256</v>
      </c>
      <c r="BP1" s="4" t="s">
        <v>6211</v>
      </c>
      <c r="BQ1" s="4" t="s">
        <v>6212</v>
      </c>
      <c r="BR1" s="4" t="s">
        <v>6213</v>
      </c>
      <c r="BS1" s="4" t="s">
        <v>258</v>
      </c>
      <c r="BT1" s="4" t="s">
        <v>6214</v>
      </c>
      <c r="BU1" s="4" t="s">
        <v>259</v>
      </c>
      <c r="BV1" s="4" t="s">
        <v>260</v>
      </c>
      <c r="BW1" s="4" t="s">
        <v>6215</v>
      </c>
      <c r="BX1" s="4" t="s">
        <v>6216</v>
      </c>
      <c r="BY1" s="4" t="s">
        <v>6217</v>
      </c>
      <c r="BZ1" s="4" t="s">
        <v>1105</v>
      </c>
      <c r="CA1" s="4" t="s">
        <v>6218</v>
      </c>
      <c r="CB1" s="4" t="s">
        <v>93</v>
      </c>
      <c r="CC1" s="4" t="s">
        <v>94</v>
      </c>
      <c r="CD1" s="4" t="s">
        <v>6832</v>
      </c>
      <c r="CE1" s="4" t="s">
        <v>1106</v>
      </c>
      <c r="CF1" s="4" t="s">
        <v>6247</v>
      </c>
      <c r="CG1" s="4" t="s">
        <v>95</v>
      </c>
      <c r="CH1" s="4" t="s">
        <v>1112</v>
      </c>
      <c r="CI1" s="4" t="s">
        <v>262</v>
      </c>
      <c r="CJ1" s="4" t="s">
        <v>263</v>
      </c>
      <c r="CK1" s="4" t="s">
        <v>264</v>
      </c>
      <c r="CL1" s="4" t="s">
        <v>96</v>
      </c>
      <c r="CM1" s="4" t="s">
        <v>97</v>
      </c>
      <c r="CN1" s="4" t="s">
        <v>1114</v>
      </c>
      <c r="CO1" s="4" t="s">
        <v>133</v>
      </c>
      <c r="CP1" s="4" t="s">
        <v>134</v>
      </c>
      <c r="CQ1" s="4" t="s">
        <v>135</v>
      </c>
      <c r="CR1" s="4" t="s">
        <v>267</v>
      </c>
      <c r="CS1" s="4" t="s">
        <v>136</v>
      </c>
      <c r="CT1" s="4" t="s">
        <v>1118</v>
      </c>
      <c r="CU1" s="4" t="s">
        <v>137</v>
      </c>
      <c r="CV1" s="4" t="s">
        <v>138</v>
      </c>
      <c r="CW1" s="4" t="s">
        <v>139</v>
      </c>
      <c r="CX1" s="4" t="s">
        <v>140</v>
      </c>
      <c r="CY1" s="4" t="s">
        <v>141</v>
      </c>
      <c r="CZ1" s="4" t="s">
        <v>142</v>
      </c>
      <c r="DA1" s="4" t="s">
        <v>143</v>
      </c>
      <c r="DB1" s="4" t="s">
        <v>144</v>
      </c>
      <c r="DC1" s="4" t="s">
        <v>145</v>
      </c>
      <c r="DD1" s="4" t="s">
        <v>146</v>
      </c>
      <c r="DE1" s="4" t="s">
        <v>147</v>
      </c>
      <c r="DF1" s="4" t="s">
        <v>148</v>
      </c>
      <c r="DG1" s="4" t="s">
        <v>149</v>
      </c>
      <c r="DH1" s="4" t="s">
        <v>150</v>
      </c>
      <c r="DI1" s="4" t="s">
        <v>6219</v>
      </c>
      <c r="DJ1" s="4" t="s">
        <v>6220</v>
      </c>
      <c r="DK1" s="4" t="s">
        <v>269</v>
      </c>
      <c r="DL1" s="4" t="s">
        <v>7665</v>
      </c>
      <c r="DM1" s="4" t="s">
        <v>7666</v>
      </c>
      <c r="DN1" s="4" t="s">
        <v>7667</v>
      </c>
      <c r="DO1" s="4" t="s">
        <v>7668</v>
      </c>
      <c r="DP1" s="4" t="s">
        <v>7669</v>
      </c>
      <c r="DQ1" s="4" t="s">
        <v>7670</v>
      </c>
      <c r="DR1" s="4" t="s">
        <v>7671</v>
      </c>
      <c r="DS1" s="4" t="s">
        <v>7672</v>
      </c>
      <c r="DT1" s="4" t="s">
        <v>7673</v>
      </c>
      <c r="DU1" s="4" t="s">
        <v>7674</v>
      </c>
      <c r="DV1" s="4" t="s">
        <v>7675</v>
      </c>
      <c r="DW1" s="4" t="s">
        <v>7676</v>
      </c>
      <c r="DX1" s="4" t="s">
        <v>7677</v>
      </c>
      <c r="DY1" s="4" t="s">
        <v>7678</v>
      </c>
      <c r="DZ1" s="4" t="s">
        <v>7679</v>
      </c>
      <c r="EA1" s="4" t="s">
        <v>7680</v>
      </c>
      <c r="EB1" s="4"/>
      <c r="EC1" s="4"/>
      <c r="ED1" s="4"/>
      <c r="EE1" s="4"/>
      <c r="EF1" s="4"/>
      <c r="EG1" s="4"/>
      <c r="EH1" s="4"/>
      <c r="EI1" s="4"/>
      <c r="EJ1" s="4"/>
      <c r="EK1" s="4" t="s">
        <v>6221</v>
      </c>
      <c r="EL1" s="4" t="s">
        <v>6222</v>
      </c>
      <c r="EM1" s="4" t="s">
        <v>6223</v>
      </c>
      <c r="EN1" s="4" t="s">
        <v>6224</v>
      </c>
      <c r="EO1" s="4" t="s">
        <v>6225</v>
      </c>
      <c r="EP1" s="4" t="s">
        <v>6226</v>
      </c>
      <c r="EQ1" s="4" t="s">
        <v>6227</v>
      </c>
      <c r="ER1" s="4" t="s">
        <v>6228</v>
      </c>
      <c r="ES1" s="4" t="s">
        <v>6229</v>
      </c>
      <c r="ET1" s="4" t="s">
        <v>6230</v>
      </c>
      <c r="EU1" s="4" t="s">
        <v>6231</v>
      </c>
      <c r="EV1" s="4" t="s">
        <v>6232</v>
      </c>
      <c r="EW1" s="4" t="s">
        <v>6233</v>
      </c>
      <c r="EX1" s="4" t="s">
        <v>6234</v>
      </c>
      <c r="EY1" s="4" t="s">
        <v>6235</v>
      </c>
      <c r="EZ1" s="4" t="s">
        <v>6236</v>
      </c>
      <c r="FA1" s="4" t="s">
        <v>6237</v>
      </c>
      <c r="FB1" s="4" t="s">
        <v>272</v>
      </c>
      <c r="FC1" s="4" t="s">
        <v>6238</v>
      </c>
      <c r="FD1" s="4" t="s">
        <v>6239</v>
      </c>
      <c r="FE1" s="26" t="s">
        <v>7221</v>
      </c>
      <c r="FF1" s="26" t="s">
        <v>7421</v>
      </c>
      <c r="FG1" s="26" t="s">
        <v>7418</v>
      </c>
      <c r="FH1" s="48" t="s">
        <v>7561</v>
      </c>
      <c r="FI1" s="48" t="s">
        <v>257</v>
      </c>
      <c r="FJ1" s="26" t="s">
        <v>6243</v>
      </c>
      <c r="FK1" s="26" t="s">
        <v>6244</v>
      </c>
      <c r="FL1" s="26" t="s">
        <v>6245</v>
      </c>
      <c r="FM1" s="26" t="s">
        <v>6246</v>
      </c>
      <c r="FN1" s="26" t="s">
        <v>6247</v>
      </c>
    </row>
    <row r="2" spans="1:253" ht="28.5" customHeight="1" x14ac:dyDescent="0.2">
      <c r="A2" s="5"/>
      <c r="B2" s="5" t="s">
        <v>152</v>
      </c>
      <c r="C2" s="5"/>
      <c r="D2" s="5"/>
      <c r="E2" s="5" t="s">
        <v>153</v>
      </c>
      <c r="F2" s="5"/>
      <c r="G2" s="5" t="s">
        <v>154</v>
      </c>
      <c r="H2" s="5" t="s">
        <v>155</v>
      </c>
      <c r="I2" s="5" t="s">
        <v>14</v>
      </c>
      <c r="J2" s="5"/>
      <c r="K2" s="5"/>
      <c r="L2" s="5"/>
      <c r="M2" s="5"/>
      <c r="N2" s="5"/>
      <c r="O2" s="5"/>
      <c r="P2" s="5"/>
      <c r="BZ2" s="1" t="s">
        <v>7060</v>
      </c>
      <c r="CD2" s="30" t="s">
        <v>6833</v>
      </c>
      <c r="CE2" s="30" t="s">
        <v>6834</v>
      </c>
      <c r="CF2" s="30" t="s">
        <v>9748</v>
      </c>
      <c r="DL2" s="5" t="s">
        <v>7681</v>
      </c>
      <c r="DM2" s="5" t="s">
        <v>7682</v>
      </c>
      <c r="DN2" s="5" t="s">
        <v>7683</v>
      </c>
      <c r="DO2" s="5" t="s">
        <v>7684</v>
      </c>
      <c r="DP2" s="5" t="s">
        <v>7685</v>
      </c>
      <c r="DQ2" s="5" t="s">
        <v>7686</v>
      </c>
      <c r="DR2" s="5" t="s">
        <v>7687</v>
      </c>
      <c r="DS2" s="5" t="s">
        <v>7688</v>
      </c>
      <c r="DT2" s="5" t="s">
        <v>7689</v>
      </c>
      <c r="DU2" s="5" t="s">
        <v>7690</v>
      </c>
      <c r="DV2" s="5" t="s">
        <v>7691</v>
      </c>
      <c r="DW2" s="5" t="s">
        <v>7692</v>
      </c>
      <c r="DX2" s="5" t="s">
        <v>7693</v>
      </c>
      <c r="DY2" s="5" t="s">
        <v>7694</v>
      </c>
      <c r="DZ2" s="5" t="s">
        <v>7695</v>
      </c>
      <c r="EA2" s="5" t="s">
        <v>7696</v>
      </c>
      <c r="FF2" s="30" t="s">
        <v>7422</v>
      </c>
      <c r="FG2" s="30" t="s">
        <v>7419</v>
      </c>
    </row>
    <row r="3" spans="1:253" s="5" customFormat="1" ht="58.5" hidden="1" customHeight="1" x14ac:dyDescent="0.15">
      <c r="O3" s="5" t="str">
        <f>IF(COUNTA(O4:O65536)=0,"","02")</f>
        <v>02</v>
      </c>
      <c r="P3" s="5" t="str">
        <f t="shared" ref="P3:CB3" si="0">IF(COUNTA(P4:P65536)=0,"","02")</f>
        <v>02</v>
      </c>
      <c r="Q3" s="5" t="str">
        <f t="shared" si="0"/>
        <v>02</v>
      </c>
      <c r="R3" s="5" t="str">
        <f t="shared" si="0"/>
        <v>02</v>
      </c>
      <c r="S3" s="5" t="str">
        <f t="shared" si="0"/>
        <v>02</v>
      </c>
      <c r="T3" s="5" t="str">
        <f t="shared" si="0"/>
        <v>02</v>
      </c>
      <c r="U3" s="5" t="str">
        <f t="shared" si="0"/>
        <v>02</v>
      </c>
      <c r="V3" s="5" t="str">
        <f t="shared" si="0"/>
        <v>02</v>
      </c>
      <c r="W3" s="5" t="str">
        <f t="shared" si="0"/>
        <v>02</v>
      </c>
      <c r="X3" s="5" t="str">
        <f t="shared" si="0"/>
        <v>02</v>
      </c>
      <c r="Y3" s="5" t="str">
        <f t="shared" si="0"/>
        <v>02</v>
      </c>
      <c r="Z3" s="5" t="str">
        <f t="shared" si="0"/>
        <v>02</v>
      </c>
      <c r="AA3" s="5" t="str">
        <f t="shared" si="0"/>
        <v>02</v>
      </c>
      <c r="AB3" s="5" t="str">
        <f t="shared" si="0"/>
        <v/>
      </c>
      <c r="AC3" s="5" t="str">
        <f t="shared" si="0"/>
        <v/>
      </c>
      <c r="AD3" s="5" t="str">
        <f t="shared" si="0"/>
        <v/>
      </c>
      <c r="AE3" s="5" t="str">
        <f t="shared" si="0"/>
        <v>02</v>
      </c>
      <c r="AF3" s="5" t="str">
        <f t="shared" si="0"/>
        <v>02</v>
      </c>
      <c r="AG3" s="5" t="str">
        <f t="shared" si="0"/>
        <v>02</v>
      </c>
      <c r="AH3" s="5" t="str">
        <f t="shared" si="0"/>
        <v/>
      </c>
      <c r="AI3" s="5" t="str">
        <f t="shared" si="0"/>
        <v/>
      </c>
      <c r="AJ3" s="5" t="str">
        <f t="shared" si="0"/>
        <v>02</v>
      </c>
      <c r="AK3" s="5" t="str">
        <f t="shared" si="0"/>
        <v>02</v>
      </c>
      <c r="AL3" s="5" t="str">
        <f t="shared" si="0"/>
        <v>02</v>
      </c>
      <c r="AM3" s="5" t="str">
        <f t="shared" si="0"/>
        <v>02</v>
      </c>
      <c r="AN3" s="5" t="str">
        <f t="shared" si="0"/>
        <v/>
      </c>
      <c r="AO3" s="5" t="str">
        <f t="shared" si="0"/>
        <v/>
      </c>
      <c r="AP3" s="5" t="str">
        <f t="shared" si="0"/>
        <v>02</v>
      </c>
      <c r="AQ3" s="5" t="str">
        <f t="shared" si="0"/>
        <v>02</v>
      </c>
      <c r="AR3" s="5" t="str">
        <f t="shared" si="0"/>
        <v/>
      </c>
      <c r="AS3" s="5" t="str">
        <f t="shared" si="0"/>
        <v/>
      </c>
      <c r="AT3" s="5" t="str">
        <f t="shared" si="0"/>
        <v>02</v>
      </c>
      <c r="AU3" s="5" t="str">
        <f t="shared" si="0"/>
        <v>02</v>
      </c>
      <c r="AV3" s="5" t="str">
        <f t="shared" si="0"/>
        <v>02</v>
      </c>
      <c r="AW3" s="5" t="str">
        <f t="shared" si="0"/>
        <v>02</v>
      </c>
      <c r="AX3" s="5" t="str">
        <f t="shared" si="0"/>
        <v>02</v>
      </c>
      <c r="AY3" s="5" t="str">
        <f t="shared" si="0"/>
        <v>02</v>
      </c>
      <c r="AZ3" s="5" t="str">
        <f t="shared" si="0"/>
        <v/>
      </c>
      <c r="BA3" s="5" t="str">
        <f t="shared" si="0"/>
        <v>02</v>
      </c>
      <c r="BB3" s="5" t="str">
        <f t="shared" si="0"/>
        <v/>
      </c>
      <c r="BC3" s="5" t="str">
        <f t="shared" si="0"/>
        <v/>
      </c>
      <c r="BD3" s="5" t="str">
        <f t="shared" si="0"/>
        <v>02</v>
      </c>
      <c r="BE3" s="5" t="str">
        <f t="shared" si="0"/>
        <v/>
      </c>
      <c r="BF3" s="5" t="str">
        <f t="shared" si="0"/>
        <v/>
      </c>
      <c r="BG3" s="5" t="str">
        <f t="shared" si="0"/>
        <v/>
      </c>
      <c r="BH3" s="5" t="str">
        <f t="shared" si="0"/>
        <v/>
      </c>
      <c r="BI3" s="5" t="str">
        <f t="shared" si="0"/>
        <v>02</v>
      </c>
      <c r="BJ3" s="5" t="str">
        <f t="shared" si="0"/>
        <v/>
      </c>
      <c r="BK3" s="5" t="str">
        <f t="shared" si="0"/>
        <v/>
      </c>
      <c r="BL3" s="5" t="str">
        <f t="shared" si="0"/>
        <v/>
      </c>
      <c r="BM3" s="5" t="str">
        <f t="shared" si="0"/>
        <v/>
      </c>
      <c r="BN3" s="5" t="str">
        <f t="shared" si="0"/>
        <v/>
      </c>
      <c r="BO3" s="5" t="str">
        <f t="shared" si="0"/>
        <v>02</v>
      </c>
      <c r="BP3" s="5" t="str">
        <f t="shared" si="0"/>
        <v/>
      </c>
      <c r="BQ3" s="5" t="str">
        <f t="shared" si="0"/>
        <v/>
      </c>
      <c r="BR3" s="5" t="str">
        <f t="shared" si="0"/>
        <v/>
      </c>
      <c r="BS3" s="5" t="str">
        <f t="shared" si="0"/>
        <v/>
      </c>
      <c r="BT3" s="5" t="str">
        <f t="shared" si="0"/>
        <v/>
      </c>
      <c r="BU3" s="5" t="str">
        <f t="shared" si="0"/>
        <v/>
      </c>
      <c r="BV3" s="5" t="str">
        <f t="shared" si="0"/>
        <v/>
      </c>
      <c r="BW3" s="5" t="str">
        <f t="shared" si="0"/>
        <v/>
      </c>
      <c r="BX3" s="5" t="str">
        <f t="shared" si="0"/>
        <v>02</v>
      </c>
      <c r="BY3" s="5" t="str">
        <f t="shared" si="0"/>
        <v/>
      </c>
      <c r="CA3" s="5" t="str">
        <f t="shared" si="0"/>
        <v/>
      </c>
      <c r="CB3" s="5" t="str">
        <f t="shared" si="0"/>
        <v>02</v>
      </c>
      <c r="CC3" s="5" t="str">
        <f t="shared" ref="CC3:FE3" si="1">IF(COUNTA(CC4:CC65536)=0,"","02")</f>
        <v>02</v>
      </c>
      <c r="CE3" s="5" t="str">
        <f t="shared" si="1"/>
        <v>02</v>
      </c>
      <c r="CG3" s="5" t="str">
        <f t="shared" si="1"/>
        <v>02</v>
      </c>
      <c r="CH3" s="5" t="str">
        <f t="shared" si="1"/>
        <v/>
      </c>
      <c r="CI3" s="5" t="str">
        <f t="shared" si="1"/>
        <v>02</v>
      </c>
      <c r="CJ3" s="5" t="str">
        <f t="shared" si="1"/>
        <v>02</v>
      </c>
      <c r="CK3" s="5" t="str">
        <f t="shared" si="1"/>
        <v/>
      </c>
      <c r="CL3" s="5" t="str">
        <f t="shared" si="1"/>
        <v/>
      </c>
      <c r="CM3" s="5" t="str">
        <f t="shared" si="1"/>
        <v>02</v>
      </c>
      <c r="CN3" s="5" t="str">
        <f t="shared" si="1"/>
        <v>02</v>
      </c>
      <c r="CO3" s="5" t="str">
        <f t="shared" si="1"/>
        <v/>
      </c>
      <c r="CP3" s="5" t="str">
        <f t="shared" si="1"/>
        <v/>
      </c>
      <c r="CQ3" s="5" t="str">
        <f t="shared" si="1"/>
        <v/>
      </c>
      <c r="CR3" s="5" t="str">
        <f t="shared" si="1"/>
        <v/>
      </c>
      <c r="CS3" s="5" t="str">
        <f t="shared" si="1"/>
        <v/>
      </c>
      <c r="CT3" s="5" t="str">
        <f t="shared" si="1"/>
        <v/>
      </c>
      <c r="CU3" s="5" t="str">
        <f t="shared" si="1"/>
        <v/>
      </c>
      <c r="CV3" s="5" t="str">
        <f t="shared" si="1"/>
        <v/>
      </c>
      <c r="CW3" s="5" t="str">
        <f t="shared" si="1"/>
        <v/>
      </c>
      <c r="CX3" s="5" t="str">
        <f t="shared" si="1"/>
        <v/>
      </c>
      <c r="CY3" s="5" t="str">
        <f t="shared" si="1"/>
        <v/>
      </c>
      <c r="CZ3" s="5" t="str">
        <f t="shared" si="1"/>
        <v/>
      </c>
      <c r="DA3" s="5" t="str">
        <f t="shared" si="1"/>
        <v/>
      </c>
      <c r="DB3" s="5" t="str">
        <f t="shared" si="1"/>
        <v/>
      </c>
      <c r="DC3" s="5" t="str">
        <f t="shared" si="1"/>
        <v/>
      </c>
      <c r="DD3" s="5" t="str">
        <f t="shared" si="1"/>
        <v/>
      </c>
      <c r="DE3" s="5" t="str">
        <f t="shared" si="1"/>
        <v/>
      </c>
      <c r="DF3" s="5" t="str">
        <f t="shared" si="1"/>
        <v/>
      </c>
      <c r="DG3" s="5" t="str">
        <f t="shared" si="1"/>
        <v/>
      </c>
      <c r="DH3" s="5" t="str">
        <f t="shared" si="1"/>
        <v/>
      </c>
      <c r="DI3" s="5" t="str">
        <f t="shared" si="1"/>
        <v/>
      </c>
      <c r="DJ3" s="5" t="str">
        <f t="shared" si="1"/>
        <v/>
      </c>
      <c r="DK3" s="5" t="str">
        <f t="shared" si="1"/>
        <v/>
      </c>
      <c r="EK3" s="5" t="str">
        <f t="shared" si="1"/>
        <v/>
      </c>
      <c r="EL3" s="5" t="str">
        <f t="shared" si="1"/>
        <v/>
      </c>
      <c r="EM3" s="5" t="str">
        <f t="shared" si="1"/>
        <v/>
      </c>
      <c r="EN3" s="5" t="str">
        <f t="shared" si="1"/>
        <v/>
      </c>
      <c r="EO3" s="5" t="str">
        <f t="shared" si="1"/>
        <v/>
      </c>
      <c r="EP3" s="5" t="str">
        <f t="shared" si="1"/>
        <v/>
      </c>
      <c r="EQ3" s="5" t="str">
        <f t="shared" si="1"/>
        <v/>
      </c>
      <c r="ER3" s="5" t="str">
        <f t="shared" si="1"/>
        <v/>
      </c>
      <c r="ES3" s="5" t="str">
        <f t="shared" si="1"/>
        <v/>
      </c>
      <c r="ET3" s="5" t="str">
        <f t="shared" si="1"/>
        <v/>
      </c>
      <c r="EU3" s="5" t="str">
        <f t="shared" si="1"/>
        <v/>
      </c>
      <c r="EV3" s="5" t="str">
        <f t="shared" si="1"/>
        <v/>
      </c>
      <c r="EW3" s="5" t="str">
        <f t="shared" si="1"/>
        <v/>
      </c>
      <c r="EX3" s="5" t="str">
        <f t="shared" si="1"/>
        <v/>
      </c>
      <c r="EY3" s="5" t="str">
        <f t="shared" si="1"/>
        <v/>
      </c>
      <c r="EZ3" s="5" t="str">
        <f t="shared" si="1"/>
        <v/>
      </c>
      <c r="FA3" s="5" t="str">
        <f t="shared" si="1"/>
        <v/>
      </c>
      <c r="FB3" s="5" t="str">
        <f t="shared" si="1"/>
        <v/>
      </c>
      <c r="FC3" s="5" t="str">
        <f t="shared" si="1"/>
        <v/>
      </c>
      <c r="FD3" s="5" t="str">
        <f t="shared" si="1"/>
        <v/>
      </c>
      <c r="FE3" s="5" t="str">
        <f t="shared" si="1"/>
        <v>02</v>
      </c>
      <c r="FF3" s="5" t="str">
        <f t="shared" ref="FF3:FM3" si="2">IF(COUNTA(FF4:FF65536)=0,"","02")</f>
        <v>02</v>
      </c>
      <c r="FG3" s="5" t="str">
        <f t="shared" si="2"/>
        <v>02</v>
      </c>
      <c r="FH3" s="5" t="str">
        <f t="shared" si="2"/>
        <v/>
      </c>
      <c r="FI3" s="5" t="str">
        <f t="shared" si="2"/>
        <v>02</v>
      </c>
      <c r="FJ3" s="5" t="str">
        <f t="shared" si="2"/>
        <v>02</v>
      </c>
      <c r="FK3" s="5" t="str">
        <f t="shared" si="2"/>
        <v>02</v>
      </c>
      <c r="FL3" s="5" t="str">
        <f t="shared" si="2"/>
        <v/>
      </c>
      <c r="FM3" s="5" t="str">
        <f t="shared" si="2"/>
        <v/>
      </c>
      <c r="FN3" s="5" t="str">
        <f t="shared" ref="FN3:HY3" si="3">IF(COUNTA(FN4:FN65536)=0,"","02")</f>
        <v/>
      </c>
      <c r="FO3" s="5" t="str">
        <f t="shared" si="3"/>
        <v/>
      </c>
      <c r="FP3" s="5" t="str">
        <f t="shared" si="3"/>
        <v/>
      </c>
      <c r="FQ3" s="5" t="str">
        <f t="shared" si="3"/>
        <v/>
      </c>
      <c r="FR3" s="5" t="str">
        <f t="shared" si="3"/>
        <v/>
      </c>
      <c r="FS3" s="5" t="str">
        <f t="shared" si="3"/>
        <v/>
      </c>
      <c r="FT3" s="5" t="str">
        <f t="shared" si="3"/>
        <v/>
      </c>
      <c r="FU3" s="5" t="str">
        <f t="shared" si="3"/>
        <v/>
      </c>
      <c r="FV3" s="5" t="str">
        <f t="shared" si="3"/>
        <v/>
      </c>
      <c r="FW3" s="5" t="str">
        <f t="shared" si="3"/>
        <v/>
      </c>
      <c r="FX3" s="5" t="str">
        <f t="shared" si="3"/>
        <v/>
      </c>
      <c r="FY3" s="5" t="str">
        <f t="shared" si="3"/>
        <v/>
      </c>
      <c r="FZ3" s="5" t="str">
        <f t="shared" si="3"/>
        <v/>
      </c>
      <c r="GA3" s="5" t="str">
        <f t="shared" si="3"/>
        <v/>
      </c>
      <c r="GB3" s="5" t="str">
        <f t="shared" si="3"/>
        <v/>
      </c>
      <c r="GC3" s="5" t="str">
        <f t="shared" si="3"/>
        <v/>
      </c>
      <c r="GD3" s="5" t="str">
        <f t="shared" si="3"/>
        <v/>
      </c>
      <c r="GE3" s="5" t="str">
        <f t="shared" si="3"/>
        <v/>
      </c>
      <c r="GF3" s="5" t="str">
        <f t="shared" si="3"/>
        <v/>
      </c>
      <c r="GG3" s="5" t="str">
        <f t="shared" si="3"/>
        <v/>
      </c>
      <c r="GH3" s="5" t="str">
        <f t="shared" si="3"/>
        <v/>
      </c>
      <c r="GI3" s="5" t="str">
        <f t="shared" si="3"/>
        <v/>
      </c>
      <c r="GJ3" s="5" t="str">
        <f t="shared" si="3"/>
        <v/>
      </c>
      <c r="GK3" s="5" t="str">
        <f t="shared" si="3"/>
        <v/>
      </c>
      <c r="GL3" s="5" t="str">
        <f t="shared" si="3"/>
        <v/>
      </c>
      <c r="GM3" s="5" t="str">
        <f t="shared" si="3"/>
        <v/>
      </c>
      <c r="GN3" s="5" t="str">
        <f t="shared" si="3"/>
        <v/>
      </c>
      <c r="GO3" s="5" t="str">
        <f t="shared" si="3"/>
        <v/>
      </c>
      <c r="GP3" s="5" t="str">
        <f t="shared" si="3"/>
        <v/>
      </c>
      <c r="GQ3" s="5" t="str">
        <f t="shared" si="3"/>
        <v/>
      </c>
      <c r="GR3" s="5" t="str">
        <f t="shared" si="3"/>
        <v/>
      </c>
      <c r="GS3" s="5" t="str">
        <f t="shared" si="3"/>
        <v/>
      </c>
      <c r="GT3" s="5" t="str">
        <f t="shared" si="3"/>
        <v/>
      </c>
      <c r="GU3" s="5" t="str">
        <f t="shared" si="3"/>
        <v/>
      </c>
      <c r="GV3" s="5" t="str">
        <f t="shared" si="3"/>
        <v/>
      </c>
      <c r="GW3" s="5" t="str">
        <f t="shared" si="3"/>
        <v/>
      </c>
      <c r="GX3" s="5" t="str">
        <f t="shared" si="3"/>
        <v/>
      </c>
      <c r="GY3" s="5" t="str">
        <f t="shared" si="3"/>
        <v/>
      </c>
      <c r="GZ3" s="5" t="str">
        <f t="shared" si="3"/>
        <v/>
      </c>
      <c r="HA3" s="5" t="str">
        <f t="shared" si="3"/>
        <v/>
      </c>
      <c r="HB3" s="5" t="str">
        <f t="shared" si="3"/>
        <v/>
      </c>
      <c r="HC3" s="5" t="str">
        <f t="shared" si="3"/>
        <v/>
      </c>
      <c r="HD3" s="5" t="str">
        <f t="shared" si="3"/>
        <v/>
      </c>
      <c r="HE3" s="5" t="str">
        <f t="shared" si="3"/>
        <v/>
      </c>
      <c r="HF3" s="5" t="str">
        <f t="shared" si="3"/>
        <v/>
      </c>
      <c r="HG3" s="5" t="str">
        <f t="shared" si="3"/>
        <v/>
      </c>
      <c r="HH3" s="5" t="str">
        <f t="shared" si="3"/>
        <v/>
      </c>
      <c r="HI3" s="5" t="str">
        <f t="shared" si="3"/>
        <v/>
      </c>
      <c r="HJ3" s="5" t="str">
        <f t="shared" si="3"/>
        <v/>
      </c>
      <c r="HK3" s="5" t="str">
        <f t="shared" si="3"/>
        <v/>
      </c>
      <c r="HL3" s="5" t="str">
        <f t="shared" si="3"/>
        <v/>
      </c>
      <c r="HM3" s="5" t="str">
        <f t="shared" si="3"/>
        <v/>
      </c>
      <c r="HN3" s="5" t="str">
        <f t="shared" si="3"/>
        <v/>
      </c>
      <c r="HO3" s="5" t="str">
        <f t="shared" si="3"/>
        <v/>
      </c>
      <c r="HP3" s="5" t="str">
        <f t="shared" si="3"/>
        <v/>
      </c>
      <c r="HQ3" s="5" t="str">
        <f t="shared" si="3"/>
        <v/>
      </c>
      <c r="HR3" s="5" t="str">
        <f t="shared" si="3"/>
        <v/>
      </c>
      <c r="HS3" s="5" t="str">
        <f t="shared" si="3"/>
        <v/>
      </c>
      <c r="HT3" s="5" t="str">
        <f t="shared" si="3"/>
        <v/>
      </c>
      <c r="HU3" s="5" t="str">
        <f t="shared" si="3"/>
        <v/>
      </c>
      <c r="HV3" s="5" t="str">
        <f t="shared" si="3"/>
        <v/>
      </c>
      <c r="HW3" s="5" t="str">
        <f t="shared" si="3"/>
        <v/>
      </c>
      <c r="HX3" s="5" t="str">
        <f t="shared" si="3"/>
        <v/>
      </c>
      <c r="HY3" s="5" t="str">
        <f t="shared" si="3"/>
        <v/>
      </c>
      <c r="HZ3" s="5" t="str">
        <f t="shared" ref="HZ3:IS3" si="4">IF(COUNTA(HZ4:HZ65536)=0,"","02")</f>
        <v/>
      </c>
      <c r="IA3" s="5" t="str">
        <f t="shared" si="4"/>
        <v/>
      </c>
      <c r="IB3" s="5" t="str">
        <f t="shared" si="4"/>
        <v/>
      </c>
      <c r="IC3" s="5" t="str">
        <f t="shared" si="4"/>
        <v/>
      </c>
      <c r="ID3" s="5" t="str">
        <f t="shared" si="4"/>
        <v/>
      </c>
      <c r="IE3" s="5" t="str">
        <f t="shared" si="4"/>
        <v/>
      </c>
      <c r="IF3" s="5" t="str">
        <f t="shared" si="4"/>
        <v/>
      </c>
      <c r="IG3" s="5" t="str">
        <f t="shared" si="4"/>
        <v/>
      </c>
      <c r="IH3" s="5" t="str">
        <f t="shared" si="4"/>
        <v/>
      </c>
      <c r="II3" s="5" t="str">
        <f t="shared" si="4"/>
        <v/>
      </c>
      <c r="IJ3" s="5" t="str">
        <f t="shared" si="4"/>
        <v/>
      </c>
      <c r="IK3" s="5" t="str">
        <f t="shared" si="4"/>
        <v/>
      </c>
      <c r="IL3" s="5" t="str">
        <f t="shared" si="4"/>
        <v/>
      </c>
      <c r="IM3" s="5" t="str">
        <f t="shared" si="4"/>
        <v/>
      </c>
      <c r="IN3" s="5" t="str">
        <f t="shared" si="4"/>
        <v/>
      </c>
      <c r="IO3" s="5" t="str">
        <f t="shared" si="4"/>
        <v/>
      </c>
      <c r="IP3" s="5" t="str">
        <f t="shared" si="4"/>
        <v/>
      </c>
      <c r="IQ3" s="5" t="str">
        <f t="shared" si="4"/>
        <v/>
      </c>
      <c r="IR3" s="5" t="str">
        <f t="shared" si="4"/>
        <v/>
      </c>
      <c r="IS3" s="5" t="str">
        <f t="shared" si="4"/>
        <v/>
      </c>
    </row>
    <row r="4" spans="1:253" ht="14" customHeight="1" x14ac:dyDescent="0.2">
      <c r="A4" s="15" t="s">
        <v>6622</v>
      </c>
      <c r="B4" s="1" t="s">
        <v>6276</v>
      </c>
      <c r="D4" s="1" t="s">
        <v>6277</v>
      </c>
      <c r="E4" s="1" t="s">
        <v>7</v>
      </c>
      <c r="F4" s="1" t="s">
        <v>6278</v>
      </c>
      <c r="H4" s="1" t="s">
        <v>6279</v>
      </c>
      <c r="K4" s="1">
        <v>2010</v>
      </c>
      <c r="L4" s="1" t="s">
        <v>6280</v>
      </c>
      <c r="M4" s="1" t="s">
        <v>6182</v>
      </c>
      <c r="N4" s="1">
        <v>1.1000000000000001</v>
      </c>
      <c r="P4" s="44">
        <v>140.5</v>
      </c>
      <c r="Q4" s="1">
        <v>65.3</v>
      </c>
      <c r="R4" s="1">
        <v>6.25</v>
      </c>
      <c r="T4" s="6">
        <v>0.9</v>
      </c>
      <c r="V4" s="33">
        <v>0.3</v>
      </c>
      <c r="X4" s="1">
        <v>32.6</v>
      </c>
      <c r="AJ4" s="1">
        <v>0.5</v>
      </c>
      <c r="AP4" s="1">
        <v>0.4</v>
      </c>
      <c r="AQ4" s="1">
        <v>25</v>
      </c>
      <c r="AU4" s="6">
        <v>1.7</v>
      </c>
      <c r="AV4" s="6">
        <v>166.6</v>
      </c>
      <c r="AW4" s="6">
        <v>12.5</v>
      </c>
      <c r="AY4" s="6"/>
      <c r="BA4" s="6">
        <v>57.3</v>
      </c>
      <c r="BD4" s="6">
        <v>2.1</v>
      </c>
    </row>
    <row r="5" spans="1:253" ht="14" customHeight="1" x14ac:dyDescent="0.2">
      <c r="A5" s="15" t="s">
        <v>6623</v>
      </c>
      <c r="B5" s="1" t="s">
        <v>6276</v>
      </c>
      <c r="C5" s="1" t="s">
        <v>6281</v>
      </c>
      <c r="D5" s="1" t="s">
        <v>6282</v>
      </c>
      <c r="E5" s="1" t="s">
        <v>11</v>
      </c>
      <c r="F5" s="1" t="s">
        <v>6278</v>
      </c>
      <c r="H5" s="1" t="s">
        <v>6283</v>
      </c>
      <c r="J5" s="1" t="s">
        <v>6284</v>
      </c>
      <c r="K5" s="1">
        <v>2010</v>
      </c>
      <c r="L5" s="1" t="s">
        <v>6280</v>
      </c>
      <c r="M5" s="1" t="s">
        <v>6182</v>
      </c>
      <c r="N5" s="1">
        <v>1.1000000000000001</v>
      </c>
      <c r="P5" s="44">
        <f>366*(100-6.9)/100</f>
        <v>340.74599999999998</v>
      </c>
      <c r="Q5" s="1">
        <v>6.9</v>
      </c>
      <c r="R5" s="1">
        <v>6.25</v>
      </c>
      <c r="T5" s="6">
        <f>1.5*(100-Q5)/100</f>
        <v>1.3964999999999999</v>
      </c>
      <c r="V5" s="33">
        <f>0.6*(100-Q5)/100</f>
        <v>0.55859999999999987</v>
      </c>
      <c r="X5" s="6">
        <f>87.3*(100-Q5)/100</f>
        <v>81.276299999999992</v>
      </c>
      <c r="AJ5" s="6">
        <f>1.6*(100-Q5)/100</f>
        <v>1.4896</v>
      </c>
      <c r="AP5" s="6">
        <f>2.1*(100-Q5)/100</f>
        <v>1.9550999999999998</v>
      </c>
      <c r="AQ5" s="6">
        <f>18.6*0.931</f>
        <v>17.316600000000001</v>
      </c>
      <c r="AU5" s="6">
        <f>0.9*0.931</f>
        <v>0.83790000000000009</v>
      </c>
      <c r="AV5" s="6">
        <f>279.3*0.931</f>
        <v>260.0283</v>
      </c>
      <c r="AW5" s="6">
        <f>(100-Q5)*13/100</f>
        <v>12.103</v>
      </c>
      <c r="AY5" s="6"/>
      <c r="BA5" s="6">
        <f>(100-Q5)*10.7/100</f>
        <v>9.9616999999999987</v>
      </c>
      <c r="BD5" s="6">
        <f>(100-Q5)*2.9/100</f>
        <v>2.6998999999999995</v>
      </c>
    </row>
    <row r="6" spans="1:253" ht="14" customHeight="1" x14ac:dyDescent="0.2">
      <c r="A6" s="15" t="s">
        <v>6624</v>
      </c>
      <c r="B6" s="1" t="s">
        <v>6276</v>
      </c>
      <c r="C6" s="1" t="s">
        <v>6281</v>
      </c>
      <c r="D6" s="1" t="s">
        <v>6285</v>
      </c>
      <c r="E6" s="1" t="s">
        <v>11</v>
      </c>
      <c r="F6" s="1" t="s">
        <v>6278</v>
      </c>
      <c r="H6" s="1" t="s">
        <v>6286</v>
      </c>
      <c r="J6" s="1" t="s">
        <v>6284</v>
      </c>
      <c r="K6" s="1">
        <v>2010</v>
      </c>
      <c r="L6" s="1" t="s">
        <v>6280</v>
      </c>
      <c r="M6" s="1" t="s">
        <v>6182</v>
      </c>
      <c r="N6" s="1">
        <v>1.1000000000000001</v>
      </c>
      <c r="P6" s="44">
        <f>370*(100-Q6)/100</f>
        <v>347.06</v>
      </c>
      <c r="Q6" s="1">
        <v>6.2</v>
      </c>
      <c r="R6" s="1">
        <v>6.25</v>
      </c>
      <c r="T6" s="6">
        <f>1.3*(100-Q6)/100</f>
        <v>1.2194</v>
      </c>
      <c r="V6" s="33">
        <f>0.6*(100-Q6)/100</f>
        <v>0.56279999999999997</v>
      </c>
      <c r="X6" s="6">
        <f>88.4*(100-Q6)/100</f>
        <v>82.919200000000004</v>
      </c>
      <c r="AJ6" s="6">
        <f>1.5*(100-Q6)/100</f>
        <v>1.4069999999999998</v>
      </c>
      <c r="AP6" s="6">
        <f>2*(100-Q6)/100</f>
        <v>1.8759999999999999</v>
      </c>
      <c r="AQ6" s="6">
        <f>15.9*0.938</f>
        <v>14.914199999999999</v>
      </c>
      <c r="AU6" s="6">
        <f>1*0.938</f>
        <v>0.93799999999999994</v>
      </c>
      <c r="AV6" s="6">
        <f>234.5*0.938</f>
        <v>219.96099999999998</v>
      </c>
      <c r="AW6" s="6">
        <f>(100-Q6)*9.4/100</f>
        <v>8.8171999999999997</v>
      </c>
      <c r="AY6" s="6"/>
      <c r="BA6" s="6">
        <f>(100-Q6)*10.4/100</f>
        <v>9.7552000000000003</v>
      </c>
      <c r="BD6" s="6">
        <f>(100-Q6)*2.5/100</f>
        <v>2.3450000000000002</v>
      </c>
    </row>
    <row r="7" spans="1:253" ht="14" customHeight="1" x14ac:dyDescent="0.2">
      <c r="A7" s="15" t="s">
        <v>6625</v>
      </c>
      <c r="B7" s="1" t="s">
        <v>6276</v>
      </c>
      <c r="C7" s="1" t="s">
        <v>6281</v>
      </c>
      <c r="D7" s="1" t="s">
        <v>6287</v>
      </c>
      <c r="E7" s="1" t="s">
        <v>11</v>
      </c>
      <c r="F7" s="1" t="s">
        <v>6278</v>
      </c>
      <c r="H7" s="1" t="s">
        <v>6288</v>
      </c>
      <c r="J7" s="1" t="s">
        <v>6284</v>
      </c>
      <c r="K7" s="1">
        <v>2010</v>
      </c>
      <c r="L7" s="1" t="s">
        <v>6280</v>
      </c>
      <c r="M7" s="1" t="s">
        <v>6182</v>
      </c>
      <c r="N7" s="1">
        <v>1.1000000000000001</v>
      </c>
      <c r="P7" s="44">
        <f>359*(100-Q7)/100</f>
        <v>326.69</v>
      </c>
      <c r="Q7" s="6">
        <v>9</v>
      </c>
      <c r="R7" s="1">
        <v>6.25</v>
      </c>
      <c r="T7" s="6">
        <f>1.9*(100-Q7)/100</f>
        <v>1.7290000000000001</v>
      </c>
      <c r="V7" s="33">
        <f>0.8*(100-Q7)/100</f>
        <v>0.72799999999999998</v>
      </c>
      <c r="X7" s="6">
        <f>84.3*(100-Q7)/100</f>
        <v>76.713000000000008</v>
      </c>
      <c r="AJ7" s="6">
        <f>1.6*(100-Q7)/100</f>
        <v>1.456</v>
      </c>
      <c r="AP7" s="6">
        <f>2.4*(100-Q7)/100</f>
        <v>2.1840000000000002</v>
      </c>
      <c r="AQ7" s="6">
        <f>21.8*0.91</f>
        <v>19.838000000000001</v>
      </c>
      <c r="AU7" s="6">
        <f>1.3*0.91</f>
        <v>1.1830000000000001</v>
      </c>
      <c r="AV7" s="6">
        <f>309.4*0.91</f>
        <v>281.55399999999997</v>
      </c>
      <c r="AW7" s="6">
        <f>(100-Q7)*13.7/100</f>
        <v>12.467000000000001</v>
      </c>
      <c r="AY7" s="6"/>
      <c r="BA7" s="6">
        <f>(100-Q7)*10/100</f>
        <v>9.1</v>
      </c>
      <c r="BD7" s="6">
        <f>(100-Q7)*3.2/100</f>
        <v>2.9119999999999999</v>
      </c>
    </row>
    <row r="8" spans="1:253" ht="14" customHeight="1" x14ac:dyDescent="0.2">
      <c r="A8" s="15" t="s">
        <v>6626</v>
      </c>
      <c r="B8" s="1" t="s">
        <v>6276</v>
      </c>
      <c r="C8" s="1" t="s">
        <v>6289</v>
      </c>
      <c r="D8" s="1" t="s">
        <v>6290</v>
      </c>
      <c r="E8" s="1" t="s">
        <v>11</v>
      </c>
      <c r="F8" s="1" t="s">
        <v>6278</v>
      </c>
      <c r="H8" s="1" t="s">
        <v>6291</v>
      </c>
      <c r="J8" s="1" t="s">
        <v>6284</v>
      </c>
      <c r="K8" s="1">
        <v>2010</v>
      </c>
      <c r="L8" s="1" t="s">
        <v>6280</v>
      </c>
      <c r="M8" s="1" t="s">
        <v>6182</v>
      </c>
      <c r="N8" s="1">
        <v>1.1000000000000001</v>
      </c>
      <c r="P8" s="44">
        <f>284*(100-Q8)/100</f>
        <v>207.88800000000001</v>
      </c>
      <c r="Q8" s="1">
        <v>26.8</v>
      </c>
      <c r="R8" s="1">
        <v>6.25</v>
      </c>
      <c r="T8" s="6">
        <f>1.4*(100-Q8)/100</f>
        <v>1.0247999999999999</v>
      </c>
      <c r="V8" s="33">
        <f>0.7*(100-Q8)/100</f>
        <v>0.51239999999999997</v>
      </c>
      <c r="X8" s="6">
        <f>66.8*(100-Q8)/100</f>
        <v>48.897600000000004</v>
      </c>
      <c r="AJ8" s="6">
        <f>1.6*(100-Q8)/100</f>
        <v>1.1712</v>
      </c>
      <c r="AP8" s="6">
        <f>2.7*(100-Q8)/100</f>
        <v>1.9764000000000002</v>
      </c>
      <c r="AQ8" s="6">
        <f>22.7*0.732</f>
        <v>16.616399999999999</v>
      </c>
      <c r="AU8" s="6">
        <f>1.3*0.732</f>
        <v>0.9516</v>
      </c>
      <c r="AV8" s="6">
        <f>322.1*0.732</f>
        <v>235.77720000000002</v>
      </c>
      <c r="AW8" s="6">
        <f>(100-Q8)*15.1/100</f>
        <v>11.053199999999999</v>
      </c>
      <c r="AY8" s="6"/>
      <c r="BA8" s="6">
        <f>(100-Q8)*9.3/100</f>
        <v>6.8076000000000008</v>
      </c>
      <c r="BD8" s="6">
        <f>(100-Q8)*3.5/100</f>
        <v>2.5619999999999998</v>
      </c>
    </row>
    <row r="9" spans="1:253" ht="14" customHeight="1" x14ac:dyDescent="0.2">
      <c r="A9" s="15" t="s">
        <v>6627</v>
      </c>
      <c r="B9" s="1" t="s">
        <v>6276</v>
      </c>
      <c r="C9" s="1" t="s">
        <v>6292</v>
      </c>
      <c r="D9" s="1" t="s">
        <v>6293</v>
      </c>
      <c r="E9" s="1" t="s">
        <v>11</v>
      </c>
      <c r="F9" s="1" t="s">
        <v>6278</v>
      </c>
      <c r="H9" s="1" t="s">
        <v>6294</v>
      </c>
      <c r="J9" s="1" t="s">
        <v>6284</v>
      </c>
      <c r="K9" s="1">
        <v>2010</v>
      </c>
      <c r="L9" s="1" t="s">
        <v>6280</v>
      </c>
      <c r="M9" s="1" t="s">
        <v>6182</v>
      </c>
      <c r="N9" s="1">
        <v>1.1000000000000001</v>
      </c>
      <c r="P9" s="44">
        <f>362.5*(100-Q9)/100</f>
        <v>329.875</v>
      </c>
      <c r="Q9" s="6">
        <v>9</v>
      </c>
      <c r="R9" s="1">
        <v>6.25</v>
      </c>
      <c r="T9" s="6">
        <f>1.6*(100-Q9)/100</f>
        <v>1.456</v>
      </c>
      <c r="V9" s="33">
        <f>0.5*(100-Q9)/100</f>
        <v>0.45500000000000002</v>
      </c>
      <c r="X9" s="6">
        <f>87*(100-Q9)/100</f>
        <v>79.17</v>
      </c>
      <c r="AJ9" s="6">
        <f>1*(100-Q9)/100</f>
        <v>0.91</v>
      </c>
      <c r="AP9" s="6">
        <f>0.9*(100-Q9)/100</f>
        <v>0.81900000000000006</v>
      </c>
      <c r="AQ9" s="6">
        <f>59.4*0.91</f>
        <v>54.054000000000002</v>
      </c>
      <c r="AU9" s="6">
        <f>3.6*0.91</f>
        <v>3.2760000000000002</v>
      </c>
      <c r="AV9" s="6">
        <f>369*0.91</f>
        <v>335.79</v>
      </c>
      <c r="AW9" s="6">
        <f>(100-Q9)*18.9/100</f>
        <v>17.198999999999998</v>
      </c>
      <c r="AY9" s="6"/>
      <c r="BA9" s="6">
        <f>(100-Q9)*129.6/100</f>
        <v>117.93600000000001</v>
      </c>
      <c r="BD9" s="6">
        <f>(100-Q9)*4.9/100</f>
        <v>4.4590000000000005</v>
      </c>
    </row>
    <row r="10" spans="1:253" ht="14" customHeight="1" x14ac:dyDescent="0.2">
      <c r="A10" s="15" t="s">
        <v>6628</v>
      </c>
      <c r="B10" s="1" t="s">
        <v>6276</v>
      </c>
      <c r="C10" s="1" t="s">
        <v>6292</v>
      </c>
      <c r="D10" s="1" t="s">
        <v>6293</v>
      </c>
      <c r="E10" s="1" t="s">
        <v>11</v>
      </c>
      <c r="F10" s="1" t="s">
        <v>6278</v>
      </c>
      <c r="H10" s="1" t="s">
        <v>6295</v>
      </c>
      <c r="J10" s="1" t="s">
        <v>6284</v>
      </c>
      <c r="K10" s="1">
        <v>2010</v>
      </c>
      <c r="L10" s="1" t="s">
        <v>6280</v>
      </c>
      <c r="M10" s="1" t="s">
        <v>6182</v>
      </c>
      <c r="N10" s="1">
        <v>1.1000000000000001</v>
      </c>
      <c r="P10" s="44">
        <f>371.9*(100-Q10)/100</f>
        <v>342.89179999999999</v>
      </c>
      <c r="Q10" s="1">
        <v>7.8</v>
      </c>
      <c r="R10" s="1">
        <v>6.25</v>
      </c>
      <c r="T10" s="6">
        <f>1.8*(100-Q10)/100</f>
        <v>1.6596000000000002</v>
      </c>
      <c r="V10" s="33">
        <f>0.7*(100-Q10)/100</f>
        <v>0.64539999999999997</v>
      </c>
      <c r="X10" s="6">
        <f>88.4*(100-Q10)/100</f>
        <v>81.504800000000003</v>
      </c>
      <c r="AJ10" s="6">
        <f>0.8*(100-Q10)/100</f>
        <v>0.73760000000000003</v>
      </c>
      <c r="AP10" s="6">
        <f>0.5*(100-Q10)/100</f>
        <v>0.46100000000000002</v>
      </c>
      <c r="AQ10" s="6">
        <f>55.3*0.922</f>
        <v>50.986600000000003</v>
      </c>
      <c r="AU10" s="6">
        <f>2.8*0.922</f>
        <v>2.5815999999999999</v>
      </c>
      <c r="AV10" s="6">
        <f>359.6*0.922</f>
        <v>331.55120000000005</v>
      </c>
      <c r="AW10" s="6">
        <f>(100-Q10)*17.9/100</f>
        <v>16.503799999999998</v>
      </c>
      <c r="AY10" s="6"/>
      <c r="BA10" s="6">
        <f>(100-Q10)*139.9/100</f>
        <v>128.98779999999999</v>
      </c>
      <c r="BD10" s="6">
        <f>(100-Q10)*3.7/100</f>
        <v>3.4114000000000004</v>
      </c>
    </row>
    <row r="11" spans="1:253" ht="14" customHeight="1" x14ac:dyDescent="0.2">
      <c r="A11" s="15" t="s">
        <v>6629</v>
      </c>
      <c r="B11" s="1" t="s">
        <v>6276</v>
      </c>
      <c r="C11" s="1" t="s">
        <v>6292</v>
      </c>
      <c r="D11" s="1" t="s">
        <v>6293</v>
      </c>
      <c r="E11" s="1" t="s">
        <v>11</v>
      </c>
      <c r="F11" s="1" t="s">
        <v>6278</v>
      </c>
      <c r="H11" s="1" t="s">
        <v>6296</v>
      </c>
      <c r="J11" s="1" t="s">
        <v>6284</v>
      </c>
      <c r="K11" s="1">
        <v>2010</v>
      </c>
      <c r="L11" s="1" t="s">
        <v>6280</v>
      </c>
      <c r="M11" s="1" t="s">
        <v>6182</v>
      </c>
      <c r="N11" s="1">
        <v>1.1000000000000001</v>
      </c>
      <c r="P11" s="44">
        <f>358.3*(100-Q11)/100</f>
        <v>318.52870000000001</v>
      </c>
      <c r="Q11" s="1">
        <v>11.1</v>
      </c>
      <c r="R11" s="1">
        <v>6.25</v>
      </c>
      <c r="T11" s="6">
        <f>0.8*(100-Q11)/100</f>
        <v>0.71120000000000005</v>
      </c>
      <c r="V11" s="33">
        <f>0.5*(100-Q11)/100</f>
        <v>0.44450000000000001</v>
      </c>
      <c r="X11" s="6">
        <f>86.2*(100-Q11)/100</f>
        <v>76.631799999999998</v>
      </c>
      <c r="AJ11" s="6">
        <f>0.8*(100-Q11)/100</f>
        <v>0.71120000000000005</v>
      </c>
      <c r="AP11" s="6">
        <f>0.7*(100-Q11)/100</f>
        <v>0.62229999999999996</v>
      </c>
      <c r="AQ11" s="6">
        <f>44.5*0.889</f>
        <v>39.560499999999998</v>
      </c>
      <c r="AU11" s="6">
        <f>2*0.889</f>
        <v>1.778</v>
      </c>
      <c r="AV11" s="6">
        <f>249.2*0.889</f>
        <v>221.53879999999998</v>
      </c>
      <c r="AW11" s="6">
        <f>(100-Q11)*8.9/100</f>
        <v>7.9121000000000006</v>
      </c>
      <c r="AY11" s="6"/>
      <c r="BA11" s="6">
        <f>(100-Q11)*97/100</f>
        <v>86.233000000000004</v>
      </c>
      <c r="BD11" s="6">
        <f>(100-Q11)*3.6/100</f>
        <v>3.2004000000000001</v>
      </c>
    </row>
    <row r="12" spans="1:253" ht="14" customHeight="1" x14ac:dyDescent="0.2">
      <c r="A12" s="15" t="s">
        <v>6630</v>
      </c>
      <c r="B12" s="1" t="s">
        <v>6276</v>
      </c>
      <c r="D12" s="1" t="s">
        <v>6297</v>
      </c>
      <c r="E12" s="1" t="s">
        <v>11</v>
      </c>
      <c r="F12" s="1" t="s">
        <v>6278</v>
      </c>
      <c r="H12" s="1" t="s">
        <v>6298</v>
      </c>
      <c r="J12" s="1" t="s">
        <v>6284</v>
      </c>
      <c r="K12" s="1">
        <v>2010</v>
      </c>
      <c r="L12" s="1" t="s">
        <v>6280</v>
      </c>
      <c r="M12" s="1" t="s">
        <v>6182</v>
      </c>
      <c r="N12" s="1">
        <v>1.1000000000000001</v>
      </c>
      <c r="P12" s="44">
        <f>359*(100-Q12)/100</f>
        <v>314.48399999999998</v>
      </c>
      <c r="Q12" s="1">
        <v>12.4</v>
      </c>
      <c r="R12" s="1">
        <v>6.25</v>
      </c>
      <c r="T12" s="6">
        <f>2.6*(100-Q12)/100</f>
        <v>2.2776000000000001</v>
      </c>
      <c r="V12" s="33">
        <f>0.9*(100-Q12)/100</f>
        <v>0.78839999999999999</v>
      </c>
      <c r="X12" s="6">
        <f>81.2*(100-Q12)/100</f>
        <v>71.131199999999993</v>
      </c>
      <c r="AJ12" s="6">
        <f>2.2*(100-Q12)/100</f>
        <v>1.9272</v>
      </c>
      <c r="AP12" s="6">
        <f>0.7*(100-Q12)/100</f>
        <v>0.61319999999999997</v>
      </c>
      <c r="AQ12" s="6">
        <f>54.3*0.876</f>
        <v>47.566800000000001</v>
      </c>
      <c r="AU12" s="6">
        <f>2.9*0.876</f>
        <v>2.5404</v>
      </c>
      <c r="AV12" s="6">
        <f>438*0.876</f>
        <v>383.68799999999999</v>
      </c>
      <c r="AW12" s="6">
        <f>(100-Q12)*28.9/100</f>
        <v>25.316399999999998</v>
      </c>
      <c r="AY12" s="6"/>
      <c r="BA12" s="6">
        <f>(100-Q12)*143.7/100</f>
        <v>125.88119999999999</v>
      </c>
      <c r="BD12" s="6">
        <f>(100-Q12)*5.8/100</f>
        <v>5.0807999999999991</v>
      </c>
    </row>
    <row r="13" spans="1:253" ht="14" customHeight="1" x14ac:dyDescent="0.2">
      <c r="A13" s="15" t="s">
        <v>6631</v>
      </c>
      <c r="B13" s="1" t="s">
        <v>6276</v>
      </c>
      <c r="D13" s="1" t="s">
        <v>6299</v>
      </c>
      <c r="E13" s="1" t="s">
        <v>11</v>
      </c>
      <c r="F13" s="1" t="s">
        <v>6278</v>
      </c>
      <c r="H13" s="1" t="s">
        <v>6300</v>
      </c>
      <c r="J13" s="1" t="s">
        <v>6284</v>
      </c>
      <c r="K13" s="1">
        <v>2010</v>
      </c>
      <c r="L13" s="1" t="s">
        <v>6280</v>
      </c>
      <c r="M13" s="1" t="s">
        <v>6182</v>
      </c>
      <c r="N13" s="1">
        <v>1.1000000000000001</v>
      </c>
      <c r="P13" s="44">
        <f>353*(100-Q13)/100</f>
        <v>306.05100000000004</v>
      </c>
      <c r="Q13" s="1">
        <v>13.3</v>
      </c>
      <c r="R13" s="1">
        <v>6.25</v>
      </c>
      <c r="T13" s="6">
        <f>2.5*(100-Q13)/100</f>
        <v>2.1675</v>
      </c>
      <c r="V13" s="33">
        <f>1.2*(100-Q13)/100</f>
        <v>1.0404</v>
      </c>
      <c r="X13" s="6">
        <f>80.3*(100-Q13)/100</f>
        <v>69.620100000000008</v>
      </c>
      <c r="AJ13" s="6">
        <f>1.7*(100-Q13)/100</f>
        <v>1.4739000000000002</v>
      </c>
      <c r="AP13" s="6">
        <f>1*(100-Q13)/100</f>
        <v>0.86699999999999999</v>
      </c>
      <c r="AQ13" s="6">
        <f>52*0.867</f>
        <v>45.084000000000003</v>
      </c>
      <c r="AU13" s="6">
        <f>3.2*0.867</f>
        <v>2.7744</v>
      </c>
      <c r="AV13" s="6">
        <f>433.5*0.867</f>
        <v>375.84449999999998</v>
      </c>
      <c r="AW13" s="6">
        <f>(100-Q13)*30.3/100</f>
        <v>26.270100000000003</v>
      </c>
      <c r="AY13" s="6"/>
      <c r="BA13" s="6">
        <f>(100-Q13)*140.9/100</f>
        <v>122.16030000000001</v>
      </c>
      <c r="BD13" s="6">
        <f>(100-Q13)*5.4/100</f>
        <v>4.6818000000000008</v>
      </c>
    </row>
    <row r="14" spans="1:253" ht="14" customHeight="1" x14ac:dyDescent="0.2">
      <c r="A14" s="15" t="s">
        <v>6632</v>
      </c>
      <c r="B14" s="1" t="s">
        <v>6276</v>
      </c>
      <c r="C14" s="1" t="s">
        <v>6301</v>
      </c>
      <c r="D14" s="1" t="s">
        <v>6302</v>
      </c>
      <c r="E14" s="1" t="s">
        <v>11</v>
      </c>
      <c r="F14" s="1" t="s">
        <v>6278</v>
      </c>
      <c r="H14" s="1" t="s">
        <v>6303</v>
      </c>
      <c r="J14" s="1" t="s">
        <v>6284</v>
      </c>
      <c r="K14" s="1">
        <v>2010</v>
      </c>
      <c r="L14" s="1" t="s">
        <v>6280</v>
      </c>
      <c r="M14" s="1" t="s">
        <v>6182</v>
      </c>
      <c r="N14" s="1">
        <v>1.1000000000000001</v>
      </c>
      <c r="P14" s="44">
        <f>312*(100-Q14)/100</f>
        <v>237.12</v>
      </c>
      <c r="Q14" s="6">
        <v>24</v>
      </c>
      <c r="R14" s="1">
        <v>6.25</v>
      </c>
      <c r="T14" s="6">
        <f>2.1*(100-Q14)/100</f>
        <v>1.5959999999999999</v>
      </c>
      <c r="V14" s="33">
        <f>0.8*(100-Q14)/100</f>
        <v>0.6080000000000001</v>
      </c>
      <c r="X14" s="6">
        <f>70.8*(100-Q14)/100</f>
        <v>53.808</v>
      </c>
      <c r="AJ14" s="6">
        <f>1.8*(100-Q14)/100</f>
        <v>1.3680000000000001</v>
      </c>
      <c r="AP14" s="6">
        <f>0.5*(100-Q14)/100</f>
        <v>0.38</v>
      </c>
      <c r="AQ14" s="6">
        <f>33.1*0.76</f>
        <v>25.156000000000002</v>
      </c>
      <c r="AU14" s="6">
        <f>2.1*0.76</f>
        <v>1.5960000000000001</v>
      </c>
      <c r="AV14" s="6">
        <f>342*0.76</f>
        <v>259.92</v>
      </c>
      <c r="AW14" s="6">
        <f>(100-Q14)*19.8/100</f>
        <v>15.048</v>
      </c>
      <c r="AY14" s="6"/>
      <c r="BA14" s="6">
        <f>(100-Q14)*120.8/100</f>
        <v>91.807999999999993</v>
      </c>
      <c r="BD14" s="6">
        <f>(100-Q14)*4.2/100</f>
        <v>3.1919999999999997</v>
      </c>
    </row>
    <row r="15" spans="1:253" ht="14" customHeight="1" x14ac:dyDescent="0.2">
      <c r="A15" s="15" t="s">
        <v>6633</v>
      </c>
      <c r="B15" s="1" t="s">
        <v>6276</v>
      </c>
      <c r="C15" s="1" t="s">
        <v>6301</v>
      </c>
      <c r="D15" s="1" t="s">
        <v>6304</v>
      </c>
      <c r="E15" s="1" t="s">
        <v>11</v>
      </c>
      <c r="F15" s="1" t="s">
        <v>6278</v>
      </c>
      <c r="H15" s="1" t="s">
        <v>6305</v>
      </c>
      <c r="J15" s="1" t="s">
        <v>6284</v>
      </c>
      <c r="K15" s="1">
        <v>2010</v>
      </c>
      <c r="L15" s="1" t="s">
        <v>6280</v>
      </c>
      <c r="M15" s="1" t="s">
        <v>6182</v>
      </c>
      <c r="N15" s="1">
        <v>1.1000000000000001</v>
      </c>
      <c r="P15" s="44">
        <f>310*(100-Q15)/100</f>
        <v>235.29</v>
      </c>
      <c r="Q15" s="1">
        <v>24.1</v>
      </c>
      <c r="R15" s="1">
        <v>6.25</v>
      </c>
      <c r="T15" s="6">
        <f>1.8*(100-Q15)/100</f>
        <v>1.3662000000000001</v>
      </c>
      <c r="V15" s="33">
        <f>0.7*(100-Q15)/100</f>
        <v>0.53129999999999999</v>
      </c>
      <c r="X15" s="6">
        <f>71.3*(100-Q15)/100</f>
        <v>54.116700000000002</v>
      </c>
      <c r="AJ15" s="6">
        <f>1.7*(100-Q15)/100</f>
        <v>1.2903</v>
      </c>
      <c r="AP15" s="6">
        <f>0.4*(100-Q15)/100</f>
        <v>0.30360000000000004</v>
      </c>
      <c r="AQ15" s="6">
        <f>37.2*0.759</f>
        <v>28.234800000000003</v>
      </c>
      <c r="AU15" s="6">
        <f>1.7*0.759</f>
        <v>1.2903</v>
      </c>
      <c r="AV15" s="6">
        <f>315*0.759</f>
        <v>239.08500000000001</v>
      </c>
      <c r="AW15" s="6">
        <f>(100-Q15)*15.6/100</f>
        <v>11.840399999999999</v>
      </c>
      <c r="AY15" s="6"/>
      <c r="BA15" s="6">
        <f>(100-Q15)*112.3/100</f>
        <v>85.235699999999994</v>
      </c>
      <c r="BD15" s="6">
        <f>(100-Q15)*4.2/100</f>
        <v>3.1878000000000002</v>
      </c>
    </row>
    <row r="16" spans="1:253" ht="14" customHeight="1" x14ac:dyDescent="0.2">
      <c r="A16" s="15" t="s">
        <v>6634</v>
      </c>
      <c r="B16" s="1" t="s">
        <v>6276</v>
      </c>
      <c r="C16" s="1" t="s">
        <v>6306</v>
      </c>
      <c r="D16" s="1" t="s">
        <v>6307</v>
      </c>
      <c r="E16" s="1" t="s">
        <v>11</v>
      </c>
      <c r="F16" s="1" t="s">
        <v>6278</v>
      </c>
      <c r="H16" s="1" t="s">
        <v>6308</v>
      </c>
      <c r="J16" s="1" t="s">
        <v>6284</v>
      </c>
      <c r="K16" s="1">
        <v>2010</v>
      </c>
      <c r="L16" s="1" t="s">
        <v>6280</v>
      </c>
      <c r="M16" s="1" t="s">
        <v>6182</v>
      </c>
      <c r="N16" s="1">
        <v>1.1000000000000001</v>
      </c>
      <c r="P16" s="44">
        <f>366*(100-Q16)/100</f>
        <v>333.06</v>
      </c>
      <c r="Q16" s="6">
        <v>9</v>
      </c>
      <c r="R16" s="1">
        <v>6.25</v>
      </c>
      <c r="T16" s="6">
        <f>1.8*(100-Q16)/100</f>
        <v>1.6380000000000001</v>
      </c>
      <c r="V16" s="33">
        <f>1*(100-Q16)/100</f>
        <v>0.91</v>
      </c>
      <c r="X16" s="6">
        <f>85.2*(100-Q16)/100</f>
        <v>77.531999999999996</v>
      </c>
      <c r="AJ16" s="6">
        <f>1*(100-Q16)/100</f>
        <v>0.91</v>
      </c>
      <c r="AP16" s="6">
        <f>2*(100-Q16)/100</f>
        <v>1.82</v>
      </c>
      <c r="AQ16" s="6">
        <f>63.7*0.91</f>
        <v>57.967000000000006</v>
      </c>
      <c r="AU16" s="6">
        <f>4.3*0.91</f>
        <v>3.9129999999999998</v>
      </c>
      <c r="AV16" s="6">
        <f>473.2091</f>
        <v>473.20909999999998</v>
      </c>
      <c r="AW16" s="6">
        <f>(100-Q16)*35/100</f>
        <v>31.85</v>
      </c>
      <c r="AY16" s="6"/>
      <c r="BA16" s="6">
        <f>(100-Q16)*152/100</f>
        <v>138.32</v>
      </c>
      <c r="BD16" s="6">
        <f>(100-Q16)*6.7/100</f>
        <v>6.0970000000000004</v>
      </c>
    </row>
    <row r="17" spans="1:166" ht="14" customHeight="1" x14ac:dyDescent="0.2">
      <c r="A17" s="15" t="s">
        <v>6635</v>
      </c>
      <c r="B17" s="1" t="s">
        <v>6276</v>
      </c>
      <c r="C17" s="1" t="s">
        <v>6306</v>
      </c>
      <c r="D17" s="1" t="s">
        <v>6309</v>
      </c>
      <c r="E17" s="1" t="s">
        <v>11</v>
      </c>
      <c r="F17" s="1" t="s">
        <v>6278</v>
      </c>
      <c r="H17" s="1" t="s">
        <v>6310</v>
      </c>
      <c r="J17" s="1" t="s">
        <v>6284</v>
      </c>
      <c r="K17" s="1">
        <v>2010</v>
      </c>
      <c r="L17" s="1" t="s">
        <v>6280</v>
      </c>
      <c r="M17" s="1" t="s">
        <v>6182</v>
      </c>
      <c r="N17" s="1">
        <v>1.1000000000000001</v>
      </c>
      <c r="P17" s="44">
        <f>356*(100-Q17)/100</f>
        <v>317.19599999999997</v>
      </c>
      <c r="Q17" s="1">
        <v>10.9</v>
      </c>
      <c r="R17" s="1">
        <v>6.25</v>
      </c>
      <c r="T17" s="6">
        <f>1.6*(100-Q17)/100</f>
        <v>1.4256</v>
      </c>
      <c r="V17" s="33">
        <f>0.9*(100-Q17)/100</f>
        <v>0.80189999999999995</v>
      </c>
      <c r="X17" s="6">
        <f>83.8*(100-Q17)/100</f>
        <v>74.66579999999999</v>
      </c>
      <c r="AJ17" s="6">
        <f>0.9*(100-Q17)/100</f>
        <v>0.80189999999999995</v>
      </c>
      <c r="AP17" s="6">
        <f>1.9*(100-Q17)/100</f>
        <v>1.6928999999999998</v>
      </c>
      <c r="AQ17" s="6">
        <f>58.8*0.891</f>
        <v>52.390799999999999</v>
      </c>
      <c r="AU17" s="6">
        <f>2.9*0.891</f>
        <v>2.5838999999999999</v>
      </c>
      <c r="AV17" s="6">
        <f>427.7*0.891</f>
        <v>381.08069999999998</v>
      </c>
      <c r="AW17" s="6">
        <f>(100-Q17)*27.6/100</f>
        <v>24.5916</v>
      </c>
      <c r="AY17" s="6"/>
      <c r="BA17" s="6">
        <f>(100-Q17)*140.3/100</f>
        <v>125.0073</v>
      </c>
      <c r="BD17" s="6">
        <f>(100-Q17)*6/100</f>
        <v>5.3459999999999992</v>
      </c>
    </row>
    <row r="18" spans="1:166" ht="14" customHeight="1" x14ac:dyDescent="0.2">
      <c r="A18" s="15" t="s">
        <v>6636</v>
      </c>
      <c r="B18" s="1" t="s">
        <v>6276</v>
      </c>
      <c r="C18" s="1" t="s">
        <v>6306</v>
      </c>
      <c r="D18" s="1" t="s">
        <v>6311</v>
      </c>
      <c r="E18" s="1" t="s">
        <v>11</v>
      </c>
      <c r="F18" s="1" t="s">
        <v>6278</v>
      </c>
      <c r="H18" s="1" t="s">
        <v>6312</v>
      </c>
      <c r="J18" s="1" t="s">
        <v>6284</v>
      </c>
      <c r="K18" s="1">
        <v>2010</v>
      </c>
      <c r="L18" s="1" t="s">
        <v>6280</v>
      </c>
      <c r="M18" s="1" t="s">
        <v>6182</v>
      </c>
      <c r="N18" s="1">
        <v>1.1000000000000001</v>
      </c>
      <c r="P18" s="44">
        <f>351*(100-Q18)/100</f>
        <v>309.58199999999999</v>
      </c>
      <c r="Q18" s="1">
        <v>11.8</v>
      </c>
      <c r="R18" s="1">
        <v>6.25</v>
      </c>
      <c r="T18" s="6">
        <f>1.5*(100-Q18)/100</f>
        <v>1.3230000000000002</v>
      </c>
      <c r="V18" s="33">
        <f>0.6*(100-Q18)/100</f>
        <v>0.5292</v>
      </c>
      <c r="X18" s="6">
        <f>83.5*(100-Q18)/100</f>
        <v>73.646999999999991</v>
      </c>
      <c r="AJ18" s="6">
        <f>0.8*(100-Q18)/100</f>
        <v>0.7056</v>
      </c>
      <c r="AP18" s="6">
        <f>1.8*(100-Q18)/100</f>
        <v>1.5876000000000001</v>
      </c>
      <c r="AQ18" s="6">
        <f>50.3*0.882</f>
        <v>44.364599999999996</v>
      </c>
      <c r="AU18" s="6">
        <f>2.4*0.882</f>
        <v>2.1168</v>
      </c>
      <c r="AV18" s="6">
        <f>374.9*0.882</f>
        <v>330.66179999999997</v>
      </c>
      <c r="AW18" s="6">
        <f>(100-Q18)*23.8/100</f>
        <v>20.991600000000002</v>
      </c>
      <c r="AY18" s="6"/>
      <c r="BA18" s="6">
        <f>(100-Q18)*134.9/100</f>
        <v>118.98180000000001</v>
      </c>
      <c r="BD18" s="6">
        <f>(100-Q18)*5.3/100</f>
        <v>4.6745999999999999</v>
      </c>
    </row>
    <row r="19" spans="1:166" ht="14" customHeight="1" x14ac:dyDescent="0.2">
      <c r="A19" s="15" t="s">
        <v>6637</v>
      </c>
      <c r="B19" s="1" t="s">
        <v>6276</v>
      </c>
      <c r="C19" s="1" t="s">
        <v>6313</v>
      </c>
      <c r="D19" s="1" t="s">
        <v>6314</v>
      </c>
      <c r="E19" s="1" t="s">
        <v>11</v>
      </c>
      <c r="F19" s="1" t="s">
        <v>6278</v>
      </c>
      <c r="H19" s="1" t="s">
        <v>6315</v>
      </c>
      <c r="J19" s="1" t="s">
        <v>6284</v>
      </c>
      <c r="K19" s="1">
        <v>2010</v>
      </c>
      <c r="L19" s="1" t="s">
        <v>6280</v>
      </c>
      <c r="M19" s="1" t="s">
        <v>6182</v>
      </c>
      <c r="N19" s="1">
        <v>1.1000000000000001</v>
      </c>
      <c r="P19" s="44">
        <f>289*(100-Q19)/100</f>
        <v>210.392</v>
      </c>
      <c r="Q19" s="1">
        <v>27.2</v>
      </c>
      <c r="R19" s="1">
        <v>6.25</v>
      </c>
      <c r="T19" s="6">
        <f>2.6*(100-Q19)/100</f>
        <v>1.8928</v>
      </c>
      <c r="V19" s="33">
        <f>1.6*(100-Q19)/100</f>
        <v>1.1648000000000001</v>
      </c>
      <c r="X19" s="6">
        <f>64.3*(100-Q19)/100</f>
        <v>46.810400000000001</v>
      </c>
      <c r="AJ19" s="6">
        <f>1.4*(100-Q19)/100</f>
        <v>1.0191999999999999</v>
      </c>
      <c r="AP19" s="6">
        <f>2.9*(100-Q19)/100</f>
        <v>2.1111999999999997</v>
      </c>
      <c r="AQ19" s="6">
        <f>36.4*0.728</f>
        <v>26.499199999999998</v>
      </c>
      <c r="AU19" s="6">
        <f>1.5*0.728</f>
        <v>1.0920000000000001</v>
      </c>
      <c r="AV19" s="6">
        <f>291.2*0.728</f>
        <v>211.99359999999999</v>
      </c>
      <c r="AW19" s="6">
        <f>(100-Q19)*16/100</f>
        <v>11.648</v>
      </c>
      <c r="AY19" s="6"/>
      <c r="BA19" s="6">
        <f>(100-Q19)*107.7/100</f>
        <v>78.405599999999993</v>
      </c>
      <c r="BD19" s="6">
        <f>(100-Q19)*3.9/100</f>
        <v>2.8391999999999995</v>
      </c>
    </row>
    <row r="20" spans="1:166" ht="14" customHeight="1" x14ac:dyDescent="0.2">
      <c r="A20" s="15" t="s">
        <v>6638</v>
      </c>
      <c r="B20" s="1" t="s">
        <v>6176</v>
      </c>
      <c r="D20" s="1" t="s">
        <v>6250</v>
      </c>
      <c r="E20" s="1" t="s">
        <v>11</v>
      </c>
      <c r="F20" s="1" t="s">
        <v>6251</v>
      </c>
      <c r="G20" s="1" t="s">
        <v>6179</v>
      </c>
      <c r="J20" s="1" t="s">
        <v>6180</v>
      </c>
      <c r="K20" s="1">
        <v>1989</v>
      </c>
      <c r="L20" s="1" t="s">
        <v>6181</v>
      </c>
      <c r="M20" s="1" t="s">
        <v>6182</v>
      </c>
      <c r="N20" s="1">
        <v>1.1000000000000001</v>
      </c>
      <c r="Q20" s="1">
        <v>76</v>
      </c>
      <c r="AQ20" s="17">
        <v>19</v>
      </c>
      <c r="AT20" s="1">
        <v>0.2</v>
      </c>
      <c r="AV20" s="1">
        <v>302</v>
      </c>
      <c r="AW20" s="44">
        <v>11</v>
      </c>
      <c r="AX20" s="1">
        <v>0.12</v>
      </c>
      <c r="AY20" s="17">
        <v>10</v>
      </c>
      <c r="BA20" s="1">
        <v>38</v>
      </c>
      <c r="BD20" s="1">
        <v>0.2</v>
      </c>
    </row>
    <row r="21" spans="1:166" ht="14" customHeight="1" x14ac:dyDescent="0.2">
      <c r="A21" s="15" t="s">
        <v>6639</v>
      </c>
      <c r="B21" s="1" t="s">
        <v>6176</v>
      </c>
      <c r="D21" s="1" t="s">
        <v>6274</v>
      </c>
      <c r="E21" s="1" t="s">
        <v>11</v>
      </c>
      <c r="F21" s="1" t="s">
        <v>6275</v>
      </c>
      <c r="G21" s="1" t="s">
        <v>6179</v>
      </c>
      <c r="J21" s="1" t="s">
        <v>6180</v>
      </c>
      <c r="K21" s="1">
        <v>1989</v>
      </c>
      <c r="L21" s="1" t="s">
        <v>6181</v>
      </c>
      <c r="M21" s="1" t="s">
        <v>6182</v>
      </c>
      <c r="N21" s="1">
        <v>1.1000000000000001</v>
      </c>
      <c r="Q21" s="1">
        <v>63</v>
      </c>
      <c r="AQ21" s="1">
        <v>26</v>
      </c>
      <c r="AT21" s="1">
        <v>0.2</v>
      </c>
      <c r="AV21" s="1">
        <v>263</v>
      </c>
      <c r="AW21" s="44">
        <v>22</v>
      </c>
      <c r="AX21" s="1">
        <v>0.28000000000000003</v>
      </c>
      <c r="AY21" s="1">
        <v>7</v>
      </c>
      <c r="BA21" s="1">
        <v>43</v>
      </c>
      <c r="BD21" s="1">
        <v>0.6</v>
      </c>
    </row>
    <row r="22" spans="1:166" ht="14" customHeight="1" x14ac:dyDescent="0.2">
      <c r="A22" s="15" t="s">
        <v>6640</v>
      </c>
      <c r="B22" s="1" t="s">
        <v>6248</v>
      </c>
      <c r="D22" s="1" t="s">
        <v>6252</v>
      </c>
      <c r="E22" s="1" t="s">
        <v>7</v>
      </c>
      <c r="F22" s="1" t="s">
        <v>6253</v>
      </c>
      <c r="G22" s="1" t="s">
        <v>6179</v>
      </c>
      <c r="J22" s="1" t="s">
        <v>6180</v>
      </c>
      <c r="K22" s="1">
        <v>1989</v>
      </c>
      <c r="L22" s="1" t="s">
        <v>6181</v>
      </c>
      <c r="M22" s="1" t="s">
        <v>6182</v>
      </c>
      <c r="N22" s="1">
        <v>1.1000000000000001</v>
      </c>
      <c r="Q22" s="1">
        <v>74</v>
      </c>
      <c r="AQ22" s="1">
        <v>5</v>
      </c>
      <c r="AT22" s="1">
        <v>0.14000000000000001</v>
      </c>
      <c r="AV22" s="1">
        <v>572</v>
      </c>
      <c r="AW22" s="44">
        <v>22</v>
      </c>
      <c r="AX22" s="1">
        <v>0.03</v>
      </c>
      <c r="AY22" s="1">
        <v>6</v>
      </c>
      <c r="BA22" s="1">
        <v>53</v>
      </c>
      <c r="BD22" s="1">
        <v>0.25</v>
      </c>
    </row>
    <row r="23" spans="1:166" ht="14" customHeight="1" x14ac:dyDescent="0.2">
      <c r="A23" s="15" t="s">
        <v>6641</v>
      </c>
      <c r="B23" s="1" t="s">
        <v>6248</v>
      </c>
      <c r="D23" s="1" t="s">
        <v>6254</v>
      </c>
      <c r="E23" s="1" t="s">
        <v>7</v>
      </c>
      <c r="F23" s="1" t="s">
        <v>6255</v>
      </c>
      <c r="G23" s="1" t="s">
        <v>6179</v>
      </c>
      <c r="J23" s="1" t="s">
        <v>6180</v>
      </c>
      <c r="K23" s="1">
        <v>1989</v>
      </c>
      <c r="L23" s="1" t="s">
        <v>6181</v>
      </c>
      <c r="M23" s="1" t="s">
        <v>6182</v>
      </c>
      <c r="N23" s="1">
        <v>1.1000000000000001</v>
      </c>
      <c r="Q23" s="1">
        <v>73</v>
      </c>
      <c r="AQ23" s="1">
        <v>8</v>
      </c>
      <c r="AT23" s="1">
        <v>0.25</v>
      </c>
      <c r="AV23" s="1">
        <v>315</v>
      </c>
      <c r="AW23" s="44">
        <v>32</v>
      </c>
      <c r="AX23" s="1">
        <v>0.06</v>
      </c>
      <c r="AY23" s="1">
        <v>1</v>
      </c>
      <c r="BA23" s="1">
        <v>39</v>
      </c>
      <c r="BD23" s="1">
        <v>0.48</v>
      </c>
    </row>
    <row r="24" spans="1:166" ht="14" customHeight="1" x14ac:dyDescent="0.2">
      <c r="A24" s="15" t="s">
        <v>6642</v>
      </c>
      <c r="B24" s="1" t="s">
        <v>6248</v>
      </c>
      <c r="D24" s="1" t="s">
        <v>6272</v>
      </c>
      <c r="E24" s="1" t="s">
        <v>7</v>
      </c>
      <c r="F24" s="1" t="s">
        <v>6273</v>
      </c>
      <c r="G24" s="1" t="s">
        <v>6179</v>
      </c>
      <c r="J24" s="1" t="s">
        <v>6180</v>
      </c>
      <c r="K24" s="1">
        <v>1989</v>
      </c>
      <c r="L24" s="1" t="s">
        <v>6181</v>
      </c>
      <c r="M24" s="1" t="s">
        <v>6182</v>
      </c>
      <c r="N24" s="1">
        <v>1.1000000000000001</v>
      </c>
      <c r="Q24" s="1">
        <v>66</v>
      </c>
      <c r="AQ24" s="1">
        <v>17</v>
      </c>
      <c r="AT24" s="1">
        <v>0.24</v>
      </c>
      <c r="AV24" s="1">
        <v>410</v>
      </c>
      <c r="AW24" s="44">
        <v>36</v>
      </c>
      <c r="AX24" s="1">
        <v>0.21</v>
      </c>
      <c r="AY24" s="1">
        <v>5</v>
      </c>
      <c r="BA24" s="1">
        <v>65</v>
      </c>
      <c r="BD24" s="1">
        <v>0.57999999999999996</v>
      </c>
    </row>
    <row r="25" spans="1:166" ht="14" customHeight="1" x14ac:dyDescent="0.2">
      <c r="A25" s="15" t="s">
        <v>6643</v>
      </c>
      <c r="B25" s="1" t="s">
        <v>6248</v>
      </c>
      <c r="D25" s="1" t="s">
        <v>6256</v>
      </c>
      <c r="E25" s="1" t="s">
        <v>7</v>
      </c>
      <c r="F25" s="1" t="s">
        <v>6251</v>
      </c>
      <c r="G25" s="1" t="s">
        <v>6179</v>
      </c>
      <c r="J25" s="1" t="s">
        <v>6180</v>
      </c>
      <c r="K25" s="1">
        <v>1989</v>
      </c>
      <c r="L25" s="1" t="s">
        <v>6181</v>
      </c>
      <c r="M25" s="1" t="s">
        <v>6182</v>
      </c>
      <c r="N25" s="1">
        <v>1.1000000000000001</v>
      </c>
      <c r="Q25" s="1">
        <v>68</v>
      </c>
      <c r="AQ25" s="1">
        <v>30</v>
      </c>
      <c r="AT25" s="1">
        <v>0.18</v>
      </c>
      <c r="AV25" s="1">
        <v>443</v>
      </c>
      <c r="AW25" s="44">
        <v>24</v>
      </c>
      <c r="AX25" s="1">
        <v>0.13</v>
      </c>
      <c r="AY25" s="1">
        <v>46</v>
      </c>
      <c r="BA25" s="1">
        <v>57</v>
      </c>
      <c r="BD25" s="1">
        <v>0.3</v>
      </c>
    </row>
    <row r="26" spans="1:166" ht="14" customHeight="1" x14ac:dyDescent="0.2">
      <c r="A26" s="15" t="s">
        <v>6644</v>
      </c>
      <c r="B26" s="1" t="s">
        <v>6176</v>
      </c>
      <c r="C26" s="1" t="s">
        <v>6378</v>
      </c>
      <c r="D26" s="1" t="s">
        <v>6274</v>
      </c>
      <c r="E26" s="1" t="s">
        <v>11</v>
      </c>
      <c r="F26" s="1" t="s">
        <v>6379</v>
      </c>
      <c r="J26" s="1" t="s">
        <v>9751</v>
      </c>
      <c r="K26" s="1">
        <v>1988</v>
      </c>
      <c r="L26" s="1" t="s">
        <v>6380</v>
      </c>
      <c r="M26" s="1" t="s">
        <v>6182</v>
      </c>
      <c r="N26" s="17" t="s">
        <v>7945</v>
      </c>
      <c r="Q26" s="1">
        <v>63</v>
      </c>
      <c r="AQ26" s="1">
        <v>26</v>
      </c>
      <c r="BD26" s="1">
        <v>0.6</v>
      </c>
      <c r="DM26" s="49">
        <v>59</v>
      </c>
    </row>
    <row r="27" spans="1:166" ht="14" customHeight="1" x14ac:dyDescent="0.2">
      <c r="A27" s="15" t="s">
        <v>6645</v>
      </c>
      <c r="B27" s="1" t="s">
        <v>6381</v>
      </c>
      <c r="D27" s="1" t="s">
        <v>6382</v>
      </c>
      <c r="E27" s="1" t="s">
        <v>11</v>
      </c>
      <c r="F27" s="1" t="s">
        <v>6383</v>
      </c>
      <c r="G27" s="1" t="s">
        <v>6384</v>
      </c>
      <c r="H27" s="1" t="s">
        <v>6385</v>
      </c>
      <c r="J27" s="1" t="s">
        <v>9752</v>
      </c>
      <c r="K27" s="1">
        <v>1993</v>
      </c>
      <c r="L27" s="1" t="s">
        <v>6386</v>
      </c>
      <c r="M27" s="1" t="s">
        <v>6182</v>
      </c>
      <c r="N27" s="17" t="s">
        <v>7945</v>
      </c>
      <c r="Q27" s="1">
        <v>65</v>
      </c>
      <c r="AQ27" s="1">
        <v>18</v>
      </c>
      <c r="AT27" s="1">
        <v>0.05</v>
      </c>
      <c r="AX27" s="1">
        <v>0.11</v>
      </c>
      <c r="BD27" s="1">
        <v>0.3</v>
      </c>
      <c r="EA27" s="49">
        <v>54</v>
      </c>
      <c r="FF27" s="1">
        <v>1.2</v>
      </c>
      <c r="FG27" s="1">
        <v>1.1000000000000001</v>
      </c>
    </row>
    <row r="28" spans="1:166" ht="14" customHeight="1" x14ac:dyDescent="0.2">
      <c r="A28" s="15" t="s">
        <v>6646</v>
      </c>
      <c r="B28" s="1" t="s">
        <v>6381</v>
      </c>
      <c r="D28" s="1" t="s">
        <v>6387</v>
      </c>
      <c r="E28" s="1" t="s">
        <v>11</v>
      </c>
      <c r="F28" s="1" t="s">
        <v>6383</v>
      </c>
      <c r="G28" s="1" t="s">
        <v>6384</v>
      </c>
      <c r="H28" s="1" t="s">
        <v>6388</v>
      </c>
      <c r="J28" s="1" t="s">
        <v>9752</v>
      </c>
      <c r="K28" s="1">
        <v>1993</v>
      </c>
      <c r="L28" s="1" t="s">
        <v>6386</v>
      </c>
      <c r="M28" s="1" t="s">
        <v>6182</v>
      </c>
      <c r="N28" s="17" t="s">
        <v>7945</v>
      </c>
      <c r="Q28" s="1">
        <v>51</v>
      </c>
      <c r="AQ28" s="1">
        <v>30</v>
      </c>
      <c r="AT28" s="1">
        <v>7.0000000000000007E-2</v>
      </c>
      <c r="AX28" s="1">
        <v>0.16</v>
      </c>
      <c r="BD28" s="1">
        <v>0.4</v>
      </c>
      <c r="EA28" s="49">
        <v>48</v>
      </c>
      <c r="FF28" s="1">
        <v>0.3</v>
      </c>
      <c r="FG28" s="1">
        <v>2.1</v>
      </c>
    </row>
    <row r="29" spans="1:166" ht="14" customHeight="1" x14ac:dyDescent="0.2">
      <c r="A29" s="15" t="s">
        <v>6647</v>
      </c>
      <c r="B29" s="1" t="s">
        <v>6389</v>
      </c>
      <c r="C29" s="1" t="s">
        <v>6390</v>
      </c>
      <c r="D29" s="1" t="s">
        <v>6391</v>
      </c>
      <c r="E29" s="1" t="s">
        <v>7</v>
      </c>
      <c r="F29" s="1" t="s">
        <v>6392</v>
      </c>
      <c r="H29" s="1" t="s">
        <v>6393</v>
      </c>
      <c r="I29" s="1">
        <v>3</v>
      </c>
      <c r="J29" s="1" t="s">
        <v>6394</v>
      </c>
      <c r="K29" s="1">
        <v>2013</v>
      </c>
      <c r="L29" s="1" t="s">
        <v>6395</v>
      </c>
      <c r="M29" s="1" t="s">
        <v>6182</v>
      </c>
      <c r="N29" s="1">
        <v>1.1000000000000001</v>
      </c>
      <c r="Q29" s="6">
        <v>68</v>
      </c>
      <c r="R29" s="1">
        <v>3.24</v>
      </c>
      <c r="S29" s="1">
        <v>0.14000000000000001</v>
      </c>
      <c r="T29" s="1">
        <v>0.46</v>
      </c>
      <c r="W29" s="1">
        <v>0.6</v>
      </c>
      <c r="AP29" s="1">
        <v>0.8</v>
      </c>
      <c r="BO29" s="1">
        <f>113.5*0.32</f>
        <v>36.32</v>
      </c>
      <c r="BX29" s="1">
        <f>163*0.32</f>
        <v>52.160000000000004</v>
      </c>
      <c r="FE29" s="50"/>
      <c r="FI29" s="1">
        <f>49.9*0.32</f>
        <v>15.968</v>
      </c>
    </row>
    <row r="30" spans="1:166" ht="14" customHeight="1" x14ac:dyDescent="0.2">
      <c r="A30" s="15" t="s">
        <v>6648</v>
      </c>
      <c r="B30" s="1" t="s">
        <v>6389</v>
      </c>
      <c r="C30" s="1" t="s">
        <v>6390</v>
      </c>
      <c r="D30" s="1" t="s">
        <v>6396</v>
      </c>
      <c r="E30" s="1" t="s">
        <v>7</v>
      </c>
      <c r="F30" s="1" t="s">
        <v>6392</v>
      </c>
      <c r="H30" s="1" t="s">
        <v>6397</v>
      </c>
      <c r="I30" s="1">
        <v>3</v>
      </c>
      <c r="J30" s="1" t="s">
        <v>6394</v>
      </c>
      <c r="K30" s="1">
        <v>2013</v>
      </c>
      <c r="L30" s="1" t="s">
        <v>6395</v>
      </c>
      <c r="M30" s="1" t="s">
        <v>6182</v>
      </c>
      <c r="N30" s="1">
        <v>1.1000000000000001</v>
      </c>
      <c r="Q30" s="6">
        <v>73</v>
      </c>
      <c r="R30" s="1">
        <v>3.24</v>
      </c>
      <c r="S30" s="1">
        <v>0.1</v>
      </c>
      <c r="T30" s="1">
        <v>0.33</v>
      </c>
      <c r="W30" s="1">
        <v>0.5</v>
      </c>
      <c r="AG30" s="1">
        <v>2.4</v>
      </c>
      <c r="AP30" s="1">
        <v>0.4</v>
      </c>
      <c r="BO30" s="1">
        <f>77.1*0.27</f>
        <v>20.817</v>
      </c>
      <c r="BX30" s="1">
        <f>153*0.27</f>
        <v>41.31</v>
      </c>
      <c r="FE30" s="50"/>
      <c r="FI30" s="1">
        <f>75.6*0.27</f>
        <v>20.411999999999999</v>
      </c>
    </row>
    <row r="31" spans="1:166" ht="14" customHeight="1" x14ac:dyDescent="0.2">
      <c r="A31" s="15" t="s">
        <v>6649</v>
      </c>
      <c r="B31" s="1" t="s">
        <v>6389</v>
      </c>
      <c r="C31" s="1" t="s">
        <v>6390</v>
      </c>
      <c r="D31" s="1" t="s">
        <v>6398</v>
      </c>
      <c r="E31" s="1" t="s">
        <v>7</v>
      </c>
      <c r="F31" s="1" t="s">
        <v>6392</v>
      </c>
      <c r="H31" s="1" t="s">
        <v>6399</v>
      </c>
      <c r="I31" s="1">
        <v>3</v>
      </c>
      <c r="J31" s="1" t="s">
        <v>6400</v>
      </c>
      <c r="K31" s="1">
        <v>2013</v>
      </c>
      <c r="L31" s="1" t="s">
        <v>6395</v>
      </c>
      <c r="M31" s="1" t="s">
        <v>6182</v>
      </c>
      <c r="N31" s="1">
        <v>1.1000000000000001</v>
      </c>
      <c r="Q31" s="1">
        <v>52.4</v>
      </c>
      <c r="R31" s="1">
        <v>3.24</v>
      </c>
      <c r="S31" s="1">
        <v>0.16</v>
      </c>
      <c r="T31" s="1">
        <v>0.53</v>
      </c>
      <c r="W31" s="1">
        <v>11.1</v>
      </c>
      <c r="AG31" s="1">
        <v>3.4</v>
      </c>
      <c r="AP31" s="1">
        <v>0.7</v>
      </c>
      <c r="BO31" s="1">
        <f>157.5*0.476</f>
        <v>74.97</v>
      </c>
      <c r="BX31" s="1">
        <f>300*0.476</f>
        <v>142.79999999999998</v>
      </c>
      <c r="FE31" s="50"/>
      <c r="FI31" s="1">
        <f>142.5*0.476</f>
        <v>67.83</v>
      </c>
    </row>
    <row r="32" spans="1:166" ht="14" customHeight="1" x14ac:dyDescent="0.2">
      <c r="A32" s="15" t="s">
        <v>6650</v>
      </c>
      <c r="B32" s="1" t="s">
        <v>6401</v>
      </c>
      <c r="C32" s="1" t="s">
        <v>6402</v>
      </c>
      <c r="D32" s="1" t="s">
        <v>6403</v>
      </c>
      <c r="E32" s="1" t="s">
        <v>11</v>
      </c>
      <c r="F32" s="1" t="s">
        <v>6404</v>
      </c>
      <c r="H32" s="1" t="s">
        <v>6405</v>
      </c>
      <c r="I32" s="1">
        <v>20</v>
      </c>
      <c r="K32" s="1">
        <v>2004</v>
      </c>
      <c r="L32" s="1" t="s">
        <v>6406</v>
      </c>
      <c r="M32" s="1" t="s">
        <v>6182</v>
      </c>
      <c r="N32" s="1">
        <v>1.1000000000000001</v>
      </c>
      <c r="P32" s="1">
        <v>114</v>
      </c>
      <c r="Q32" s="1">
        <v>71.2</v>
      </c>
      <c r="T32" s="1">
        <v>0.5</v>
      </c>
      <c r="V32" s="1">
        <v>0.1</v>
      </c>
      <c r="X32" s="1">
        <v>25.8</v>
      </c>
      <c r="Y32" s="1">
        <v>27.7</v>
      </c>
      <c r="AA32" s="1">
        <v>24.1</v>
      </c>
      <c r="AG32" s="1">
        <v>1.9</v>
      </c>
      <c r="AH32" s="6"/>
      <c r="AL32" s="1">
        <v>1.6</v>
      </c>
      <c r="AM32" s="1">
        <v>0.4</v>
      </c>
      <c r="FJ32" s="1">
        <v>0.2</v>
      </c>
    </row>
    <row r="33" spans="1:167" ht="14" customHeight="1" x14ac:dyDescent="0.2">
      <c r="A33" s="15" t="s">
        <v>6651</v>
      </c>
      <c r="B33" s="1" t="s">
        <v>6407</v>
      </c>
      <c r="C33" s="1" t="s">
        <v>6408</v>
      </c>
      <c r="D33" s="1" t="s">
        <v>6409</v>
      </c>
      <c r="E33" s="1" t="s">
        <v>11</v>
      </c>
      <c r="F33" t="s">
        <v>6410</v>
      </c>
      <c r="H33" s="1" t="s">
        <v>6411</v>
      </c>
      <c r="I33" s="1">
        <v>20</v>
      </c>
      <c r="K33" s="1">
        <v>2004</v>
      </c>
      <c r="L33" s="1" t="s">
        <v>6406</v>
      </c>
      <c r="M33" s="1" t="s">
        <v>6182</v>
      </c>
      <c r="N33" s="1">
        <v>1.1000000000000001</v>
      </c>
      <c r="P33" s="1">
        <v>98</v>
      </c>
      <c r="Q33" s="6">
        <v>77</v>
      </c>
      <c r="T33" s="1">
        <v>2.2999999999999998</v>
      </c>
      <c r="V33" s="1">
        <v>0.1</v>
      </c>
      <c r="X33" s="1">
        <v>17.600000000000001</v>
      </c>
      <c r="Y33" s="1">
        <v>19.899999999999999</v>
      </c>
      <c r="AA33" s="1">
        <v>17.100000000000001</v>
      </c>
      <c r="AG33" s="1">
        <v>2.2999999999999998</v>
      </c>
      <c r="AH33" s="6"/>
      <c r="AL33" s="6">
        <v>2</v>
      </c>
      <c r="AM33" s="1">
        <v>0.2</v>
      </c>
      <c r="FJ33" s="1">
        <v>0.4</v>
      </c>
    </row>
    <row r="34" spans="1:167" ht="14" customHeight="1" x14ac:dyDescent="0.2">
      <c r="A34" s="15" t="s">
        <v>6652</v>
      </c>
      <c r="B34" s="1" t="s">
        <v>6412</v>
      </c>
      <c r="C34" s="1" t="s">
        <v>6413</v>
      </c>
      <c r="D34" s="1" t="s">
        <v>6414</v>
      </c>
      <c r="E34" s="1" t="s">
        <v>11</v>
      </c>
      <c r="F34" s="1" t="s">
        <v>6415</v>
      </c>
      <c r="H34" s="1" t="s">
        <v>6416</v>
      </c>
      <c r="I34" s="1">
        <v>20</v>
      </c>
      <c r="K34" s="1">
        <v>2004</v>
      </c>
      <c r="L34" s="1" t="s">
        <v>6406</v>
      </c>
      <c r="M34" s="1" t="s">
        <v>6182</v>
      </c>
      <c r="N34" s="1">
        <v>1.1000000000000001</v>
      </c>
      <c r="P34" s="1">
        <v>99</v>
      </c>
      <c r="Q34" s="6">
        <v>74.5</v>
      </c>
      <c r="T34" s="1">
        <v>1.3</v>
      </c>
      <c r="V34" s="1">
        <v>0.1</v>
      </c>
      <c r="X34" s="1">
        <v>20.7</v>
      </c>
      <c r="Y34" s="1">
        <v>23.2</v>
      </c>
      <c r="AA34" s="6">
        <v>19</v>
      </c>
      <c r="AG34" s="1">
        <v>2.5</v>
      </c>
      <c r="AH34" s="6"/>
      <c r="AL34" s="1">
        <v>2.2000000000000002</v>
      </c>
      <c r="AM34" s="1">
        <v>0.3</v>
      </c>
      <c r="FJ34" s="1">
        <v>0.4</v>
      </c>
    </row>
    <row r="35" spans="1:167" ht="14" customHeight="1" x14ac:dyDescent="0.2">
      <c r="A35" s="15" t="s">
        <v>6653</v>
      </c>
      <c r="B35" s="1" t="s">
        <v>6417</v>
      </c>
      <c r="D35" s="1" t="s">
        <v>6418</v>
      </c>
      <c r="E35" s="1" t="s">
        <v>11</v>
      </c>
      <c r="F35" s="1" t="s">
        <v>6278</v>
      </c>
      <c r="H35" s="1" t="s">
        <v>6419</v>
      </c>
      <c r="J35" s="1" t="s">
        <v>6420</v>
      </c>
      <c r="K35" s="1">
        <v>2013</v>
      </c>
      <c r="L35" s="1" t="s">
        <v>6421</v>
      </c>
      <c r="M35" s="1" t="s">
        <v>6182</v>
      </c>
      <c r="N35" s="1">
        <v>1.1000000000000001</v>
      </c>
      <c r="Q35" s="33">
        <v>11.9</v>
      </c>
      <c r="R35" s="1">
        <v>6.25</v>
      </c>
      <c r="T35" s="33">
        <v>1.3</v>
      </c>
      <c r="V35" s="1">
        <v>1.34</v>
      </c>
      <c r="X35" s="1">
        <v>81.37</v>
      </c>
      <c r="AH35" s="6"/>
      <c r="AJ35" s="1">
        <v>2.58</v>
      </c>
      <c r="FE35" s="1">
        <f>0.583*1000</f>
        <v>583</v>
      </c>
      <c r="FK35" s="1">
        <v>5.8</v>
      </c>
    </row>
    <row r="36" spans="1:167" ht="14" customHeight="1" x14ac:dyDescent="0.2">
      <c r="A36" s="15" t="s">
        <v>6654</v>
      </c>
      <c r="B36" s="1" t="s">
        <v>6417</v>
      </c>
      <c r="D36" s="1" t="s">
        <v>6422</v>
      </c>
      <c r="E36" s="1" t="s">
        <v>11</v>
      </c>
      <c r="F36" s="1" t="s">
        <v>6278</v>
      </c>
      <c r="H36" s="1" t="s">
        <v>6423</v>
      </c>
      <c r="J36" s="1" t="s">
        <v>6420</v>
      </c>
      <c r="K36" s="1">
        <v>2013</v>
      </c>
      <c r="L36" s="1" t="s">
        <v>6421</v>
      </c>
      <c r="M36" s="1" t="s">
        <v>6182</v>
      </c>
      <c r="N36" s="1">
        <v>1.1000000000000001</v>
      </c>
      <c r="Q36" s="1">
        <v>12.11</v>
      </c>
      <c r="R36" s="1">
        <v>6.25</v>
      </c>
      <c r="T36" s="1">
        <v>2.56</v>
      </c>
      <c r="V36" s="1">
        <v>1.47</v>
      </c>
      <c r="X36" s="1">
        <v>79.209999999999994</v>
      </c>
      <c r="AH36" s="6"/>
      <c r="AJ36" s="1">
        <v>2.79</v>
      </c>
      <c r="FE36" s="1">
        <f>0.641*1000</f>
        <v>641</v>
      </c>
      <c r="FK36" s="1">
        <v>6.7</v>
      </c>
    </row>
    <row r="37" spans="1:167" ht="14" customHeight="1" x14ac:dyDescent="0.2">
      <c r="A37" s="15" t="s">
        <v>6655</v>
      </c>
      <c r="B37" s="1" t="s">
        <v>6417</v>
      </c>
      <c r="D37" s="1" t="s">
        <v>6424</v>
      </c>
      <c r="E37" s="1" t="s">
        <v>11</v>
      </c>
      <c r="F37" s="1" t="s">
        <v>6278</v>
      </c>
      <c r="H37" s="1" t="s">
        <v>6425</v>
      </c>
      <c r="J37" s="1" t="s">
        <v>6420</v>
      </c>
      <c r="K37" s="1">
        <v>2013</v>
      </c>
      <c r="L37" s="1" t="s">
        <v>6421</v>
      </c>
      <c r="M37" s="1" t="s">
        <v>6182</v>
      </c>
      <c r="N37" s="1">
        <v>1.1000000000000001</v>
      </c>
      <c r="Q37" s="1">
        <v>10.24</v>
      </c>
      <c r="R37" s="1">
        <v>6.25</v>
      </c>
      <c r="T37" s="1">
        <v>1.51</v>
      </c>
      <c r="V37" s="33">
        <v>1.4</v>
      </c>
      <c r="X37" s="1">
        <v>82.08</v>
      </c>
      <c r="AH37" s="6"/>
      <c r="AJ37" s="1">
        <v>2.72</v>
      </c>
      <c r="FE37" s="1">
        <f>0.698*1000</f>
        <v>698</v>
      </c>
      <c r="FK37" s="1">
        <v>6.2</v>
      </c>
    </row>
    <row r="38" spans="1:167" ht="14" customHeight="1" x14ac:dyDescent="0.2">
      <c r="A38" s="15" t="s">
        <v>6656</v>
      </c>
      <c r="B38" s="1" t="s">
        <v>6426</v>
      </c>
      <c r="D38" s="1" t="s">
        <v>6427</v>
      </c>
      <c r="E38" s="1" t="s">
        <v>7</v>
      </c>
      <c r="F38" s="1" t="s">
        <v>6275</v>
      </c>
      <c r="I38" s="1">
        <v>1</v>
      </c>
      <c r="J38" s="1" t="s">
        <v>6428</v>
      </c>
      <c r="K38" s="1">
        <v>2006</v>
      </c>
      <c r="L38" s="1" t="s">
        <v>6429</v>
      </c>
      <c r="M38" s="1" t="s">
        <v>6182</v>
      </c>
      <c r="N38" s="1">
        <v>1.1000000000000001</v>
      </c>
      <c r="Q38" s="1">
        <v>60.4</v>
      </c>
      <c r="R38" s="1">
        <v>6.25</v>
      </c>
      <c r="T38" s="6">
        <v>0.7</v>
      </c>
      <c r="W38" s="6">
        <v>0.5</v>
      </c>
      <c r="Z38" s="1">
        <v>35.700000000000003</v>
      </c>
      <c r="AG38" s="1">
        <v>1.5</v>
      </c>
      <c r="AH38" s="6"/>
      <c r="AP38" s="6">
        <v>0.6</v>
      </c>
    </row>
    <row r="39" spans="1:167" ht="14" customHeight="1" x14ac:dyDescent="0.2">
      <c r="A39" s="15" t="s">
        <v>6657</v>
      </c>
      <c r="B39" s="1" t="s">
        <v>6426</v>
      </c>
      <c r="D39" s="1" t="s">
        <v>6430</v>
      </c>
      <c r="E39" s="1" t="s">
        <v>11</v>
      </c>
      <c r="F39" s="1" t="s">
        <v>6275</v>
      </c>
      <c r="H39" s="1" t="s">
        <v>6431</v>
      </c>
      <c r="I39" s="1">
        <v>1</v>
      </c>
      <c r="J39" s="1" t="s">
        <v>6428</v>
      </c>
      <c r="K39" s="1">
        <v>2006</v>
      </c>
      <c r="L39" s="1" t="s">
        <v>6429</v>
      </c>
      <c r="M39" s="1" t="s">
        <v>6182</v>
      </c>
      <c r="N39" s="1">
        <v>1.1000000000000001</v>
      </c>
      <c r="Q39" s="1">
        <v>58.9</v>
      </c>
      <c r="R39" s="1">
        <v>6.25</v>
      </c>
      <c r="T39" s="6">
        <v>0.8</v>
      </c>
      <c r="W39" s="6">
        <v>0.5</v>
      </c>
      <c r="Z39" s="1">
        <v>37.799999999999997</v>
      </c>
      <c r="AG39" s="1">
        <v>2.8</v>
      </c>
      <c r="AH39" s="6"/>
      <c r="AP39" s="6">
        <v>0.7</v>
      </c>
    </row>
    <row r="40" spans="1:167" ht="14" customHeight="1" x14ac:dyDescent="0.2">
      <c r="A40" s="15" t="s">
        <v>6658</v>
      </c>
      <c r="B40" s="1" t="s">
        <v>6426</v>
      </c>
      <c r="D40" s="1" t="s">
        <v>6432</v>
      </c>
      <c r="E40" s="1" t="s">
        <v>11</v>
      </c>
      <c r="F40" s="1" t="s">
        <v>6275</v>
      </c>
      <c r="I40" s="1">
        <v>1</v>
      </c>
      <c r="J40" s="1" t="s">
        <v>6428</v>
      </c>
      <c r="K40" s="1">
        <v>2006</v>
      </c>
      <c r="L40" s="1" t="s">
        <v>6429</v>
      </c>
      <c r="M40" s="1" t="s">
        <v>6182</v>
      </c>
      <c r="N40" s="1">
        <v>1.1000000000000001</v>
      </c>
      <c r="Q40" s="1">
        <v>67.5</v>
      </c>
      <c r="R40" s="1">
        <v>6.25</v>
      </c>
      <c r="T40" s="6">
        <v>0.6</v>
      </c>
      <c r="W40" s="6">
        <v>0.4</v>
      </c>
      <c r="Z40" s="1">
        <v>28.9</v>
      </c>
      <c r="AG40" s="1">
        <v>1.4</v>
      </c>
      <c r="AH40" s="6"/>
      <c r="AP40" s="6">
        <v>0.5</v>
      </c>
    </row>
    <row r="41" spans="1:167" ht="14" customHeight="1" x14ac:dyDescent="0.2">
      <c r="A41" s="15" t="s">
        <v>6659</v>
      </c>
      <c r="B41" s="1" t="s">
        <v>1001</v>
      </c>
      <c r="C41" s="1" t="s">
        <v>6433</v>
      </c>
      <c r="D41" s="1" t="s">
        <v>6434</v>
      </c>
      <c r="E41" s="1" t="s">
        <v>11</v>
      </c>
      <c r="F41" s="1" t="s">
        <v>6435</v>
      </c>
      <c r="H41" s="1" t="s">
        <v>6436</v>
      </c>
      <c r="J41" s="1" t="s">
        <v>6437</v>
      </c>
      <c r="L41" s="1" t="s">
        <v>6438</v>
      </c>
      <c r="M41" s="1" t="s">
        <v>6182</v>
      </c>
      <c r="N41" s="1">
        <v>1.1000000000000001</v>
      </c>
      <c r="O41" s="44">
        <f>(100-Q41)/100*1615</f>
        <v>1424.43</v>
      </c>
      <c r="P41" s="44">
        <f>(100-Q41)/100*386</f>
        <v>340.452</v>
      </c>
      <c r="Q41" s="33">
        <v>11.8</v>
      </c>
      <c r="U41" s="33">
        <f>(100-Q41)/100*2.04</f>
        <v>1.79928</v>
      </c>
      <c r="W41" s="33"/>
      <c r="X41" s="6"/>
      <c r="AD41" s="6"/>
      <c r="AE41" s="33">
        <f>(100-Q41)/100*1.46</f>
        <v>1.28772</v>
      </c>
      <c r="AG41" s="33">
        <f>(100-Q41)/100*4.87</f>
        <v>4.2953400000000004</v>
      </c>
      <c r="AH41" s="6"/>
      <c r="AJ41" s="6"/>
      <c r="AP41" s="33">
        <f>(100-Q41)/100*2.05</f>
        <v>1.8080999999999998</v>
      </c>
      <c r="CM41" s="33">
        <f>(100-Q41)/100*84.86</f>
        <v>74.846519999999998</v>
      </c>
      <c r="CN41" s="33">
        <f>(100-Q41)/100*4.01</f>
        <v>3.5368199999999996</v>
      </c>
      <c r="FK41" s="33"/>
    </row>
    <row r="42" spans="1:167" ht="14" customHeight="1" x14ac:dyDescent="0.2">
      <c r="A42" s="15" t="s">
        <v>6660</v>
      </c>
      <c r="B42" s="1" t="s">
        <v>1001</v>
      </c>
      <c r="C42" s="1" t="s">
        <v>6439</v>
      </c>
      <c r="D42" s="1" t="s">
        <v>6440</v>
      </c>
      <c r="E42" s="1" t="s">
        <v>11</v>
      </c>
      <c r="F42" s="1" t="s">
        <v>6435</v>
      </c>
      <c r="H42" s="1" t="s">
        <v>6441</v>
      </c>
      <c r="J42" s="1" t="s">
        <v>6437</v>
      </c>
      <c r="L42" s="1" t="s">
        <v>6438</v>
      </c>
      <c r="M42" s="1" t="s">
        <v>6182</v>
      </c>
      <c r="N42" s="1">
        <v>1.1000000000000001</v>
      </c>
      <c r="O42" s="44">
        <f>(100-Q42)/100*1707</f>
        <v>1536.3</v>
      </c>
      <c r="P42" s="44">
        <f>(100-Q42)/100*408</f>
        <v>367.2</v>
      </c>
      <c r="Q42" s="33">
        <v>10</v>
      </c>
      <c r="U42" s="33">
        <f>(100-Q42)/100*0.41</f>
        <v>0.36899999999999999</v>
      </c>
      <c r="W42" s="33"/>
      <c r="X42" s="6"/>
      <c r="AD42" s="6"/>
      <c r="AE42" s="33">
        <f>(100-Q42)/100*0</f>
        <v>0</v>
      </c>
      <c r="AG42" s="33">
        <f>(100-Q42)/100*0.4</f>
        <v>0.36000000000000004</v>
      </c>
      <c r="AH42" s="6"/>
      <c r="AJ42" s="6"/>
      <c r="AP42" s="33">
        <f>(100-Q42)/100*0.5</f>
        <v>0.45</v>
      </c>
      <c r="CM42" s="33">
        <f>(100-Q42)/100*95.16</f>
        <v>85.644000000000005</v>
      </c>
      <c r="CN42" s="33">
        <f>(100-Q42)/100*0.03</f>
        <v>2.7E-2</v>
      </c>
      <c r="FK42" s="33"/>
    </row>
    <row r="43" spans="1:167" ht="14" customHeight="1" x14ac:dyDescent="0.2">
      <c r="A43" s="15" t="s">
        <v>6661</v>
      </c>
      <c r="B43" s="1" t="s">
        <v>1001</v>
      </c>
      <c r="C43" s="1" t="s">
        <v>6442</v>
      </c>
      <c r="D43" s="1" t="s">
        <v>6443</v>
      </c>
      <c r="E43" s="1" t="s">
        <v>11</v>
      </c>
      <c r="F43" s="1" t="s">
        <v>6435</v>
      </c>
      <c r="H43" s="1" t="s">
        <v>6444</v>
      </c>
      <c r="J43" s="1" t="s">
        <v>6437</v>
      </c>
      <c r="L43" s="1" t="s">
        <v>6438</v>
      </c>
      <c r="M43" s="1" t="s">
        <v>6182</v>
      </c>
      <c r="N43" s="1">
        <v>1.1000000000000001</v>
      </c>
      <c r="O43" s="44">
        <f>(100-Q43)/100*1636</f>
        <v>1439.68</v>
      </c>
      <c r="P43" s="44">
        <f>(100-Q43)/100*391</f>
        <v>344.08</v>
      </c>
      <c r="Q43" s="33">
        <v>12</v>
      </c>
      <c r="U43" s="33">
        <f>(100-Q43)/100*1.51</f>
        <v>1.3288</v>
      </c>
      <c r="W43" s="33"/>
      <c r="X43" s="6"/>
      <c r="AD43" s="6"/>
      <c r="AE43" s="33">
        <f>(100-Q43)/100*3.84</f>
        <v>3.3792</v>
      </c>
      <c r="AG43" s="33">
        <f>(100-Q43)/100*4.27</f>
        <v>3.7575999999999996</v>
      </c>
      <c r="AH43" s="6"/>
      <c r="AJ43" s="6"/>
      <c r="AP43" s="33">
        <f>(100-Q43)/100*1.79</f>
        <v>1.5751999999999999</v>
      </c>
      <c r="CM43" s="33">
        <f>(100-Q43)/100*87.71</f>
        <v>77.184799999999996</v>
      </c>
      <c r="CN43" s="33">
        <f>(100-Q43)/100*2.84</f>
        <v>2.4992000000000001</v>
      </c>
      <c r="FK43" s="33"/>
    </row>
    <row r="44" spans="1:167" ht="14" customHeight="1" x14ac:dyDescent="0.2">
      <c r="A44" s="15" t="s">
        <v>6662</v>
      </c>
      <c r="B44" s="1" t="s">
        <v>1001</v>
      </c>
      <c r="C44" s="1" t="s">
        <v>6445</v>
      </c>
      <c r="D44" s="1" t="s">
        <v>6446</v>
      </c>
      <c r="E44" s="1" t="s">
        <v>11</v>
      </c>
      <c r="F44" s="1" t="s">
        <v>6435</v>
      </c>
      <c r="H44" s="1" t="s">
        <v>6447</v>
      </c>
      <c r="J44" s="1" t="s">
        <v>6437</v>
      </c>
      <c r="L44" s="1" t="s">
        <v>6438</v>
      </c>
      <c r="M44" s="1" t="s">
        <v>6182</v>
      </c>
      <c r="N44" s="1">
        <v>1.1000000000000001</v>
      </c>
      <c r="O44" s="44">
        <f>(100-Q44)/100*1745</f>
        <v>1586.2050000000002</v>
      </c>
      <c r="P44" s="44">
        <f>(100-Q44)/100*417</f>
        <v>379.053</v>
      </c>
      <c r="Q44" s="33">
        <v>9.1</v>
      </c>
      <c r="U44" s="33">
        <f>(100-Q44)/100*0.91</f>
        <v>0.82719000000000009</v>
      </c>
      <c r="W44" s="33"/>
      <c r="X44" s="6"/>
      <c r="AD44" s="6"/>
      <c r="AE44" s="33">
        <f>(100-Q44)/100*0.2</f>
        <v>0.18180000000000002</v>
      </c>
      <c r="AG44" s="33">
        <f>(100-Q44)/100*4.14</f>
        <v>3.7632599999999998</v>
      </c>
      <c r="AH44" s="6"/>
      <c r="AJ44" s="6"/>
      <c r="AP44" s="33">
        <f>(100-Q44)/100*0.6</f>
        <v>0.5454</v>
      </c>
      <c r="CM44" s="33">
        <f>(100-Q44)/100*83.68</f>
        <v>76.065120000000007</v>
      </c>
      <c r="CN44" s="33">
        <f>(100-Q44)/100*1.46</f>
        <v>1.32714</v>
      </c>
      <c r="FK44" s="33"/>
    </row>
    <row r="45" spans="1:167" ht="14" customHeight="1" x14ac:dyDescent="0.2">
      <c r="A45" s="15" t="s">
        <v>6663</v>
      </c>
      <c r="B45" s="1" t="s">
        <v>1001</v>
      </c>
      <c r="C45" s="1" t="s">
        <v>6301</v>
      </c>
      <c r="D45" s="1" t="s">
        <v>6448</v>
      </c>
      <c r="E45" s="1" t="s">
        <v>11</v>
      </c>
      <c r="F45" s="1" t="s">
        <v>6435</v>
      </c>
      <c r="H45" s="1" t="s">
        <v>6449</v>
      </c>
      <c r="J45" s="1" t="s">
        <v>6437</v>
      </c>
      <c r="L45" s="1" t="s">
        <v>6438</v>
      </c>
      <c r="M45" s="1" t="s">
        <v>6182</v>
      </c>
      <c r="N45" s="1">
        <v>1.1000000000000001</v>
      </c>
      <c r="O45" s="44">
        <f>(100-Q45)/100*1578</f>
        <v>1436.2955999999999</v>
      </c>
      <c r="P45" s="44">
        <f>(100-Q45)/100*377</f>
        <v>343.1454</v>
      </c>
      <c r="Q45" s="1">
        <v>8.98</v>
      </c>
      <c r="U45" s="33">
        <f>(100-Q45)/100*2.56</f>
        <v>2.3301120000000002</v>
      </c>
      <c r="W45" s="33"/>
      <c r="X45" s="6"/>
      <c r="AD45" s="6"/>
      <c r="AE45" s="33">
        <f>(100-Q45)/100*0.49</f>
        <v>0.44599800000000001</v>
      </c>
      <c r="AG45" s="33">
        <f>(100-Q45)/100*3.98</f>
        <v>3.6225960000000001</v>
      </c>
      <c r="AH45" s="6"/>
      <c r="AJ45" s="6"/>
      <c r="AP45" s="33">
        <f>(100-Q45)/100*1.75</f>
        <v>1.5928500000000001</v>
      </c>
      <c r="CM45" s="33">
        <f>(100-Q45)/100*84.18</f>
        <v>76.620636000000005</v>
      </c>
      <c r="CN45" s="33">
        <f>(100-Q45)/100*2.11</f>
        <v>1.9205219999999998</v>
      </c>
      <c r="FK45" s="33"/>
    </row>
    <row r="46" spans="1:167" ht="14" customHeight="1" x14ac:dyDescent="0.2">
      <c r="A46" s="15" t="s">
        <v>6664</v>
      </c>
      <c r="B46" s="1" t="s">
        <v>1001</v>
      </c>
      <c r="C46" s="1" t="s">
        <v>6450</v>
      </c>
      <c r="D46" s="1" t="s">
        <v>6451</v>
      </c>
      <c r="E46" s="1" t="s">
        <v>11</v>
      </c>
      <c r="F46" s="1" t="s">
        <v>6435</v>
      </c>
      <c r="H46" s="1" t="s">
        <v>6452</v>
      </c>
      <c r="J46" s="1" t="s">
        <v>6437</v>
      </c>
      <c r="L46" s="1" t="s">
        <v>6438</v>
      </c>
      <c r="M46" s="1" t="s">
        <v>6182</v>
      </c>
      <c r="N46" s="1">
        <v>1.1000000000000001</v>
      </c>
      <c r="O46" s="44">
        <f>(100-Q46)/100*1602</f>
        <v>1440.1980000000001</v>
      </c>
      <c r="P46" s="44">
        <f>(100-Q46)/100*383</f>
        <v>344.31700000000001</v>
      </c>
      <c r="Q46" s="33">
        <v>10.1</v>
      </c>
      <c r="U46" s="33">
        <f>(100-Q46)/100*3.68</f>
        <v>3.3083200000000001</v>
      </c>
      <c r="W46" s="33"/>
      <c r="X46" s="6"/>
      <c r="AD46" s="6"/>
      <c r="AE46" s="33">
        <f>(100-Q46)/100*0.57</f>
        <v>0.51242999999999994</v>
      </c>
      <c r="AG46" s="33">
        <f>(100-Q46)/100*3.87</f>
        <v>3.4791300000000001</v>
      </c>
      <c r="AH46" s="6"/>
      <c r="AJ46" s="6"/>
      <c r="AP46" s="33">
        <f>(100-Q46)/100*2.86</f>
        <v>2.5711399999999998</v>
      </c>
      <c r="CM46" s="33">
        <f>(100-Q46)/100*82.11</f>
        <v>73.816890000000001</v>
      </c>
      <c r="CN46" s="33">
        <f>(100-Q46)/100*1.26</f>
        <v>1.1327400000000001</v>
      </c>
      <c r="FK46" s="33"/>
    </row>
    <row r="47" spans="1:167" ht="14" customHeight="1" x14ac:dyDescent="0.2">
      <c r="A47" s="15" t="s">
        <v>6665</v>
      </c>
      <c r="B47" s="1" t="s">
        <v>1001</v>
      </c>
      <c r="C47" s="1" t="s">
        <v>6281</v>
      </c>
      <c r="D47" s="1" t="s">
        <v>6453</v>
      </c>
      <c r="E47" s="1" t="s">
        <v>11</v>
      </c>
      <c r="F47" s="1" t="s">
        <v>6435</v>
      </c>
      <c r="H47" s="1" t="s">
        <v>6454</v>
      </c>
      <c r="J47" s="1" t="s">
        <v>6437</v>
      </c>
      <c r="L47" s="1" t="s">
        <v>6438</v>
      </c>
      <c r="M47" s="1" t="s">
        <v>6182</v>
      </c>
      <c r="N47" s="1">
        <v>1.1000000000000001</v>
      </c>
      <c r="O47" s="44">
        <f>(100-Q47)/100*1510</f>
        <v>1352.809</v>
      </c>
      <c r="P47" s="44">
        <f>(100-Q47)/100*361</f>
        <v>323.41989999999998</v>
      </c>
      <c r="Q47" s="1">
        <v>10.41</v>
      </c>
      <c r="U47" s="33">
        <f>(100-Q47)/100*1.43</f>
        <v>1.281137</v>
      </c>
      <c r="W47" s="33"/>
      <c r="X47" s="6"/>
      <c r="AD47" s="6"/>
      <c r="AE47" s="33">
        <f>(100-Q47)/100*0.41</f>
        <v>0.36731900000000001</v>
      </c>
      <c r="AG47" s="33">
        <f>(100-Q47)/100*3.18</f>
        <v>2.8489620000000002</v>
      </c>
      <c r="AH47" s="6"/>
      <c r="AJ47" s="6"/>
      <c r="AP47" s="33">
        <f>(100-Q47)/100*1.57</f>
        <v>1.406563</v>
      </c>
      <c r="CM47" s="33">
        <f>(100-Q47)/100*88.69</f>
        <v>79.457370999999995</v>
      </c>
      <c r="CN47" s="33">
        <f>(100-Q47)/100*0.6</f>
        <v>0.53754000000000002</v>
      </c>
      <c r="FK47" s="33"/>
    </row>
    <row r="48" spans="1:167" ht="14" customHeight="1" x14ac:dyDescent="0.2">
      <c r="A48" s="15" t="s">
        <v>6666</v>
      </c>
      <c r="B48" s="1" t="s">
        <v>1001</v>
      </c>
      <c r="C48" s="1" t="s">
        <v>6455</v>
      </c>
      <c r="D48" s="1" t="s">
        <v>6456</v>
      </c>
      <c r="E48" s="1" t="s">
        <v>11</v>
      </c>
      <c r="F48" s="1" t="s">
        <v>6435</v>
      </c>
      <c r="H48" s="1" t="s">
        <v>6457</v>
      </c>
      <c r="J48" s="1" t="s">
        <v>6437</v>
      </c>
      <c r="L48" s="1" t="s">
        <v>6438</v>
      </c>
      <c r="M48" s="1" t="s">
        <v>6182</v>
      </c>
      <c r="N48" s="1">
        <v>1.1000000000000001</v>
      </c>
      <c r="O48" s="44">
        <f>(100-Q48)/100*1184</f>
        <v>1065.6000000000001</v>
      </c>
      <c r="P48" s="44">
        <f>(100-Q48)/100*283</f>
        <v>254.70000000000002</v>
      </c>
      <c r="Q48" s="33">
        <v>10</v>
      </c>
      <c r="U48" s="33">
        <f>(100-Q48)/100*1.14</f>
        <v>1.026</v>
      </c>
      <c r="W48" s="33"/>
      <c r="X48" s="6"/>
      <c r="AD48" s="6"/>
      <c r="AE48" s="33">
        <f>(100-Q48)/100*0.1</f>
        <v>9.0000000000000011E-2</v>
      </c>
      <c r="AG48" s="33">
        <f>(100-Q48)/100*12.68</f>
        <v>11.412000000000001</v>
      </c>
      <c r="AH48" s="6"/>
      <c r="AJ48" s="6"/>
      <c r="AP48" s="33">
        <f>(100-Q48)/100*5.36</f>
        <v>4.8240000000000007</v>
      </c>
      <c r="CM48" s="33">
        <f>(100-Q48)/100*71.18</f>
        <v>64.062000000000012</v>
      </c>
      <c r="CN48" s="33">
        <f>(100-Q48)/100*0.2</f>
        <v>0.18000000000000002</v>
      </c>
      <c r="FK48" s="33"/>
    </row>
    <row r="49" spans="1:173" ht="14" customHeight="1" x14ac:dyDescent="0.2">
      <c r="A49" s="15" t="s">
        <v>6667</v>
      </c>
      <c r="B49" s="1" t="s">
        <v>6426</v>
      </c>
      <c r="D49" s="1" t="s">
        <v>6427</v>
      </c>
      <c r="E49" s="1" t="s">
        <v>7</v>
      </c>
      <c r="F49" s="1" t="s">
        <v>6275</v>
      </c>
      <c r="I49" s="1">
        <v>1</v>
      </c>
      <c r="J49" s="1" t="s">
        <v>6458</v>
      </c>
      <c r="K49" s="1">
        <v>2006</v>
      </c>
      <c r="L49" s="1" t="s">
        <v>6459</v>
      </c>
      <c r="M49" s="1" t="s">
        <v>6182</v>
      </c>
      <c r="N49" s="1">
        <v>1.1000000000000001</v>
      </c>
      <c r="O49" s="33"/>
      <c r="P49" s="33"/>
      <c r="T49" s="33"/>
      <c r="U49" s="6"/>
      <c r="W49" s="33"/>
      <c r="X49" s="6"/>
      <c r="AD49" s="6"/>
      <c r="AH49" s="6"/>
      <c r="AJ49" s="6"/>
      <c r="AP49" s="6"/>
      <c r="BI49" s="1">
        <v>0</v>
      </c>
      <c r="BO49" s="17" t="s">
        <v>6460</v>
      </c>
      <c r="CB49" s="1">
        <v>0.04</v>
      </c>
      <c r="CC49" s="1">
        <v>0.02</v>
      </c>
      <c r="CE49" s="1">
        <v>0.4</v>
      </c>
      <c r="CI49" s="1">
        <v>36</v>
      </c>
      <c r="FI49" s="17"/>
      <c r="FK49" s="33"/>
    </row>
    <row r="50" spans="1:173" ht="14" customHeight="1" x14ac:dyDescent="0.2">
      <c r="A50" s="15" t="s">
        <v>6668</v>
      </c>
      <c r="B50" s="1" t="s">
        <v>6426</v>
      </c>
      <c r="D50" s="1" t="s">
        <v>6430</v>
      </c>
      <c r="E50" s="1" t="s">
        <v>11</v>
      </c>
      <c r="F50" s="1" t="s">
        <v>6275</v>
      </c>
      <c r="H50" s="1" t="s">
        <v>6431</v>
      </c>
      <c r="I50" s="1">
        <v>1</v>
      </c>
      <c r="J50" s="1" t="s">
        <v>6458</v>
      </c>
      <c r="K50" s="1">
        <v>2006</v>
      </c>
      <c r="L50" s="1" t="s">
        <v>6459</v>
      </c>
      <c r="M50" s="1" t="s">
        <v>6182</v>
      </c>
      <c r="N50" s="1">
        <v>1.1000000000000001</v>
      </c>
      <c r="O50" s="33"/>
      <c r="P50" s="33"/>
      <c r="T50" s="33"/>
      <c r="U50" s="6"/>
      <c r="W50" s="33"/>
      <c r="X50" s="6"/>
      <c r="AD50" s="6"/>
      <c r="AH50" s="6"/>
      <c r="AJ50" s="6"/>
      <c r="AP50" s="6"/>
      <c r="CB50" s="1">
        <v>0</v>
      </c>
      <c r="CC50" s="1">
        <v>0</v>
      </c>
      <c r="CE50" s="1">
        <v>0.4</v>
      </c>
      <c r="CI50" s="1">
        <v>31</v>
      </c>
      <c r="FI50" s="17"/>
      <c r="FK50" s="33"/>
    </row>
    <row r="51" spans="1:173" ht="14" customHeight="1" x14ac:dyDescent="0.2">
      <c r="A51" s="15" t="s">
        <v>6669</v>
      </c>
      <c r="B51" s="1" t="s">
        <v>6426</v>
      </c>
      <c r="D51" s="1" t="s">
        <v>6432</v>
      </c>
      <c r="E51" s="1" t="s">
        <v>11</v>
      </c>
      <c r="F51" s="1" t="s">
        <v>6275</v>
      </c>
      <c r="I51" s="1">
        <v>1</v>
      </c>
      <c r="J51" s="1" t="s">
        <v>6458</v>
      </c>
      <c r="K51" s="1">
        <v>2006</v>
      </c>
      <c r="L51" s="1" t="s">
        <v>6459</v>
      </c>
      <c r="M51" s="1" t="s">
        <v>6182</v>
      </c>
      <c r="N51" s="1">
        <v>1.1000000000000001</v>
      </c>
      <c r="P51" s="33"/>
      <c r="T51" s="33"/>
      <c r="U51" s="6"/>
      <c r="W51" s="33"/>
      <c r="X51" s="6"/>
      <c r="AE51" s="6"/>
      <c r="AI51" s="6"/>
      <c r="AK51" s="6"/>
      <c r="AQ51" s="6"/>
      <c r="CC51" s="1">
        <v>0.02</v>
      </c>
      <c r="CE51" s="17" t="s">
        <v>6461</v>
      </c>
      <c r="CF51" s="17"/>
      <c r="CG51" s="1">
        <v>0.3</v>
      </c>
      <c r="CJ51" s="1">
        <v>15</v>
      </c>
      <c r="FJ51" s="17"/>
      <c r="FL51" s="33"/>
      <c r="FQ51" s="33"/>
    </row>
    <row r="52" spans="1:173" ht="14" customHeight="1" x14ac:dyDescent="0.2">
      <c r="A52" s="15" t="s">
        <v>7527</v>
      </c>
      <c r="B52" s="1" t="s">
        <v>7360</v>
      </c>
      <c r="D52" s="1" t="s">
        <v>7367</v>
      </c>
      <c r="E52" s="1" t="s">
        <v>11</v>
      </c>
      <c r="H52" s="1" t="s">
        <v>7372</v>
      </c>
      <c r="K52" s="1">
        <v>2000</v>
      </c>
      <c r="L52" s="1" t="s">
        <v>7376</v>
      </c>
      <c r="M52" s="1" t="s">
        <v>6182</v>
      </c>
      <c r="N52" s="1">
        <v>1.1000000000000001</v>
      </c>
      <c r="O52" s="1">
        <v>14.2</v>
      </c>
      <c r="R52" s="1">
        <v>6.25</v>
      </c>
      <c r="T52" s="1">
        <v>2.2222199999999996</v>
      </c>
      <c r="AA52" s="1">
        <v>68.811599999999999</v>
      </c>
      <c r="AF52" s="1">
        <v>5.2852800000000002</v>
      </c>
      <c r="CI52" s="1">
        <v>9.0175799999999988</v>
      </c>
      <c r="FK52" s="1">
        <v>5.21</v>
      </c>
    </row>
    <row r="53" spans="1:173" ht="14" customHeight="1" x14ac:dyDescent="0.2">
      <c r="A53" s="15" t="s">
        <v>7528</v>
      </c>
      <c r="B53" s="1" t="s">
        <v>7361</v>
      </c>
      <c r="D53" s="1" t="s">
        <v>7367</v>
      </c>
      <c r="E53" s="1" t="s">
        <v>11</v>
      </c>
      <c r="H53" s="1" t="s">
        <v>7373</v>
      </c>
      <c r="K53" s="1">
        <v>2000</v>
      </c>
      <c r="L53" s="1" t="s">
        <v>7376</v>
      </c>
      <c r="M53" s="1" t="s">
        <v>6182</v>
      </c>
      <c r="N53" s="1">
        <v>1.1000000000000001</v>
      </c>
      <c r="O53" s="1">
        <v>13.59</v>
      </c>
      <c r="R53" s="1">
        <v>6.25</v>
      </c>
      <c r="T53" s="1">
        <v>1.9183020000000002</v>
      </c>
      <c r="AA53" s="1">
        <v>67.572620000000001</v>
      </c>
      <c r="AF53" s="1">
        <v>5.9968539999999999</v>
      </c>
      <c r="CI53" s="1">
        <v>7.2670810000000001</v>
      </c>
      <c r="FK53" s="1">
        <v>5.27</v>
      </c>
    </row>
    <row r="54" spans="1:173" ht="14" customHeight="1" x14ac:dyDescent="0.2">
      <c r="A54" s="15" t="s">
        <v>7529</v>
      </c>
      <c r="B54" s="1" t="s">
        <v>7362</v>
      </c>
      <c r="D54" s="1" t="s">
        <v>7368</v>
      </c>
      <c r="E54" s="1" t="s">
        <v>11</v>
      </c>
      <c r="K54" s="1">
        <v>2000</v>
      </c>
      <c r="L54" s="1" t="s">
        <v>7376</v>
      </c>
      <c r="M54" s="1" t="s">
        <v>6182</v>
      </c>
      <c r="N54" s="1">
        <v>1.1000000000000001</v>
      </c>
      <c r="O54" s="1">
        <v>13.67</v>
      </c>
      <c r="R54" s="1">
        <v>6.25</v>
      </c>
      <c r="T54" s="1">
        <v>0.63884199999999991</v>
      </c>
      <c r="AA54" s="1">
        <v>61.725949999999997</v>
      </c>
      <c r="AF54" s="1">
        <v>2.5899000000000001</v>
      </c>
      <c r="CI54" s="1">
        <v>5.4301569999999995</v>
      </c>
      <c r="FK54" s="1">
        <v>4.29</v>
      </c>
    </row>
    <row r="55" spans="1:173" ht="14" customHeight="1" x14ac:dyDescent="0.2">
      <c r="A55" s="15" t="s">
        <v>7530</v>
      </c>
      <c r="B55" s="1" t="s">
        <v>7363</v>
      </c>
      <c r="C55" s="1" t="s">
        <v>7365</v>
      </c>
      <c r="D55" s="1" t="s">
        <v>7369</v>
      </c>
      <c r="E55" s="1" t="s">
        <v>7</v>
      </c>
      <c r="F55" s="1" t="s">
        <v>7370</v>
      </c>
      <c r="H55" s="1" t="s">
        <v>7374</v>
      </c>
      <c r="I55" s="1">
        <v>3</v>
      </c>
      <c r="J55" s="1" t="s">
        <v>7375</v>
      </c>
      <c r="K55" s="1">
        <v>2014</v>
      </c>
      <c r="L55" s="1" t="s">
        <v>7377</v>
      </c>
      <c r="M55" s="1" t="s">
        <v>9749</v>
      </c>
      <c r="N55" s="1">
        <v>1.1000000000000001</v>
      </c>
      <c r="O55" s="1">
        <v>81.11</v>
      </c>
      <c r="U55" s="1">
        <v>0.54969900000000005</v>
      </c>
      <c r="W55" s="1">
        <v>0.62903699999999996</v>
      </c>
      <c r="AK55" s="1">
        <v>1.290187</v>
      </c>
      <c r="AP55" s="1">
        <v>0.18323300000000001</v>
      </c>
    </row>
    <row r="56" spans="1:173" ht="14" customHeight="1" x14ac:dyDescent="0.2">
      <c r="A56" s="15" t="s">
        <v>7531</v>
      </c>
      <c r="B56" s="1" t="s">
        <v>7364</v>
      </c>
      <c r="C56" s="1" t="s">
        <v>7366</v>
      </c>
      <c r="D56" s="1" t="s">
        <v>7371</v>
      </c>
      <c r="E56" s="1" t="s">
        <v>7</v>
      </c>
      <c r="F56" s="1" t="s">
        <v>7370</v>
      </c>
      <c r="H56" s="1" t="s">
        <v>7374</v>
      </c>
      <c r="I56" s="1">
        <v>3</v>
      </c>
      <c r="J56" s="1" t="s">
        <v>7375</v>
      </c>
      <c r="K56" s="1">
        <v>2014</v>
      </c>
      <c r="L56" s="1" t="s">
        <v>7377</v>
      </c>
      <c r="M56" s="1" t="s">
        <v>9749</v>
      </c>
      <c r="N56" s="1">
        <v>1.1000000000000001</v>
      </c>
      <c r="O56" s="1">
        <v>72.8</v>
      </c>
      <c r="U56" s="1">
        <v>1.2104000000000001</v>
      </c>
      <c r="W56" s="1">
        <v>0.72624000000000011</v>
      </c>
      <c r="AK56" s="1">
        <v>2.5132800000000004</v>
      </c>
      <c r="AP56" s="1">
        <v>0.89216000000000006</v>
      </c>
    </row>
  </sheetData>
  <pageMargins left="0.7" right="0.7" top="0.75" bottom="0.75" header="0.3" footer="0.3"/>
  <ignoredErrors>
    <ignoredError sqref="A45:A51" numberStoredAsText="1"/>
  </ignoredError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V558"/>
  <sheetViews>
    <sheetView zoomScale="130" zoomScaleNormal="130" zoomScalePageLayoutView="130" workbookViewId="0">
      <pane ySplit="1" topLeftCell="A2" activePane="bottomLeft" state="frozen"/>
      <selection activeCell="BX1" sqref="BX1"/>
      <selection pane="bottomLeft" activeCell="C4" sqref="C4"/>
    </sheetView>
  </sheetViews>
  <sheetFormatPr baseColWidth="10" defaultColWidth="11.5" defaultRowHeight="14" x14ac:dyDescent="0.2"/>
  <cols>
    <col min="1" max="3" width="11.5" style="1"/>
    <col min="4" max="4" width="41" style="1" customWidth="1"/>
    <col min="5" max="13" width="11.5" style="1"/>
    <col min="14" max="14" width="11.5" style="17"/>
    <col min="15" max="23" width="11.5" style="1"/>
    <col min="24" max="24" width="11.5" style="1" customWidth="1"/>
    <col min="25" max="59" width="11.5" style="1"/>
    <col min="60" max="60" width="12.5" style="1" customWidth="1"/>
    <col min="61" max="278" width="11.5" style="1"/>
    <col min="279" max="311" width="11.5" style="42"/>
    <col min="312" max="16384" width="11.5" style="1"/>
  </cols>
  <sheetData>
    <row r="1" spans="1:334" s="4" customFormat="1" ht="30.5" customHeight="1" x14ac:dyDescent="0.15">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243</v>
      </c>
      <c r="P1" s="4" t="s">
        <v>244</v>
      </c>
      <c r="Q1" s="4" t="s">
        <v>6774</v>
      </c>
      <c r="R1" s="4" t="s">
        <v>1069</v>
      </c>
      <c r="S1" s="4" t="s">
        <v>73</v>
      </c>
      <c r="T1" s="4" t="s">
        <v>245</v>
      </c>
      <c r="U1" s="4" t="s">
        <v>74</v>
      </c>
      <c r="V1" s="4" t="s">
        <v>1070</v>
      </c>
      <c r="W1" s="4" t="s">
        <v>7023</v>
      </c>
      <c r="X1" s="4" t="s">
        <v>7701</v>
      </c>
      <c r="Y1" s="4" t="s">
        <v>6985</v>
      </c>
      <c r="Z1" s="4" t="s">
        <v>6193</v>
      </c>
      <c r="AA1" s="4" t="s">
        <v>246</v>
      </c>
      <c r="AB1" s="4" t="s">
        <v>1072</v>
      </c>
      <c r="AC1" s="4" t="s">
        <v>76</v>
      </c>
      <c r="AD1" s="4" t="s">
        <v>77</v>
      </c>
      <c r="AE1" s="4" t="s">
        <v>79</v>
      </c>
      <c r="AF1" s="4" t="s">
        <v>6195</v>
      </c>
      <c r="AG1" s="4" t="s">
        <v>7702</v>
      </c>
      <c r="AH1" s="4" t="s">
        <v>6194</v>
      </c>
      <c r="AI1" s="4" t="s">
        <v>6989</v>
      </c>
      <c r="AJ1" s="4" t="s">
        <v>247</v>
      </c>
      <c r="AK1" s="4" t="s">
        <v>7703</v>
      </c>
      <c r="AL1" s="4" t="s">
        <v>81</v>
      </c>
      <c r="AM1" s="4" t="s">
        <v>6196</v>
      </c>
      <c r="AN1" s="4" t="s">
        <v>7029</v>
      </c>
      <c r="AO1" s="4" t="s">
        <v>7704</v>
      </c>
      <c r="AP1" s="4" t="s">
        <v>6197</v>
      </c>
      <c r="AQ1" s="4" t="s">
        <v>6243</v>
      </c>
      <c r="AR1" s="4" t="s">
        <v>7705</v>
      </c>
      <c r="AS1" s="4" t="s">
        <v>6992</v>
      </c>
      <c r="AT1" s="4" t="s">
        <v>7418</v>
      </c>
      <c r="AU1" s="4" t="s">
        <v>7421</v>
      </c>
      <c r="AV1" s="4" t="s">
        <v>248</v>
      </c>
      <c r="AW1" s="4" t="s">
        <v>7030</v>
      </c>
      <c r="AX1" s="4" t="s">
        <v>6198</v>
      </c>
      <c r="AY1" s="4" t="s">
        <v>6199</v>
      </c>
      <c r="AZ1" s="4" t="s">
        <v>7706</v>
      </c>
      <c r="BA1" s="4" t="s">
        <v>7707</v>
      </c>
      <c r="BB1" s="4" t="s">
        <v>6200</v>
      </c>
      <c r="BC1" s="4" t="s">
        <v>6202</v>
      </c>
      <c r="BD1" s="4" t="s">
        <v>6201</v>
      </c>
      <c r="BE1" s="4" t="s">
        <v>82</v>
      </c>
      <c r="BF1" s="4" t="s">
        <v>83</v>
      </c>
      <c r="BG1" s="4" t="s">
        <v>6203</v>
      </c>
      <c r="BH1" s="4" t="s">
        <v>6204</v>
      </c>
      <c r="BI1" s="4" t="s">
        <v>7708</v>
      </c>
      <c r="BJ1" s="4" t="s">
        <v>7709</v>
      </c>
      <c r="BK1" s="4" t="s">
        <v>7710</v>
      </c>
      <c r="BL1" s="4" t="s">
        <v>7711</v>
      </c>
      <c r="BM1" s="4" t="s">
        <v>7712</v>
      </c>
      <c r="BN1" s="4" t="s">
        <v>7713</v>
      </c>
      <c r="BO1" s="4" t="s">
        <v>7714</v>
      </c>
      <c r="BP1" s="4" t="s">
        <v>7715</v>
      </c>
      <c r="BQ1" s="4" t="s">
        <v>6205</v>
      </c>
      <c r="BR1" s="4" t="s">
        <v>6245</v>
      </c>
      <c r="BS1" s="4" t="s">
        <v>6246</v>
      </c>
      <c r="BT1" s="4" t="s">
        <v>96</v>
      </c>
      <c r="BU1" s="4" t="s">
        <v>7716</v>
      </c>
      <c r="BV1" s="4" t="s">
        <v>97</v>
      </c>
      <c r="BW1" s="4" t="s">
        <v>7717</v>
      </c>
      <c r="BX1" s="4" t="s">
        <v>7202</v>
      </c>
      <c r="BY1" s="4" t="s">
        <v>7718</v>
      </c>
      <c r="BZ1" s="4" t="s">
        <v>7719</v>
      </c>
      <c r="CA1" s="4" t="s">
        <v>1114</v>
      </c>
      <c r="CB1" s="4" t="s">
        <v>7720</v>
      </c>
      <c r="CC1" s="4" t="s">
        <v>7721</v>
      </c>
      <c r="CD1" s="4" t="s">
        <v>7722</v>
      </c>
      <c r="CE1" s="4" t="s">
        <v>100</v>
      </c>
      <c r="CF1" s="4" t="s">
        <v>7723</v>
      </c>
      <c r="CG1" s="4" t="s">
        <v>7724</v>
      </c>
      <c r="CH1" s="4" t="s">
        <v>7725</v>
      </c>
      <c r="CI1" s="4" t="s">
        <v>98</v>
      </c>
      <c r="CJ1" s="4" t="s">
        <v>7726</v>
      </c>
      <c r="CK1" s="4" t="s">
        <v>101</v>
      </c>
      <c r="CL1" s="4" t="s">
        <v>7005</v>
      </c>
      <c r="CM1" s="4" t="s">
        <v>7727</v>
      </c>
      <c r="CN1" s="4" t="s">
        <v>7728</v>
      </c>
      <c r="CO1" s="4" t="s">
        <v>84</v>
      </c>
      <c r="CP1" s="4" t="s">
        <v>85</v>
      </c>
      <c r="CQ1" s="4" t="s">
        <v>1081</v>
      </c>
      <c r="CR1" s="4" t="s">
        <v>86</v>
      </c>
      <c r="CS1" s="4" t="s">
        <v>87</v>
      </c>
      <c r="CT1" s="4" t="s">
        <v>7729</v>
      </c>
      <c r="CU1" s="4" t="s">
        <v>88</v>
      </c>
      <c r="CV1" s="4" t="s">
        <v>89</v>
      </c>
      <c r="CW1" s="4" t="s">
        <v>251</v>
      </c>
      <c r="CX1" s="4" t="s">
        <v>90</v>
      </c>
      <c r="CY1" s="4" t="s">
        <v>91</v>
      </c>
      <c r="CZ1" s="4" t="s">
        <v>1089</v>
      </c>
      <c r="DA1" s="4" t="s">
        <v>92</v>
      </c>
      <c r="DB1" s="4" t="s">
        <v>7730</v>
      </c>
      <c r="DC1" s="4" t="s">
        <v>1092</v>
      </c>
      <c r="DD1" s="4" t="s">
        <v>1093</v>
      </c>
      <c r="DE1" s="4" t="s">
        <v>250</v>
      </c>
      <c r="DF1" s="4" t="s">
        <v>1082</v>
      </c>
      <c r="DG1" s="4" t="s">
        <v>7119</v>
      </c>
      <c r="DH1" s="4" t="s">
        <v>1084</v>
      </c>
      <c r="DI1" s="4" t="s">
        <v>1086</v>
      </c>
      <c r="DJ1" s="4" t="s">
        <v>252</v>
      </c>
      <c r="DK1" s="4" t="s">
        <v>7042</v>
      </c>
      <c r="DL1" s="4" t="s">
        <v>1079</v>
      </c>
      <c r="DM1" s="4" t="s">
        <v>1088</v>
      </c>
      <c r="DN1" s="4" t="s">
        <v>1096</v>
      </c>
      <c r="DO1" s="4" t="s">
        <v>6835</v>
      </c>
      <c r="DP1" s="4" t="s">
        <v>93</v>
      </c>
      <c r="DQ1" s="4" t="s">
        <v>6588</v>
      </c>
      <c r="DR1" s="4" t="s">
        <v>94</v>
      </c>
      <c r="DS1" s="4" t="s">
        <v>1106</v>
      </c>
      <c r="DT1" s="4" t="s">
        <v>6247</v>
      </c>
      <c r="DU1" s="4" t="s">
        <v>6832</v>
      </c>
      <c r="DV1" s="4" t="s">
        <v>95</v>
      </c>
      <c r="DW1" s="4" t="s">
        <v>1107</v>
      </c>
      <c r="DX1" s="4" t="s">
        <v>1108</v>
      </c>
      <c r="DY1" s="4" t="s">
        <v>6592</v>
      </c>
      <c r="DZ1" s="4" t="s">
        <v>1109</v>
      </c>
      <c r="EA1" s="4" t="s">
        <v>1113</v>
      </c>
      <c r="EB1" s="4" t="s">
        <v>7731</v>
      </c>
      <c r="EC1" s="4" t="s">
        <v>262</v>
      </c>
      <c r="ED1" s="4" t="s">
        <v>7732</v>
      </c>
      <c r="EE1" s="4" t="s">
        <v>265</v>
      </c>
      <c r="EF1" s="4" t="s">
        <v>1112</v>
      </c>
      <c r="EG1" s="4" t="s">
        <v>7196</v>
      </c>
      <c r="EH1" s="4" t="s">
        <v>261</v>
      </c>
      <c r="EI1" s="4" t="s">
        <v>7190</v>
      </c>
      <c r="EJ1" s="4" t="s">
        <v>7733</v>
      </c>
      <c r="EK1" s="4" t="s">
        <v>7193</v>
      </c>
      <c r="EL1" s="4" t="s">
        <v>7194</v>
      </c>
      <c r="EM1" s="4" t="s">
        <v>7734</v>
      </c>
      <c r="EN1" s="4" t="s">
        <v>7735</v>
      </c>
      <c r="EO1" s="4" t="s">
        <v>7736</v>
      </c>
      <c r="EP1" s="4" t="s">
        <v>7737</v>
      </c>
      <c r="EQ1" s="4" t="s">
        <v>7738</v>
      </c>
      <c r="ER1" s="4" t="s">
        <v>7739</v>
      </c>
      <c r="ES1" s="4" t="s">
        <v>7740</v>
      </c>
      <c r="ET1" s="4" t="s">
        <v>254</v>
      </c>
      <c r="EU1" s="4" t="s">
        <v>253</v>
      </c>
      <c r="EV1" s="4" t="s">
        <v>1098</v>
      </c>
      <c r="EW1" s="4" t="s">
        <v>7741</v>
      </c>
      <c r="EX1" s="4" t="s">
        <v>255</v>
      </c>
      <c r="EY1" s="4" t="s">
        <v>1101</v>
      </c>
      <c r="EZ1" s="4" t="s">
        <v>256</v>
      </c>
      <c r="FA1" s="4" t="s">
        <v>6211</v>
      </c>
      <c r="FB1" s="4" t="s">
        <v>7158</v>
      </c>
      <c r="FC1" s="4" t="s">
        <v>258</v>
      </c>
      <c r="FD1" s="4" t="s">
        <v>6214</v>
      </c>
      <c r="FE1" s="4" t="s">
        <v>6215</v>
      </c>
      <c r="FF1" s="4" t="s">
        <v>7742</v>
      </c>
      <c r="FG1" s="4" t="s">
        <v>259</v>
      </c>
      <c r="FH1" s="4" t="s">
        <v>260</v>
      </c>
      <c r="FI1" s="4" t="s">
        <v>6216</v>
      </c>
      <c r="FJ1" s="4" t="s">
        <v>7171</v>
      </c>
      <c r="FK1" s="4" t="s">
        <v>7172</v>
      </c>
      <c r="FL1" s="4" t="s">
        <v>6583</v>
      </c>
      <c r="FM1" s="4" t="s">
        <v>6217</v>
      </c>
      <c r="FN1" s="4" t="s">
        <v>1104</v>
      </c>
      <c r="FO1" s="4" t="s">
        <v>1105</v>
      </c>
      <c r="FP1" s="4" t="s">
        <v>7178</v>
      </c>
      <c r="FQ1" s="4" t="s">
        <v>7057</v>
      </c>
      <c r="FR1" s="4" t="s">
        <v>7056</v>
      </c>
      <c r="FS1" s="4" t="s">
        <v>7743</v>
      </c>
      <c r="FT1" s="4" t="s">
        <v>7058</v>
      </c>
      <c r="FU1" s="4" t="s">
        <v>7744</v>
      </c>
      <c r="FV1" s="4" t="s">
        <v>7059</v>
      </c>
      <c r="FW1" s="4" t="s">
        <v>7745</v>
      </c>
      <c r="FX1" s="4" t="s">
        <v>7567</v>
      </c>
      <c r="FY1" s="4" t="s">
        <v>1127</v>
      </c>
      <c r="FZ1" s="4" t="s">
        <v>7746</v>
      </c>
      <c r="GA1" s="4" t="s">
        <v>5155</v>
      </c>
      <c r="GB1" s="4" t="s">
        <v>106</v>
      </c>
      <c r="GC1" s="4" t="s">
        <v>1125</v>
      </c>
      <c r="GD1" s="4" t="s">
        <v>1073</v>
      </c>
      <c r="GE1" s="4" t="s">
        <v>1074</v>
      </c>
      <c r="GF1" s="4" t="s">
        <v>1075</v>
      </c>
      <c r="GG1" s="4" t="s">
        <v>1076</v>
      </c>
      <c r="GH1" s="4" t="s">
        <v>78</v>
      </c>
      <c r="GI1" s="4" t="s">
        <v>7747</v>
      </c>
      <c r="GJ1" s="4" t="s">
        <v>5159</v>
      </c>
      <c r="GK1" s="4" t="s">
        <v>5160</v>
      </c>
      <c r="GL1" s="4" t="s">
        <v>7748</v>
      </c>
      <c r="GM1" s="4" t="s">
        <v>5156</v>
      </c>
      <c r="GN1" s="4" t="s">
        <v>5157</v>
      </c>
      <c r="GO1" s="4" t="s">
        <v>5161</v>
      </c>
      <c r="GP1" s="4" t="s">
        <v>5162</v>
      </c>
      <c r="GQ1" s="4" t="s">
        <v>5163</v>
      </c>
      <c r="GR1" s="4" t="s">
        <v>5165</v>
      </c>
      <c r="GS1" s="4" t="s">
        <v>5166</v>
      </c>
      <c r="GT1" s="4" t="s">
        <v>113</v>
      </c>
      <c r="GU1" s="4" t="s">
        <v>112</v>
      </c>
      <c r="GV1" s="4" t="s">
        <v>114</v>
      </c>
      <c r="GW1" s="4" t="s">
        <v>115</v>
      </c>
      <c r="GX1" s="4" t="s">
        <v>116</v>
      </c>
      <c r="GY1" s="4" t="s">
        <v>117</v>
      </c>
      <c r="GZ1" s="4" t="s">
        <v>118</v>
      </c>
      <c r="HA1" s="4" t="s">
        <v>119</v>
      </c>
      <c r="HB1" s="4" t="s">
        <v>120</v>
      </c>
      <c r="HC1" s="4" t="s">
        <v>121</v>
      </c>
      <c r="HD1" s="4" t="s">
        <v>5174</v>
      </c>
      <c r="HE1" s="4" t="s">
        <v>122</v>
      </c>
      <c r="HF1" s="4" t="s">
        <v>7749</v>
      </c>
      <c r="HG1" s="4" t="s">
        <v>5180</v>
      </c>
      <c r="HH1" s="4" t="s">
        <v>7750</v>
      </c>
      <c r="HI1" s="4" t="s">
        <v>7751</v>
      </c>
      <c r="HJ1" s="4" t="s">
        <v>7752</v>
      </c>
      <c r="HK1" s="4" t="s">
        <v>123</v>
      </c>
      <c r="HL1" s="4" t="s">
        <v>7753</v>
      </c>
      <c r="HM1" s="4" t="s">
        <v>7754</v>
      </c>
      <c r="HN1" s="4" t="s">
        <v>6841</v>
      </c>
      <c r="HO1" s="4" t="s">
        <v>5187</v>
      </c>
      <c r="HP1" s="4" t="s">
        <v>5192</v>
      </c>
      <c r="HQ1" s="4" t="s">
        <v>7755</v>
      </c>
      <c r="HR1" s="4" t="s">
        <v>124</v>
      </c>
      <c r="HS1" s="4" t="s">
        <v>5199</v>
      </c>
      <c r="HT1" s="4" t="s">
        <v>5197</v>
      </c>
      <c r="HU1" s="4" t="s">
        <v>5195</v>
      </c>
      <c r="HV1" s="4" t="s">
        <v>7756</v>
      </c>
      <c r="HW1" s="4" t="s">
        <v>5196</v>
      </c>
      <c r="HX1" s="4" t="s">
        <v>5201</v>
      </c>
      <c r="HY1" s="4" t="s">
        <v>5193</v>
      </c>
      <c r="HZ1" s="4" t="s">
        <v>125</v>
      </c>
      <c r="IA1" s="4" t="s">
        <v>5208</v>
      </c>
      <c r="IB1" s="4" t="s">
        <v>5206</v>
      </c>
      <c r="IC1" s="4" t="s">
        <v>5205</v>
      </c>
      <c r="ID1" s="4" t="s">
        <v>6854</v>
      </c>
      <c r="IE1" s="4" t="s">
        <v>7757</v>
      </c>
      <c r="IF1" s="4" t="s">
        <v>126</v>
      </c>
      <c r="IG1" s="4" t="s">
        <v>5211</v>
      </c>
      <c r="IH1" s="4" t="s">
        <v>7758</v>
      </c>
      <c r="II1" s="4" t="s">
        <v>7759</v>
      </c>
      <c r="IJ1" s="4" t="s">
        <v>5213</v>
      </c>
      <c r="IK1" s="4" t="s">
        <v>127</v>
      </c>
      <c r="IL1" s="4" t="s">
        <v>7760</v>
      </c>
      <c r="IM1" s="4" t="s">
        <v>5216</v>
      </c>
      <c r="IN1" s="4" t="s">
        <v>129</v>
      </c>
      <c r="IO1" s="4" t="s">
        <v>6858</v>
      </c>
      <c r="IP1" s="4" t="s">
        <v>5218</v>
      </c>
      <c r="IQ1" s="4" t="s">
        <v>5223</v>
      </c>
      <c r="IR1" s="4" t="s">
        <v>5220</v>
      </c>
      <c r="IS1" s="4" t="s">
        <v>5217</v>
      </c>
      <c r="IT1" s="4" t="s">
        <v>5219</v>
      </c>
      <c r="IU1" s="4" t="s">
        <v>130</v>
      </c>
      <c r="IV1" s="4" t="s">
        <v>5225</v>
      </c>
      <c r="IW1" s="4" t="s">
        <v>5227</v>
      </c>
      <c r="IX1" s="4" t="s">
        <v>7761</v>
      </c>
      <c r="IY1" s="4" t="s">
        <v>131</v>
      </c>
      <c r="IZ1" s="4" t="s">
        <v>5227</v>
      </c>
      <c r="JA1" s="4" t="s">
        <v>132</v>
      </c>
      <c r="JB1" s="4" t="s">
        <v>5237</v>
      </c>
      <c r="JC1" s="4" t="s">
        <v>5233</v>
      </c>
      <c r="JD1" s="4" t="s">
        <v>5236</v>
      </c>
      <c r="JE1" s="4" t="s">
        <v>5235</v>
      </c>
      <c r="JF1" s="4" t="s">
        <v>5240</v>
      </c>
      <c r="JG1" s="4" t="s">
        <v>5239</v>
      </c>
      <c r="JH1" s="4" t="s">
        <v>5248</v>
      </c>
      <c r="JI1" s="4" t="s">
        <v>5252</v>
      </c>
      <c r="JJ1" s="4" t="s">
        <v>5255</v>
      </c>
      <c r="JK1" s="4" t="s">
        <v>5258</v>
      </c>
      <c r="JL1" s="4" t="s">
        <v>5261</v>
      </c>
      <c r="JM1" s="4" t="s">
        <v>5264</v>
      </c>
      <c r="JN1" s="4" t="s">
        <v>5267</v>
      </c>
      <c r="JO1" s="4" t="s">
        <v>7762</v>
      </c>
      <c r="JP1" s="4" t="s">
        <v>6228</v>
      </c>
      <c r="JQ1" s="4" t="s">
        <v>6220</v>
      </c>
      <c r="JR1" s="4" t="s">
        <v>7763</v>
      </c>
      <c r="JS1" s="40" t="s">
        <v>7764</v>
      </c>
      <c r="JT1" s="40" t="s">
        <v>7765</v>
      </c>
      <c r="JU1" s="40" t="s">
        <v>133</v>
      </c>
      <c r="JV1" s="40" t="s">
        <v>134</v>
      </c>
      <c r="JW1" s="40" t="s">
        <v>135</v>
      </c>
      <c r="JX1" s="40" t="s">
        <v>267</v>
      </c>
      <c r="JY1" s="40" t="s">
        <v>136</v>
      </c>
      <c r="JZ1" s="40" t="s">
        <v>6867</v>
      </c>
      <c r="KA1" s="40" t="s">
        <v>1118</v>
      </c>
      <c r="KB1" s="40" t="s">
        <v>137</v>
      </c>
      <c r="KC1" s="40" t="s">
        <v>138</v>
      </c>
      <c r="KD1" s="40" t="s">
        <v>139</v>
      </c>
      <c r="KE1" s="40" t="s">
        <v>140</v>
      </c>
      <c r="KF1" s="40" t="s">
        <v>141</v>
      </c>
      <c r="KG1" s="40" t="s">
        <v>142</v>
      </c>
      <c r="KH1" s="40" t="s">
        <v>143</v>
      </c>
      <c r="KI1" s="40" t="s">
        <v>6868</v>
      </c>
      <c r="KJ1" s="40" t="s">
        <v>144</v>
      </c>
      <c r="KK1" s="40" t="s">
        <v>145</v>
      </c>
      <c r="KL1" s="40" t="s">
        <v>146</v>
      </c>
      <c r="KM1" s="40" t="s">
        <v>1121</v>
      </c>
      <c r="KN1" s="40" t="s">
        <v>147</v>
      </c>
      <c r="KO1" s="40" t="s">
        <v>148</v>
      </c>
      <c r="KP1" s="40" t="s">
        <v>149</v>
      </c>
      <c r="KQ1" s="40" t="s">
        <v>150</v>
      </c>
      <c r="KR1" s="40" t="s">
        <v>7209</v>
      </c>
      <c r="KS1" s="40" t="s">
        <v>6869</v>
      </c>
      <c r="KT1" s="40" t="s">
        <v>7766</v>
      </c>
      <c r="KU1" s="40" t="s">
        <v>1115</v>
      </c>
      <c r="KV1" s="40" t="s">
        <v>1117</v>
      </c>
      <c r="KW1" s="40" t="s">
        <v>151</v>
      </c>
      <c r="KX1" s="40" t="s">
        <v>1124</v>
      </c>
      <c r="KY1" s="40" t="s">
        <v>1116</v>
      </c>
      <c r="KZ1" s="4" t="s">
        <v>7665</v>
      </c>
      <c r="LA1" s="4" t="s">
        <v>7666</v>
      </c>
      <c r="LB1" s="4" t="s">
        <v>7667</v>
      </c>
      <c r="LC1" s="4" t="s">
        <v>7668</v>
      </c>
      <c r="LD1" s="4" t="s">
        <v>7669</v>
      </c>
      <c r="LE1" s="4" t="s">
        <v>7670</v>
      </c>
      <c r="LF1" s="4" t="s">
        <v>7671</v>
      </c>
      <c r="LG1" s="4" t="s">
        <v>7672</v>
      </c>
      <c r="LH1" s="4" t="s">
        <v>7673</v>
      </c>
      <c r="LI1" s="4" t="s">
        <v>7674</v>
      </c>
      <c r="LJ1" s="4" t="s">
        <v>7675</v>
      </c>
      <c r="LK1" s="4" t="s">
        <v>7676</v>
      </c>
      <c r="LL1" s="4" t="s">
        <v>7677</v>
      </c>
      <c r="LM1" s="4" t="s">
        <v>7678</v>
      </c>
      <c r="LN1" s="4" t="s">
        <v>7679</v>
      </c>
      <c r="LO1" s="4" t="s">
        <v>7680</v>
      </c>
      <c r="LP1" s="4" t="s">
        <v>272</v>
      </c>
      <c r="LQ1" s="4" t="s">
        <v>9739</v>
      </c>
      <c r="LR1" s="4" t="s">
        <v>9740</v>
      </c>
      <c r="LS1" s="4" t="s">
        <v>9741</v>
      </c>
      <c r="LT1" s="4" t="s">
        <v>9742</v>
      </c>
      <c r="LU1" s="4" t="s">
        <v>7221</v>
      </c>
      <c r="LV1" s="4" t="s">
        <v>273</v>
      </c>
    </row>
    <row r="2" spans="1:334" s="21" customFormat="1" ht="32.5" customHeight="1" x14ac:dyDescent="0.15">
      <c r="A2" s="5"/>
      <c r="B2" s="5" t="s">
        <v>152</v>
      </c>
      <c r="C2" s="5"/>
      <c r="D2" s="5"/>
      <c r="E2" s="5" t="s">
        <v>153</v>
      </c>
      <c r="F2" s="5"/>
      <c r="G2" s="5" t="s">
        <v>154</v>
      </c>
      <c r="H2" s="5" t="s">
        <v>155</v>
      </c>
      <c r="I2" s="5" t="s">
        <v>14</v>
      </c>
      <c r="J2" s="5"/>
      <c r="K2" s="5"/>
      <c r="L2" s="5"/>
      <c r="M2" s="5"/>
      <c r="N2" s="36"/>
      <c r="O2" s="5" t="s">
        <v>6689</v>
      </c>
      <c r="P2" s="5" t="s">
        <v>6689</v>
      </c>
      <c r="Q2" s="5" t="s">
        <v>6776</v>
      </c>
      <c r="R2" s="5" t="s">
        <v>6776</v>
      </c>
      <c r="S2" s="5" t="s">
        <v>6690</v>
      </c>
      <c r="T2" s="5" t="s">
        <v>7767</v>
      </c>
      <c r="U2" s="5" t="s">
        <v>276</v>
      </c>
      <c r="V2" s="5" t="s">
        <v>7768</v>
      </c>
      <c r="W2" s="5" t="s">
        <v>7769</v>
      </c>
      <c r="X2" s="5" t="s">
        <v>7770</v>
      </c>
      <c r="Y2" s="5" t="s">
        <v>7771</v>
      </c>
      <c r="Z2" s="5" t="s">
        <v>6691</v>
      </c>
      <c r="AA2" s="5" t="s">
        <v>6692</v>
      </c>
      <c r="AB2" s="5" t="s">
        <v>6693</v>
      </c>
      <c r="AC2" s="5" t="s">
        <v>6694</v>
      </c>
      <c r="AD2" s="5" t="s">
        <v>6695</v>
      </c>
      <c r="AE2" s="5" t="s">
        <v>6696</v>
      </c>
      <c r="AF2" s="5" t="s">
        <v>6697</v>
      </c>
      <c r="AG2" s="5" t="s">
        <v>7772</v>
      </c>
      <c r="AH2" s="5" t="s">
        <v>7773</v>
      </c>
      <c r="AI2" s="5" t="s">
        <v>7774</v>
      </c>
      <c r="AJ2" s="5" t="s">
        <v>6782</v>
      </c>
      <c r="AK2" s="5" t="s">
        <v>7775</v>
      </c>
      <c r="AL2" s="5" t="s">
        <v>6722</v>
      </c>
      <c r="AM2" s="5" t="s">
        <v>7588</v>
      </c>
      <c r="AN2" s="5" t="s">
        <v>7776</v>
      </c>
      <c r="AO2" s="5" t="s">
        <v>7777</v>
      </c>
      <c r="AP2" s="5" t="s">
        <v>7778</v>
      </c>
      <c r="AQ2" s="5" t="s">
        <v>7779</v>
      </c>
      <c r="AR2" s="5" t="s">
        <v>6699</v>
      </c>
      <c r="AS2" s="5" t="s">
        <v>6993</v>
      </c>
      <c r="AT2" s="5" t="s">
        <v>7780</v>
      </c>
      <c r="AU2" s="5" t="s">
        <v>7781</v>
      </c>
      <c r="AV2" s="5" t="s">
        <v>7782</v>
      </c>
      <c r="AW2" s="5" t="s">
        <v>7783</v>
      </c>
      <c r="AX2" s="5" t="s">
        <v>6991</v>
      </c>
      <c r="AY2" s="5" t="s">
        <v>7784</v>
      </c>
      <c r="AZ2" s="5" t="s">
        <v>7785</v>
      </c>
      <c r="BA2" s="5" t="s">
        <v>7786</v>
      </c>
      <c r="BB2" s="5" t="s">
        <v>6784</v>
      </c>
      <c r="BC2" s="5" t="s">
        <v>6770</v>
      </c>
      <c r="BD2" s="5" t="s">
        <v>6785</v>
      </c>
      <c r="BE2" s="5" t="s">
        <v>6700</v>
      </c>
      <c r="BF2" s="5" t="s">
        <v>6786</v>
      </c>
      <c r="BG2" s="5" t="s">
        <v>6994</v>
      </c>
      <c r="BH2" s="5" t="s">
        <v>6995</v>
      </c>
      <c r="BI2" s="5" t="s">
        <v>7787</v>
      </c>
      <c r="BJ2" s="5" t="s">
        <v>7788</v>
      </c>
      <c r="BK2" s="5" t="s">
        <v>7789</v>
      </c>
      <c r="BL2" s="5" t="s">
        <v>7790</v>
      </c>
      <c r="BM2" s="5" t="s">
        <v>7791</v>
      </c>
      <c r="BN2" s="5" t="s">
        <v>7792</v>
      </c>
      <c r="BO2" s="5" t="s">
        <v>7793</v>
      </c>
      <c r="BP2" s="5" t="s">
        <v>7794</v>
      </c>
      <c r="BQ2" s="5" t="s">
        <v>6996</v>
      </c>
      <c r="BR2" s="5" t="s">
        <v>6788</v>
      </c>
      <c r="BS2" s="5" t="s">
        <v>6997</v>
      </c>
      <c r="BT2" s="5" t="s">
        <v>6715</v>
      </c>
      <c r="BU2" s="5" t="s">
        <v>7795</v>
      </c>
      <c r="BV2" s="5" t="s">
        <v>6723</v>
      </c>
      <c r="BW2" s="5" t="s">
        <v>7796</v>
      </c>
      <c r="BX2" s="5" t="s">
        <v>7797</v>
      </c>
      <c r="BY2" s="5" t="s">
        <v>7798</v>
      </c>
      <c r="BZ2" s="21" t="s">
        <v>7799</v>
      </c>
      <c r="CA2" s="21" t="s">
        <v>7045</v>
      </c>
      <c r="CB2" s="21" t="s">
        <v>7800</v>
      </c>
      <c r="CC2" s="21" t="s">
        <v>7801</v>
      </c>
      <c r="CD2" s="21" t="s">
        <v>7802</v>
      </c>
      <c r="CE2" s="21" t="s">
        <v>184</v>
      </c>
      <c r="CF2" s="21" t="s">
        <v>7803</v>
      </c>
      <c r="CG2" s="21" t="s">
        <v>7804</v>
      </c>
      <c r="CH2" s="21" t="s">
        <v>7805</v>
      </c>
      <c r="CI2" s="21" t="s">
        <v>182</v>
      </c>
      <c r="CJ2" s="22" t="s">
        <v>7806</v>
      </c>
      <c r="CK2" s="22" t="s">
        <v>6727</v>
      </c>
      <c r="CL2" s="22" t="s">
        <v>7007</v>
      </c>
      <c r="CM2" s="22" t="s">
        <v>7807</v>
      </c>
      <c r="CN2" s="22" t="s">
        <v>7808</v>
      </c>
      <c r="CO2" s="22" t="s">
        <v>6701</v>
      </c>
      <c r="CP2" s="22" t="s">
        <v>6702</v>
      </c>
      <c r="CQ2" s="22" t="s">
        <v>7809</v>
      </c>
      <c r="CR2" s="22" t="s">
        <v>6703</v>
      </c>
      <c r="CS2" s="22" t="s">
        <v>6704</v>
      </c>
      <c r="CT2" s="22" t="s">
        <v>6792</v>
      </c>
      <c r="CU2" s="22" t="s">
        <v>6705</v>
      </c>
      <c r="CV2" s="22" t="s">
        <v>6706</v>
      </c>
      <c r="CW2" s="22" t="s">
        <v>6707</v>
      </c>
      <c r="CX2" s="22" t="s">
        <v>6708</v>
      </c>
      <c r="CY2" s="22" t="s">
        <v>6709</v>
      </c>
      <c r="CZ2" s="22" t="s">
        <v>6797</v>
      </c>
      <c r="DA2" s="22" t="s">
        <v>6710</v>
      </c>
      <c r="DB2" s="22" t="s">
        <v>7810</v>
      </c>
      <c r="DC2" s="5" t="s">
        <v>6799</v>
      </c>
      <c r="DD2" s="5" t="s">
        <v>6801</v>
      </c>
      <c r="DE2" s="5" t="s">
        <v>6790</v>
      </c>
      <c r="DF2" s="5" t="s">
        <v>6791</v>
      </c>
      <c r="DG2" s="5" t="s">
        <v>7120</v>
      </c>
      <c r="DH2" s="5" t="s">
        <v>6793</v>
      </c>
      <c r="DI2" s="21" t="s">
        <v>6794</v>
      </c>
      <c r="DJ2" s="21" t="s">
        <v>6802</v>
      </c>
      <c r="DK2" s="21" t="s">
        <v>7043</v>
      </c>
      <c r="DL2" s="21" t="s">
        <v>6800</v>
      </c>
      <c r="DM2" s="21" t="s">
        <v>7811</v>
      </c>
      <c r="DN2" s="21" t="s">
        <v>6803</v>
      </c>
      <c r="DO2" s="21" t="s">
        <v>7812</v>
      </c>
      <c r="DP2" s="21" t="s">
        <v>6711</v>
      </c>
      <c r="DQ2" s="21" t="s">
        <v>7813</v>
      </c>
      <c r="DR2" s="21" t="s">
        <v>6712</v>
      </c>
      <c r="DS2" s="21" t="s">
        <v>6834</v>
      </c>
      <c r="DT2" s="21" t="s">
        <v>7814</v>
      </c>
      <c r="DU2" s="21" t="s">
        <v>7815</v>
      </c>
      <c r="DV2" s="21" t="s">
        <v>6713</v>
      </c>
      <c r="DW2" s="21" t="s">
        <v>7816</v>
      </c>
      <c r="DX2" s="21" t="s">
        <v>7817</v>
      </c>
      <c r="DY2" s="21" t="s">
        <v>7818</v>
      </c>
      <c r="DZ2" s="21" t="s">
        <v>7819</v>
      </c>
      <c r="EA2" s="21" t="s">
        <v>7820</v>
      </c>
      <c r="EB2" s="21" t="s">
        <v>6831</v>
      </c>
      <c r="EC2" s="21" t="s">
        <v>6714</v>
      </c>
      <c r="ED2" s="21" t="s">
        <v>7821</v>
      </c>
      <c r="EE2" s="21" t="s">
        <v>7822</v>
      </c>
      <c r="EF2" s="21" t="s">
        <v>7823</v>
      </c>
      <c r="EG2" s="21" t="s">
        <v>7824</v>
      </c>
      <c r="EH2" s="21" t="s">
        <v>7825</v>
      </c>
      <c r="EI2" s="21" t="s">
        <v>7826</v>
      </c>
      <c r="EJ2" s="21" t="s">
        <v>7827</v>
      </c>
      <c r="EK2" s="21" t="s">
        <v>7828</v>
      </c>
      <c r="EL2" s="21" t="s">
        <v>7829</v>
      </c>
      <c r="EM2" s="21" t="s">
        <v>7830</v>
      </c>
      <c r="EN2" s="21" t="s">
        <v>7831</v>
      </c>
      <c r="EO2" s="21" t="s">
        <v>7832</v>
      </c>
      <c r="EP2" s="21" t="s">
        <v>7833</v>
      </c>
      <c r="EQ2" s="21" t="s">
        <v>7834</v>
      </c>
      <c r="ER2" s="21" t="s">
        <v>7835</v>
      </c>
      <c r="ES2" s="21" t="s">
        <v>7836</v>
      </c>
      <c r="ET2" s="21" t="s">
        <v>7837</v>
      </c>
      <c r="EU2" s="21" t="s">
        <v>7838</v>
      </c>
      <c r="EV2" s="21" t="s">
        <v>6807</v>
      </c>
      <c r="EW2" s="21" t="s">
        <v>7839</v>
      </c>
      <c r="EX2" s="21" t="s">
        <v>7840</v>
      </c>
      <c r="EY2" s="21" t="s">
        <v>7841</v>
      </c>
      <c r="EZ2" s="21" t="s">
        <v>7842</v>
      </c>
      <c r="FA2" s="21" t="s">
        <v>7002</v>
      </c>
      <c r="FB2" s="21" t="s">
        <v>7843</v>
      </c>
      <c r="FC2" s="21" t="s">
        <v>6822</v>
      </c>
      <c r="FD2" s="21" t="s">
        <v>6823</v>
      </c>
      <c r="FE2" s="21" t="s">
        <v>6824</v>
      </c>
      <c r="FF2" s="21" t="s">
        <v>7844</v>
      </c>
      <c r="FG2" s="21" t="s">
        <v>7845</v>
      </c>
      <c r="FH2" s="21" t="s">
        <v>7055</v>
      </c>
      <c r="FI2" s="21" t="s">
        <v>7846</v>
      </c>
      <c r="FJ2" s="21" t="s">
        <v>7847</v>
      </c>
      <c r="FK2" s="21" t="s">
        <v>7848</v>
      </c>
      <c r="FL2" s="21" t="s">
        <v>7849</v>
      </c>
      <c r="FM2" s="21" t="s">
        <v>7850</v>
      </c>
      <c r="FN2" s="21" t="s">
        <v>7851</v>
      </c>
      <c r="FO2" s="21" t="s">
        <v>7852</v>
      </c>
      <c r="FP2" s="21" t="s">
        <v>7853</v>
      </c>
      <c r="FQ2" s="21" t="s">
        <v>7854</v>
      </c>
      <c r="FR2" s="21" t="s">
        <v>7855</v>
      </c>
      <c r="FS2" s="21" t="s">
        <v>7856</v>
      </c>
      <c r="FT2" s="21" t="s">
        <v>7857</v>
      </c>
      <c r="FU2" s="21" t="s">
        <v>7858</v>
      </c>
      <c r="FV2" s="21" t="s">
        <v>7859</v>
      </c>
      <c r="FW2" s="21" t="s">
        <v>7860</v>
      </c>
      <c r="FX2" s="21" t="s">
        <v>7861</v>
      </c>
      <c r="FY2" s="21" t="s">
        <v>6881</v>
      </c>
      <c r="FZ2" s="21" t="s">
        <v>7862</v>
      </c>
      <c r="GA2" s="21" t="s">
        <v>7863</v>
      </c>
      <c r="GB2" s="21" t="s">
        <v>7864</v>
      </c>
      <c r="GC2" s="21" t="s">
        <v>7865</v>
      </c>
      <c r="GD2" s="21" t="s">
        <v>6779</v>
      </c>
      <c r="GE2" s="21" t="s">
        <v>6987</v>
      </c>
      <c r="GF2" s="21" t="s">
        <v>6780</v>
      </c>
      <c r="GG2" s="21" t="s">
        <v>7866</v>
      </c>
      <c r="GH2" s="21" t="s">
        <v>6781</v>
      </c>
      <c r="GI2" s="21" t="s">
        <v>7867</v>
      </c>
      <c r="GJ2" s="21" t="s">
        <v>7868</v>
      </c>
      <c r="GK2" s="21" t="s">
        <v>7869</v>
      </c>
      <c r="GL2" s="21" t="s">
        <v>7870</v>
      </c>
      <c r="GM2" s="21" t="s">
        <v>7871</v>
      </c>
      <c r="GN2" s="21" t="s">
        <v>7872</v>
      </c>
      <c r="GO2" s="21" t="s">
        <v>7873</v>
      </c>
      <c r="GP2" s="21" t="s">
        <v>6885</v>
      </c>
      <c r="GQ2" s="21" t="s">
        <v>6886</v>
      </c>
      <c r="GR2" s="21" t="s">
        <v>6887</v>
      </c>
      <c r="GS2" s="21" t="s">
        <v>7874</v>
      </c>
      <c r="GT2" s="21" t="s">
        <v>6735</v>
      </c>
      <c r="GU2" s="21" t="s">
        <v>6734</v>
      </c>
      <c r="GV2" s="21" t="s">
        <v>6736</v>
      </c>
      <c r="GW2" s="21" t="s">
        <v>6737</v>
      </c>
      <c r="GX2" s="21" t="s">
        <v>6716</v>
      </c>
      <c r="GY2" s="21" t="s">
        <v>201</v>
      </c>
      <c r="GZ2" s="21" t="s">
        <v>6717</v>
      </c>
      <c r="HA2" s="21" t="s">
        <v>6739</v>
      </c>
      <c r="HB2" s="21" t="s">
        <v>6740</v>
      </c>
      <c r="HC2" s="21" t="s">
        <v>6741</v>
      </c>
      <c r="HD2" s="21" t="s">
        <v>6893</v>
      </c>
      <c r="HE2" s="21" t="s">
        <v>6742</v>
      </c>
      <c r="HF2" s="21" t="s">
        <v>7875</v>
      </c>
      <c r="HG2" s="21" t="s">
        <v>6899</v>
      </c>
      <c r="HH2" s="21" t="s">
        <v>7876</v>
      </c>
      <c r="HI2" s="21" t="s">
        <v>7877</v>
      </c>
      <c r="HJ2" s="21" t="s">
        <v>7878</v>
      </c>
      <c r="HK2" s="21" t="s">
        <v>7879</v>
      </c>
      <c r="HL2" s="21" t="s">
        <v>7880</v>
      </c>
      <c r="HM2" s="21" t="s">
        <v>7881</v>
      </c>
      <c r="HN2" s="21" t="s">
        <v>7882</v>
      </c>
      <c r="HO2" s="21" t="s">
        <v>7883</v>
      </c>
      <c r="HP2" s="21" t="s">
        <v>7884</v>
      </c>
      <c r="HQ2" s="21" t="s">
        <v>7885</v>
      </c>
      <c r="HR2" s="21" t="s">
        <v>7886</v>
      </c>
      <c r="HS2" s="21" t="s">
        <v>7887</v>
      </c>
      <c r="HT2" s="21" t="s">
        <v>7888</v>
      </c>
      <c r="HU2" s="21" t="s">
        <v>7889</v>
      </c>
      <c r="HV2" s="21" t="s">
        <v>7889</v>
      </c>
      <c r="HW2" s="21" t="s">
        <v>7890</v>
      </c>
      <c r="HX2" s="21" t="s">
        <v>7891</v>
      </c>
      <c r="HY2" s="21" t="s">
        <v>7892</v>
      </c>
      <c r="HZ2" s="21" t="s">
        <v>7893</v>
      </c>
      <c r="IA2" s="21" t="s">
        <v>7894</v>
      </c>
      <c r="IB2" s="21" t="s">
        <v>7895</v>
      </c>
      <c r="IC2" s="21" t="s">
        <v>7896</v>
      </c>
      <c r="ID2" s="21" t="s">
        <v>7897</v>
      </c>
      <c r="IE2" s="21" t="s">
        <v>7898</v>
      </c>
      <c r="IF2" s="21" t="s">
        <v>7899</v>
      </c>
      <c r="IG2" s="21" t="s">
        <v>7900</v>
      </c>
      <c r="IH2" s="21" t="s">
        <v>7901</v>
      </c>
      <c r="II2" s="21" t="s">
        <v>7902</v>
      </c>
      <c r="IJ2" s="21" t="s">
        <v>7903</v>
      </c>
      <c r="IK2" s="21" t="s">
        <v>7904</v>
      </c>
      <c r="IL2" s="21" t="s">
        <v>7905</v>
      </c>
      <c r="IM2" s="21" t="s">
        <v>7906</v>
      </c>
      <c r="IN2" s="21" t="s">
        <v>7907</v>
      </c>
      <c r="IO2" s="21" t="s">
        <v>7908</v>
      </c>
      <c r="IP2" s="21" t="s">
        <v>7909</v>
      </c>
      <c r="IQ2" s="21" t="s">
        <v>7910</v>
      </c>
      <c r="IR2" s="21" t="s">
        <v>7911</v>
      </c>
      <c r="IS2" s="21" t="s">
        <v>7912</v>
      </c>
      <c r="IT2" s="21" t="s">
        <v>7913</v>
      </c>
      <c r="IU2" s="21" t="s">
        <v>7914</v>
      </c>
      <c r="IV2" s="21" t="s">
        <v>7915</v>
      </c>
      <c r="IW2" s="21" t="s">
        <v>7916</v>
      </c>
      <c r="IX2" s="21" t="s">
        <v>7917</v>
      </c>
      <c r="IY2" s="21" t="s">
        <v>7918</v>
      </c>
      <c r="IZ2" s="21" t="s">
        <v>7916</v>
      </c>
      <c r="JA2" s="21" t="s">
        <v>7919</v>
      </c>
      <c r="JB2" s="21" t="s">
        <v>7920</v>
      </c>
      <c r="JC2" s="21" t="s">
        <v>7921</v>
      </c>
      <c r="JD2" s="54" t="s">
        <v>9738</v>
      </c>
      <c r="JE2" s="21" t="s">
        <v>7922</v>
      </c>
      <c r="JF2" s="21" t="s">
        <v>7923</v>
      </c>
      <c r="JG2" s="21" t="s">
        <v>7924</v>
      </c>
      <c r="JH2" s="21" t="s">
        <v>7925</v>
      </c>
      <c r="JI2" s="21" t="s">
        <v>7926</v>
      </c>
      <c r="JJ2" s="21" t="s">
        <v>7927</v>
      </c>
      <c r="JK2" s="21" t="s">
        <v>7928</v>
      </c>
      <c r="JL2" s="21" t="s">
        <v>7929</v>
      </c>
      <c r="JM2" s="21" t="s">
        <v>7930</v>
      </c>
      <c r="JN2" s="21" t="s">
        <v>7931</v>
      </c>
      <c r="JO2" s="21" t="s">
        <v>7932</v>
      </c>
      <c r="JP2" s="21" t="s">
        <v>7094</v>
      </c>
      <c r="JQ2" s="21" t="s">
        <v>7009</v>
      </c>
      <c r="JR2" s="21" t="s">
        <v>6721</v>
      </c>
      <c r="JS2" s="41" t="s">
        <v>7933</v>
      </c>
      <c r="JT2" s="41" t="s">
        <v>7934</v>
      </c>
      <c r="JU2" s="41" t="s">
        <v>6750</v>
      </c>
      <c r="JV2" s="41" t="s">
        <v>6751</v>
      </c>
      <c r="JW2" s="41" t="s">
        <v>6752</v>
      </c>
      <c r="JX2" s="41" t="s">
        <v>6769</v>
      </c>
      <c r="JY2" s="41" t="s">
        <v>6753</v>
      </c>
      <c r="JZ2" s="41" t="s">
        <v>6975</v>
      </c>
      <c r="KA2" s="41" t="s">
        <v>6976</v>
      </c>
      <c r="KB2" s="41" t="s">
        <v>6754</v>
      </c>
      <c r="KC2" s="41" t="s">
        <v>6755</v>
      </c>
      <c r="KD2" s="41" t="s">
        <v>6756</v>
      </c>
      <c r="KE2" s="41" t="s">
        <v>6757</v>
      </c>
      <c r="KF2" s="41" t="s">
        <v>6758</v>
      </c>
      <c r="KG2" s="41" t="s">
        <v>6759</v>
      </c>
      <c r="KH2" s="41" t="s">
        <v>6760</v>
      </c>
      <c r="KI2" s="41" t="s">
        <v>6977</v>
      </c>
      <c r="KJ2" s="41" t="s">
        <v>6761</v>
      </c>
      <c r="KK2" s="41" t="s">
        <v>6762</v>
      </c>
      <c r="KL2" s="41" t="s">
        <v>6763</v>
      </c>
      <c r="KM2" s="41" t="s">
        <v>6978</v>
      </c>
      <c r="KN2" s="41" t="s">
        <v>6764</v>
      </c>
      <c r="KO2" s="41" t="s">
        <v>6765</v>
      </c>
      <c r="KP2" s="41" t="s">
        <v>6766</v>
      </c>
      <c r="KQ2" s="41" t="s">
        <v>6767</v>
      </c>
      <c r="KR2" s="41" t="s">
        <v>7935</v>
      </c>
      <c r="KS2" s="41" t="s">
        <v>6979</v>
      </c>
      <c r="KT2" s="41" t="s">
        <v>7936</v>
      </c>
      <c r="KU2" s="41" t="s">
        <v>7211</v>
      </c>
      <c r="KV2" s="41" t="s">
        <v>1189</v>
      </c>
      <c r="KW2" s="41" t="s">
        <v>235</v>
      </c>
      <c r="KX2" s="41" t="s">
        <v>1196</v>
      </c>
      <c r="KY2" s="41" t="s">
        <v>7937</v>
      </c>
      <c r="KZ2" s="5" t="s">
        <v>7681</v>
      </c>
      <c r="LA2" s="5" t="s">
        <v>7682</v>
      </c>
      <c r="LB2" s="5" t="s">
        <v>7683</v>
      </c>
      <c r="LC2" s="5" t="s">
        <v>7684</v>
      </c>
      <c r="LD2" s="5" t="s">
        <v>7685</v>
      </c>
      <c r="LE2" s="5" t="s">
        <v>7685</v>
      </c>
      <c r="LF2" s="5" t="s">
        <v>7687</v>
      </c>
      <c r="LG2" s="5" t="s">
        <v>7688</v>
      </c>
      <c r="LH2" s="5" t="s">
        <v>7689</v>
      </c>
      <c r="LI2" s="5" t="s">
        <v>7690</v>
      </c>
      <c r="LJ2" s="5" t="s">
        <v>7691</v>
      </c>
      <c r="LK2" s="5" t="s">
        <v>7692</v>
      </c>
      <c r="LL2" s="5" t="s">
        <v>7693</v>
      </c>
      <c r="LM2" s="5" t="s">
        <v>7694</v>
      </c>
      <c r="LN2" s="5" t="s">
        <v>7695</v>
      </c>
      <c r="LO2" s="5" t="s">
        <v>7696</v>
      </c>
      <c r="LP2" s="5" t="s">
        <v>7112</v>
      </c>
      <c r="LQ2" s="5" t="s">
        <v>9743</v>
      </c>
      <c r="LR2" s="5" t="s">
        <v>9744</v>
      </c>
      <c r="LS2" s="5" t="s">
        <v>9745</v>
      </c>
      <c r="LT2" s="5" t="s">
        <v>9746</v>
      </c>
      <c r="LU2" s="5" t="s">
        <v>9747</v>
      </c>
      <c r="LV2" s="5" t="s">
        <v>7114</v>
      </c>
    </row>
    <row r="3" spans="1:334" s="5" customFormat="1" ht="58.5" hidden="1" customHeight="1" x14ac:dyDescent="0.15">
      <c r="N3" s="36"/>
      <c r="O3" s="5" t="str">
        <f>IF(COUNTA(O4:O65536)=0,"","03")</f>
        <v>03</v>
      </c>
      <c r="P3" s="5" t="str">
        <f t="shared" ref="P3:CA3" si="0">IF(COUNTA(P4:P65536)=0,"","03")</f>
        <v>03</v>
      </c>
      <c r="Q3" s="5" t="str">
        <f t="shared" si="0"/>
        <v>03</v>
      </c>
      <c r="R3" s="5" t="str">
        <f t="shared" si="0"/>
        <v>03</v>
      </c>
      <c r="S3" s="5" t="str">
        <f t="shared" si="0"/>
        <v>03</v>
      </c>
      <c r="T3" s="5" t="str">
        <f t="shared" si="0"/>
        <v>03</v>
      </c>
      <c r="U3" s="5" t="str">
        <f t="shared" si="0"/>
        <v>03</v>
      </c>
      <c r="V3" s="5" t="str">
        <f t="shared" si="0"/>
        <v>03</v>
      </c>
      <c r="W3" s="5" t="str">
        <f t="shared" si="0"/>
        <v/>
      </c>
      <c r="X3" s="5" t="str">
        <f t="shared" si="0"/>
        <v/>
      </c>
      <c r="Y3" s="5" t="str">
        <f t="shared" si="0"/>
        <v>03</v>
      </c>
      <c r="Z3" s="5" t="str">
        <f t="shared" si="0"/>
        <v>03</v>
      </c>
      <c r="AA3" s="5" t="str">
        <f t="shared" si="0"/>
        <v>03</v>
      </c>
      <c r="AB3" s="5" t="str">
        <f t="shared" si="0"/>
        <v>03</v>
      </c>
      <c r="AC3" s="5" t="str">
        <f t="shared" si="0"/>
        <v>03</v>
      </c>
      <c r="AD3" s="5" t="str">
        <f t="shared" si="0"/>
        <v>03</v>
      </c>
      <c r="AE3" s="5" t="str">
        <f t="shared" si="0"/>
        <v>03</v>
      </c>
      <c r="AF3" s="5" t="str">
        <f t="shared" si="0"/>
        <v>03</v>
      </c>
      <c r="AG3" s="5" t="str">
        <f t="shared" si="0"/>
        <v/>
      </c>
      <c r="AH3" s="5" t="str">
        <f t="shared" si="0"/>
        <v/>
      </c>
      <c r="AI3" s="5" t="str">
        <f t="shared" si="0"/>
        <v/>
      </c>
      <c r="AJ3" s="5" t="str">
        <f t="shared" si="0"/>
        <v>03</v>
      </c>
      <c r="AK3" s="5" t="str">
        <f t="shared" si="0"/>
        <v/>
      </c>
      <c r="AL3" s="5" t="str">
        <f t="shared" si="0"/>
        <v>03</v>
      </c>
      <c r="AM3" s="5" t="str">
        <f t="shared" si="0"/>
        <v>03</v>
      </c>
      <c r="AN3" s="5" t="str">
        <f t="shared" si="0"/>
        <v/>
      </c>
      <c r="AO3" s="5" t="str">
        <f t="shared" si="0"/>
        <v>03</v>
      </c>
      <c r="AP3" s="5" t="str">
        <f t="shared" si="0"/>
        <v>03</v>
      </c>
      <c r="AQ3" s="5" t="str">
        <f t="shared" si="0"/>
        <v>03</v>
      </c>
      <c r="AR3" s="5" t="str">
        <f t="shared" si="0"/>
        <v>03</v>
      </c>
      <c r="AS3" s="5" t="str">
        <f t="shared" si="0"/>
        <v>03</v>
      </c>
      <c r="AT3" s="5" t="str">
        <f t="shared" si="0"/>
        <v/>
      </c>
      <c r="AU3" s="5" t="str">
        <f t="shared" si="0"/>
        <v/>
      </c>
      <c r="AV3" s="5" t="str">
        <f t="shared" si="0"/>
        <v>03</v>
      </c>
      <c r="AW3" s="5" t="str">
        <f t="shared" si="0"/>
        <v/>
      </c>
      <c r="AX3" s="5" t="str">
        <f t="shared" si="0"/>
        <v>03</v>
      </c>
      <c r="AY3" s="5" t="str">
        <f t="shared" si="0"/>
        <v>03</v>
      </c>
      <c r="AZ3" s="5" t="str">
        <f t="shared" si="0"/>
        <v/>
      </c>
      <c r="BA3" s="5" t="str">
        <f t="shared" si="0"/>
        <v>03</v>
      </c>
      <c r="BB3" s="5" t="str">
        <f t="shared" si="0"/>
        <v>03</v>
      </c>
      <c r="BC3" s="5" t="str">
        <f t="shared" si="0"/>
        <v>03</v>
      </c>
      <c r="BD3" s="5" t="str">
        <f t="shared" si="0"/>
        <v>03</v>
      </c>
      <c r="BE3" s="5" t="str">
        <f t="shared" si="0"/>
        <v>03</v>
      </c>
      <c r="BF3" s="5" t="str">
        <f t="shared" si="0"/>
        <v>03</v>
      </c>
      <c r="BG3" s="5" t="str">
        <f t="shared" si="0"/>
        <v>03</v>
      </c>
      <c r="BH3" s="5" t="str">
        <f t="shared" si="0"/>
        <v>03</v>
      </c>
      <c r="BI3" s="5" t="str">
        <f t="shared" si="0"/>
        <v>03</v>
      </c>
      <c r="BJ3" s="5" t="str">
        <f t="shared" si="0"/>
        <v/>
      </c>
      <c r="BK3" s="5" t="str">
        <f t="shared" si="0"/>
        <v/>
      </c>
      <c r="BL3" s="5" t="str">
        <f t="shared" si="0"/>
        <v/>
      </c>
      <c r="BM3" s="5" t="str">
        <f t="shared" si="0"/>
        <v/>
      </c>
      <c r="BN3" s="5" t="str">
        <f t="shared" si="0"/>
        <v/>
      </c>
      <c r="BO3" s="5" t="str">
        <f t="shared" si="0"/>
        <v>03</v>
      </c>
      <c r="BP3" s="5" t="str">
        <f t="shared" si="0"/>
        <v>03</v>
      </c>
      <c r="BQ3" s="5" t="str">
        <f t="shared" si="0"/>
        <v>03</v>
      </c>
      <c r="BR3" s="5" t="str">
        <f t="shared" si="0"/>
        <v>03</v>
      </c>
      <c r="BS3" s="5" t="str">
        <f t="shared" si="0"/>
        <v>03</v>
      </c>
      <c r="BT3" s="5" t="str">
        <f t="shared" si="0"/>
        <v>03</v>
      </c>
      <c r="BU3" s="5" t="str">
        <f t="shared" si="0"/>
        <v/>
      </c>
      <c r="BV3" s="5" t="str">
        <f t="shared" si="0"/>
        <v>03</v>
      </c>
      <c r="BW3" s="5" t="str">
        <f t="shared" si="0"/>
        <v/>
      </c>
      <c r="BX3" s="5" t="str">
        <f t="shared" si="0"/>
        <v>03</v>
      </c>
      <c r="BY3" s="5" t="str">
        <f t="shared" si="0"/>
        <v>03</v>
      </c>
      <c r="BZ3" s="5" t="str">
        <f t="shared" si="0"/>
        <v>03</v>
      </c>
      <c r="CA3" s="5" t="str">
        <f t="shared" si="0"/>
        <v>03</v>
      </c>
      <c r="CB3" s="5" t="str">
        <f t="shared" ref="CB3:EM3" si="1">IF(COUNTA(CB4:CB65536)=0,"","03")</f>
        <v/>
      </c>
      <c r="CC3" s="5" t="str">
        <f t="shared" si="1"/>
        <v/>
      </c>
      <c r="CD3" s="5" t="str">
        <f t="shared" si="1"/>
        <v/>
      </c>
      <c r="CE3" s="5" t="str">
        <f t="shared" si="1"/>
        <v/>
      </c>
      <c r="CF3" s="5" t="str">
        <f t="shared" si="1"/>
        <v/>
      </c>
      <c r="CG3" s="5" t="str">
        <f t="shared" si="1"/>
        <v/>
      </c>
      <c r="CH3" s="5" t="str">
        <f t="shared" si="1"/>
        <v/>
      </c>
      <c r="CI3" s="5" t="str">
        <f t="shared" si="1"/>
        <v/>
      </c>
      <c r="CJ3" s="5" t="str">
        <f t="shared" si="1"/>
        <v/>
      </c>
      <c r="CK3" s="5" t="str">
        <f t="shared" si="1"/>
        <v/>
      </c>
      <c r="CL3" s="5" t="str">
        <f t="shared" si="1"/>
        <v>03</v>
      </c>
      <c r="CM3" s="5" t="str">
        <f t="shared" si="1"/>
        <v/>
      </c>
      <c r="CN3" s="5" t="str">
        <f t="shared" si="1"/>
        <v/>
      </c>
      <c r="CO3" s="5" t="str">
        <f t="shared" si="1"/>
        <v>03</v>
      </c>
      <c r="CP3" s="5" t="str">
        <f t="shared" si="1"/>
        <v>03</v>
      </c>
      <c r="CQ3" s="5" t="str">
        <f t="shared" si="1"/>
        <v/>
      </c>
      <c r="CR3" s="5" t="str">
        <f t="shared" si="1"/>
        <v>03</v>
      </c>
      <c r="CS3" s="5" t="str">
        <f t="shared" si="1"/>
        <v>03</v>
      </c>
      <c r="CT3" s="5" t="str">
        <f t="shared" si="1"/>
        <v/>
      </c>
      <c r="CU3" s="5" t="str">
        <f t="shared" si="1"/>
        <v>03</v>
      </c>
      <c r="CV3" s="5" t="str">
        <f t="shared" si="1"/>
        <v>03</v>
      </c>
      <c r="CW3" s="5" t="str">
        <f t="shared" si="1"/>
        <v>03</v>
      </c>
      <c r="CX3" s="5" t="str">
        <f t="shared" si="1"/>
        <v>03</v>
      </c>
      <c r="CY3" s="5" t="str">
        <f t="shared" si="1"/>
        <v>03</v>
      </c>
      <c r="CZ3" s="5" t="str">
        <f t="shared" si="1"/>
        <v>03</v>
      </c>
      <c r="DA3" s="5" t="str">
        <f t="shared" si="1"/>
        <v>03</v>
      </c>
      <c r="DB3" s="5" t="str">
        <f t="shared" si="1"/>
        <v>03</v>
      </c>
      <c r="DC3" s="5" t="str">
        <f t="shared" si="1"/>
        <v>03</v>
      </c>
      <c r="DD3" s="5" t="str">
        <f t="shared" si="1"/>
        <v/>
      </c>
      <c r="DE3" s="5" t="str">
        <f t="shared" si="1"/>
        <v>03</v>
      </c>
      <c r="DF3" s="5" t="str">
        <f t="shared" si="1"/>
        <v>03</v>
      </c>
      <c r="DG3" s="5" t="str">
        <f t="shared" si="1"/>
        <v>03</v>
      </c>
      <c r="DH3" s="5" t="str">
        <f t="shared" si="1"/>
        <v/>
      </c>
      <c r="DI3" s="5" t="str">
        <f t="shared" si="1"/>
        <v>03</v>
      </c>
      <c r="DJ3" s="5" t="str">
        <f t="shared" si="1"/>
        <v/>
      </c>
      <c r="DK3" s="5" t="str">
        <f t="shared" si="1"/>
        <v>03</v>
      </c>
      <c r="DL3" s="5" t="str">
        <f t="shared" si="1"/>
        <v>03</v>
      </c>
      <c r="DM3" s="5" t="str">
        <f t="shared" si="1"/>
        <v>03</v>
      </c>
      <c r="DN3" s="5" t="str">
        <f t="shared" si="1"/>
        <v>03</v>
      </c>
      <c r="DO3" s="5" t="str">
        <f t="shared" si="1"/>
        <v/>
      </c>
      <c r="DP3" s="5" t="str">
        <f t="shared" si="1"/>
        <v>03</v>
      </c>
      <c r="DQ3" s="5" t="str">
        <f t="shared" si="1"/>
        <v>03</v>
      </c>
      <c r="DR3" s="5" t="str">
        <f t="shared" si="1"/>
        <v>03</v>
      </c>
      <c r="DS3" s="5" t="str">
        <f t="shared" si="1"/>
        <v>03</v>
      </c>
      <c r="DT3" s="5" t="str">
        <f t="shared" si="1"/>
        <v>03</v>
      </c>
      <c r="DU3" s="5" t="str">
        <f t="shared" si="1"/>
        <v/>
      </c>
      <c r="DV3" s="5" t="str">
        <f t="shared" si="1"/>
        <v>03</v>
      </c>
      <c r="DW3" s="5" t="str">
        <f t="shared" si="1"/>
        <v/>
      </c>
      <c r="DX3" s="5" t="str">
        <f t="shared" si="1"/>
        <v/>
      </c>
      <c r="DY3" s="5" t="str">
        <f t="shared" si="1"/>
        <v>03</v>
      </c>
      <c r="DZ3" s="5" t="str">
        <f t="shared" si="1"/>
        <v/>
      </c>
      <c r="EA3" s="5" t="str">
        <f t="shared" si="1"/>
        <v/>
      </c>
      <c r="EB3" s="5" t="str">
        <f t="shared" si="1"/>
        <v>03</v>
      </c>
      <c r="EC3" s="5" t="str">
        <f t="shared" si="1"/>
        <v>03</v>
      </c>
      <c r="ED3" s="5" t="str">
        <f t="shared" si="1"/>
        <v>03</v>
      </c>
      <c r="EE3" s="5" t="str">
        <f t="shared" si="1"/>
        <v/>
      </c>
      <c r="EF3" s="5" t="str">
        <f t="shared" si="1"/>
        <v>03</v>
      </c>
      <c r="EG3" s="5" t="str">
        <f t="shared" si="1"/>
        <v>03</v>
      </c>
      <c r="EH3" s="5" t="str">
        <f t="shared" si="1"/>
        <v/>
      </c>
      <c r="EI3" s="5" t="str">
        <f t="shared" si="1"/>
        <v>03</v>
      </c>
      <c r="EJ3" s="5" t="str">
        <f t="shared" si="1"/>
        <v/>
      </c>
      <c r="EK3" s="5" t="str">
        <f t="shared" si="1"/>
        <v/>
      </c>
      <c r="EL3" s="5" t="str">
        <f t="shared" si="1"/>
        <v/>
      </c>
      <c r="EM3" s="5" t="str">
        <f t="shared" si="1"/>
        <v/>
      </c>
      <c r="EN3" s="5" t="str">
        <f t="shared" ref="EN3:GY3" si="2">IF(COUNTA(EN4:EN65536)=0,"","03")</f>
        <v/>
      </c>
      <c r="EO3" s="5" t="str">
        <f t="shared" si="2"/>
        <v>03</v>
      </c>
      <c r="EP3" s="5" t="str">
        <f t="shared" si="2"/>
        <v>03</v>
      </c>
      <c r="EQ3" s="5" t="str">
        <f t="shared" si="2"/>
        <v>03</v>
      </c>
      <c r="ER3" s="5" t="str">
        <f t="shared" si="2"/>
        <v/>
      </c>
      <c r="ES3" s="5" t="str">
        <f t="shared" si="2"/>
        <v/>
      </c>
      <c r="ET3" s="5" t="str">
        <f t="shared" si="2"/>
        <v>03</v>
      </c>
      <c r="EU3" s="5" t="str">
        <f t="shared" si="2"/>
        <v/>
      </c>
      <c r="EV3" s="5" t="str">
        <f t="shared" si="2"/>
        <v/>
      </c>
      <c r="EW3" s="5" t="str">
        <f t="shared" si="2"/>
        <v/>
      </c>
      <c r="EX3" s="5" t="str">
        <f t="shared" si="2"/>
        <v/>
      </c>
      <c r="EY3" s="5" t="str">
        <f t="shared" si="2"/>
        <v>03</v>
      </c>
      <c r="EZ3" s="5" t="str">
        <f t="shared" si="2"/>
        <v>03</v>
      </c>
      <c r="FA3" s="5" t="str">
        <f t="shared" si="2"/>
        <v/>
      </c>
      <c r="FB3" s="5" t="str">
        <f t="shared" si="2"/>
        <v/>
      </c>
      <c r="FC3" s="5" t="str">
        <f t="shared" si="2"/>
        <v>03</v>
      </c>
      <c r="FD3" s="5" t="str">
        <f t="shared" si="2"/>
        <v/>
      </c>
      <c r="FE3" s="5" t="str">
        <f t="shared" si="2"/>
        <v>03</v>
      </c>
      <c r="FF3" s="5" t="str">
        <f t="shared" si="2"/>
        <v/>
      </c>
      <c r="FG3" s="5" t="str">
        <f t="shared" si="2"/>
        <v>03</v>
      </c>
      <c r="FH3" s="5" t="str">
        <f t="shared" si="2"/>
        <v>03</v>
      </c>
      <c r="FI3" s="5" t="str">
        <f t="shared" si="2"/>
        <v>03</v>
      </c>
      <c r="FJ3" s="5" t="str">
        <f t="shared" si="2"/>
        <v/>
      </c>
      <c r="FK3" s="5" t="str">
        <f t="shared" si="2"/>
        <v/>
      </c>
      <c r="FL3" s="5" t="str">
        <f t="shared" si="2"/>
        <v/>
      </c>
      <c r="FM3" s="5" t="str">
        <f t="shared" si="2"/>
        <v/>
      </c>
      <c r="FN3" s="5" t="str">
        <f t="shared" si="2"/>
        <v>03</v>
      </c>
      <c r="FO3" s="5" t="str">
        <f t="shared" si="2"/>
        <v>03</v>
      </c>
      <c r="FP3" s="5" t="str">
        <f t="shared" si="2"/>
        <v>03</v>
      </c>
      <c r="FQ3" s="5" t="str">
        <f t="shared" si="2"/>
        <v>03</v>
      </c>
      <c r="FR3" s="5" t="str">
        <f t="shared" si="2"/>
        <v>03</v>
      </c>
      <c r="FS3" s="5" t="str">
        <f t="shared" si="2"/>
        <v>03</v>
      </c>
      <c r="FT3" s="5" t="str">
        <f t="shared" si="2"/>
        <v>03</v>
      </c>
      <c r="FU3" s="5" t="str">
        <f t="shared" si="2"/>
        <v>03</v>
      </c>
      <c r="FV3" s="5" t="str">
        <f t="shared" si="2"/>
        <v>03</v>
      </c>
      <c r="FW3" s="5" t="str">
        <f t="shared" si="2"/>
        <v>03</v>
      </c>
      <c r="FX3" s="5" t="str">
        <f t="shared" si="2"/>
        <v/>
      </c>
      <c r="FY3" s="5" t="str">
        <f t="shared" si="2"/>
        <v>03</v>
      </c>
      <c r="FZ3" s="5" t="str">
        <f t="shared" si="2"/>
        <v>03</v>
      </c>
      <c r="GA3" s="5" t="str">
        <f t="shared" si="2"/>
        <v>03</v>
      </c>
      <c r="GB3" s="5" t="str">
        <f t="shared" si="2"/>
        <v/>
      </c>
      <c r="GC3" s="5" t="str">
        <f t="shared" si="2"/>
        <v/>
      </c>
      <c r="GD3" s="5" t="str">
        <f t="shared" si="2"/>
        <v>03</v>
      </c>
      <c r="GE3" s="5" t="str">
        <f t="shared" si="2"/>
        <v>03</v>
      </c>
      <c r="GF3" s="5" t="str">
        <f t="shared" si="2"/>
        <v>03</v>
      </c>
      <c r="GG3" s="5" t="str">
        <f t="shared" si="2"/>
        <v>03</v>
      </c>
      <c r="GH3" s="5" t="str">
        <f t="shared" si="2"/>
        <v>03</v>
      </c>
      <c r="GI3" s="5" t="str">
        <f t="shared" si="2"/>
        <v>03</v>
      </c>
      <c r="GJ3" s="5" t="str">
        <f t="shared" si="2"/>
        <v>03</v>
      </c>
      <c r="GK3" s="5" t="str">
        <f t="shared" si="2"/>
        <v>03</v>
      </c>
      <c r="GL3" s="5" t="str">
        <f t="shared" si="2"/>
        <v>03</v>
      </c>
      <c r="GM3" s="5" t="str">
        <f t="shared" si="2"/>
        <v>03</v>
      </c>
      <c r="GN3" s="5" t="str">
        <f t="shared" si="2"/>
        <v>03</v>
      </c>
      <c r="GO3" s="5" t="str">
        <f t="shared" si="2"/>
        <v>03</v>
      </c>
      <c r="GP3" s="5" t="str">
        <f t="shared" si="2"/>
        <v>03</v>
      </c>
      <c r="GQ3" s="5" t="str">
        <f t="shared" si="2"/>
        <v>03</v>
      </c>
      <c r="GR3" s="5" t="str">
        <f t="shared" si="2"/>
        <v>03</v>
      </c>
      <c r="GS3" s="5" t="str">
        <f t="shared" si="2"/>
        <v>03</v>
      </c>
      <c r="GT3" s="5" t="str">
        <f t="shared" si="2"/>
        <v/>
      </c>
      <c r="GU3" s="5" t="str">
        <f t="shared" si="2"/>
        <v>03</v>
      </c>
      <c r="GV3" s="5" t="str">
        <f t="shared" si="2"/>
        <v>03</v>
      </c>
      <c r="GW3" s="5" t="str">
        <f t="shared" si="2"/>
        <v>03</v>
      </c>
      <c r="GX3" s="5" t="str">
        <f t="shared" si="2"/>
        <v>03</v>
      </c>
      <c r="GY3" s="5" t="str">
        <f t="shared" si="2"/>
        <v>03</v>
      </c>
      <c r="GZ3" s="5" t="str">
        <f t="shared" ref="GZ3:HR3" si="3">IF(COUNTA(GZ4:GZ65536)=0,"","03")</f>
        <v>03</v>
      </c>
      <c r="HA3" s="5" t="str">
        <f t="shared" si="3"/>
        <v>03</v>
      </c>
      <c r="HB3" s="5" t="str">
        <f t="shared" si="3"/>
        <v>03</v>
      </c>
      <c r="HC3" s="5" t="str">
        <f t="shared" si="3"/>
        <v>03</v>
      </c>
      <c r="HD3" s="5" t="str">
        <f t="shared" si="3"/>
        <v>03</v>
      </c>
      <c r="HE3" s="5" t="str">
        <f t="shared" si="3"/>
        <v>03</v>
      </c>
      <c r="HF3" s="5" t="str">
        <f t="shared" si="3"/>
        <v>03</v>
      </c>
      <c r="HG3" s="5" t="str">
        <f t="shared" si="3"/>
        <v>03</v>
      </c>
      <c r="HH3" s="5" t="str">
        <f t="shared" si="3"/>
        <v>03</v>
      </c>
      <c r="HI3" s="5" t="str">
        <f t="shared" si="3"/>
        <v>03</v>
      </c>
      <c r="HJ3" s="5" t="str">
        <f t="shared" si="3"/>
        <v>03</v>
      </c>
      <c r="HK3" s="5" t="str">
        <f t="shared" si="3"/>
        <v>03</v>
      </c>
      <c r="HL3" s="5" t="str">
        <f t="shared" si="3"/>
        <v>03</v>
      </c>
      <c r="HM3" s="5" t="str">
        <f t="shared" si="3"/>
        <v>03</v>
      </c>
      <c r="HN3" s="5" t="str">
        <f t="shared" si="3"/>
        <v>03</v>
      </c>
      <c r="HO3" s="5" t="str">
        <f t="shared" si="3"/>
        <v/>
      </c>
      <c r="HP3" s="5" t="str">
        <f t="shared" si="3"/>
        <v>03</v>
      </c>
      <c r="HQ3" s="5" t="str">
        <f t="shared" si="3"/>
        <v>03</v>
      </c>
      <c r="HR3" s="5" t="str">
        <f t="shared" si="3"/>
        <v>03</v>
      </c>
      <c r="JS3" s="43"/>
      <c r="JT3" s="43"/>
      <c r="JU3" s="43"/>
      <c r="JV3" s="43"/>
      <c r="JW3" s="43"/>
      <c r="JX3" s="43"/>
      <c r="JY3" s="43"/>
      <c r="JZ3" s="43"/>
      <c r="KA3" s="43"/>
      <c r="KB3" s="43"/>
      <c r="KC3" s="43"/>
      <c r="KD3" s="43"/>
      <c r="KE3" s="43"/>
      <c r="KF3" s="43"/>
      <c r="KG3" s="43"/>
      <c r="KH3" s="43"/>
      <c r="KI3" s="43"/>
      <c r="KJ3" s="43"/>
      <c r="KK3" s="43"/>
      <c r="KL3" s="43"/>
      <c r="KM3" s="43"/>
      <c r="KN3" s="43"/>
      <c r="KO3" s="43"/>
      <c r="KP3" s="43"/>
      <c r="KQ3" s="43"/>
      <c r="KR3" s="43"/>
      <c r="KS3" s="43"/>
      <c r="KT3" s="43"/>
      <c r="KU3" s="43"/>
      <c r="KV3" s="43"/>
      <c r="KW3" s="43"/>
      <c r="KX3" s="43"/>
      <c r="KY3" s="43"/>
    </row>
    <row r="4" spans="1:334" x14ac:dyDescent="0.2">
      <c r="A4" s="15" t="s">
        <v>7532</v>
      </c>
      <c r="B4" s="1" t="s">
        <v>6176</v>
      </c>
      <c r="D4" s="1" t="s">
        <v>6257</v>
      </c>
      <c r="E4" s="1" t="s">
        <v>7</v>
      </c>
      <c r="F4" s="1" t="s">
        <v>6258</v>
      </c>
      <c r="G4" s="1" t="s">
        <v>6179</v>
      </c>
      <c r="J4" s="1" t="s">
        <v>6180</v>
      </c>
      <c r="K4" s="1">
        <v>1989</v>
      </c>
      <c r="L4" s="1" t="s">
        <v>6181</v>
      </c>
      <c r="M4" s="1" t="s">
        <v>6182</v>
      </c>
      <c r="N4" s="17">
        <v>1.1000000000000001</v>
      </c>
      <c r="S4" s="1">
        <v>63</v>
      </c>
      <c r="AN4" s="17"/>
      <c r="AR4" s="44"/>
      <c r="CP4" s="1">
        <v>29</v>
      </c>
      <c r="CR4" s="1">
        <v>0.3</v>
      </c>
      <c r="CU4" s="1">
        <v>660</v>
      </c>
      <c r="CV4" s="1">
        <v>74</v>
      </c>
      <c r="CW4" s="1">
        <v>0.7</v>
      </c>
      <c r="CX4" s="1">
        <v>17</v>
      </c>
      <c r="CY4" s="1">
        <v>161</v>
      </c>
      <c r="DA4" s="1">
        <v>1.3</v>
      </c>
    </row>
    <row r="5" spans="1:334" x14ac:dyDescent="0.2">
      <c r="A5" s="15" t="s">
        <v>7533</v>
      </c>
      <c r="B5" s="1" t="s">
        <v>6176</v>
      </c>
      <c r="D5" s="1" t="s">
        <v>6259</v>
      </c>
      <c r="E5" s="1" t="s">
        <v>11</v>
      </c>
      <c r="F5" s="1" t="s">
        <v>6260</v>
      </c>
      <c r="G5" s="1" t="s">
        <v>6179</v>
      </c>
      <c r="J5" s="1" t="s">
        <v>6180</v>
      </c>
      <c r="K5" s="1">
        <v>1989</v>
      </c>
      <c r="L5" s="1" t="s">
        <v>6181</v>
      </c>
      <c r="M5" s="1" t="s">
        <v>6182</v>
      </c>
      <c r="N5" s="17">
        <v>1.1000000000000001</v>
      </c>
      <c r="S5" s="1">
        <v>8</v>
      </c>
      <c r="AN5" s="17"/>
      <c r="AR5" s="44"/>
      <c r="CP5" s="1">
        <v>112</v>
      </c>
      <c r="CR5" s="1">
        <v>1.2</v>
      </c>
      <c r="CW5" s="1">
        <v>1.31</v>
      </c>
      <c r="CY5" s="1">
        <v>344</v>
      </c>
      <c r="DA5" s="1">
        <v>2.2000000000000002</v>
      </c>
    </row>
    <row r="6" spans="1:334" x14ac:dyDescent="0.2">
      <c r="A6" s="15" t="s">
        <v>7534</v>
      </c>
      <c r="B6" s="1" t="s">
        <v>6176</v>
      </c>
      <c r="D6" s="1" t="s">
        <v>6261</v>
      </c>
      <c r="E6" s="1" t="s">
        <v>11</v>
      </c>
      <c r="F6" s="1" t="s">
        <v>6260</v>
      </c>
      <c r="G6" s="1" t="s">
        <v>6179</v>
      </c>
      <c r="J6" s="1" t="s">
        <v>6180</v>
      </c>
      <c r="K6" s="1">
        <v>1989</v>
      </c>
      <c r="L6" s="1" t="s">
        <v>6181</v>
      </c>
      <c r="M6" s="1" t="s">
        <v>6182</v>
      </c>
      <c r="N6" s="17">
        <v>1.1000000000000001</v>
      </c>
      <c r="S6" s="1">
        <v>52</v>
      </c>
      <c r="AN6" s="17"/>
      <c r="AR6" s="44"/>
      <c r="CP6" s="1">
        <v>42</v>
      </c>
      <c r="CR6" s="1">
        <v>0.4</v>
      </c>
      <c r="CW6" s="1">
        <v>0.47</v>
      </c>
      <c r="CY6" s="1">
        <v>140</v>
      </c>
      <c r="DA6" s="1">
        <v>0.9</v>
      </c>
    </row>
    <row r="7" spans="1:334" x14ac:dyDescent="0.2">
      <c r="A7" s="15" t="s">
        <v>7535</v>
      </c>
      <c r="B7" s="1" t="s">
        <v>6176</v>
      </c>
      <c r="D7" s="1" t="s">
        <v>6262</v>
      </c>
      <c r="E7" s="1" t="s">
        <v>11</v>
      </c>
      <c r="F7" s="1" t="s">
        <v>6263</v>
      </c>
      <c r="G7" s="1" t="s">
        <v>6179</v>
      </c>
      <c r="J7" s="1" t="s">
        <v>6180</v>
      </c>
      <c r="K7" s="1">
        <v>1989</v>
      </c>
      <c r="L7" s="1" t="s">
        <v>6181</v>
      </c>
      <c r="M7" s="1" t="s">
        <v>6182</v>
      </c>
      <c r="N7" s="17">
        <v>1.1000000000000001</v>
      </c>
      <c r="S7" s="1">
        <v>11</v>
      </c>
      <c r="AN7" s="17"/>
      <c r="AR7" s="44"/>
      <c r="CP7" s="1">
        <v>90</v>
      </c>
      <c r="CR7" s="1">
        <v>0.7</v>
      </c>
      <c r="CU7" s="1">
        <v>1397</v>
      </c>
      <c r="CV7" s="1">
        <v>172</v>
      </c>
      <c r="CW7" s="1">
        <v>1.42</v>
      </c>
      <c r="CX7" s="1">
        <v>27</v>
      </c>
      <c r="CY7" s="1">
        <v>440</v>
      </c>
      <c r="DA7" s="1">
        <v>3.3</v>
      </c>
    </row>
    <row r="8" spans="1:334" x14ac:dyDescent="0.2">
      <c r="A8" s="15" t="s">
        <v>7536</v>
      </c>
      <c r="B8" s="1" t="s">
        <v>6176</v>
      </c>
      <c r="D8" s="1" t="s">
        <v>6264</v>
      </c>
      <c r="E8" s="1" t="s">
        <v>7</v>
      </c>
      <c r="F8" s="1" t="s">
        <v>6263</v>
      </c>
      <c r="G8" s="1" t="s">
        <v>6179</v>
      </c>
      <c r="J8" s="1" t="s">
        <v>6180</v>
      </c>
      <c r="K8" s="1">
        <v>1989</v>
      </c>
      <c r="L8" s="1" t="s">
        <v>6181</v>
      </c>
      <c r="M8" s="1" t="s">
        <v>6182</v>
      </c>
      <c r="N8" s="17">
        <v>1.1000000000000001</v>
      </c>
      <c r="S8" s="1">
        <v>66</v>
      </c>
      <c r="AN8" s="17"/>
      <c r="AR8" s="44"/>
      <c r="CP8" s="1">
        <v>58</v>
      </c>
      <c r="CR8" s="1">
        <v>0.5</v>
      </c>
      <c r="CW8" s="1">
        <v>0.75</v>
      </c>
      <c r="CY8" s="1">
        <v>238</v>
      </c>
      <c r="DA8" s="1">
        <v>1.5</v>
      </c>
    </row>
    <row r="9" spans="1:334" x14ac:dyDescent="0.2">
      <c r="A9" s="15" t="s">
        <v>7537</v>
      </c>
      <c r="B9" s="1" t="s">
        <v>6176</v>
      </c>
      <c r="D9" s="1" t="s">
        <v>6265</v>
      </c>
      <c r="E9" s="1" t="s">
        <v>11</v>
      </c>
      <c r="F9" s="1" t="s">
        <v>6266</v>
      </c>
      <c r="G9" s="1" t="s">
        <v>6179</v>
      </c>
      <c r="J9" s="1" t="s">
        <v>6180</v>
      </c>
      <c r="K9" s="1">
        <v>1989</v>
      </c>
      <c r="L9" s="1" t="s">
        <v>6181</v>
      </c>
      <c r="M9" s="1" t="s">
        <v>6182</v>
      </c>
      <c r="N9" s="17">
        <v>1.1000000000000001</v>
      </c>
      <c r="S9" s="1">
        <v>67</v>
      </c>
      <c r="AN9" s="17"/>
      <c r="AR9" s="44"/>
      <c r="CP9" s="1">
        <v>24</v>
      </c>
      <c r="CR9" s="1">
        <v>0.6</v>
      </c>
      <c r="CU9" s="1">
        <v>77</v>
      </c>
      <c r="CV9" s="1">
        <v>28</v>
      </c>
      <c r="CW9" s="1">
        <v>0.62</v>
      </c>
      <c r="CX9" s="1">
        <v>3</v>
      </c>
      <c r="CY9" s="1">
        <v>87</v>
      </c>
      <c r="DA9" s="1">
        <v>1.3</v>
      </c>
    </row>
    <row r="10" spans="1:334" x14ac:dyDescent="0.2">
      <c r="A10" s="15" t="s">
        <v>7538</v>
      </c>
      <c r="B10" s="1" t="s">
        <v>6176</v>
      </c>
      <c r="D10" s="1" t="s">
        <v>6267</v>
      </c>
      <c r="E10" s="1" t="s">
        <v>11</v>
      </c>
      <c r="F10" s="1" t="s">
        <v>6268</v>
      </c>
      <c r="G10" s="1" t="s">
        <v>6179</v>
      </c>
      <c r="J10" s="1" t="s">
        <v>6180</v>
      </c>
      <c r="K10" s="1">
        <v>1989</v>
      </c>
      <c r="L10" s="1" t="s">
        <v>6181</v>
      </c>
      <c r="M10" s="1" t="s">
        <v>6182</v>
      </c>
      <c r="N10" s="17">
        <v>1.1000000000000001</v>
      </c>
      <c r="S10" s="1">
        <v>68</v>
      </c>
      <c r="AN10" s="17"/>
      <c r="AR10" s="44"/>
      <c r="CP10" s="1">
        <v>23</v>
      </c>
      <c r="CR10" s="1">
        <v>0.2</v>
      </c>
      <c r="CU10" s="1">
        <v>389</v>
      </c>
      <c r="CV10" s="1">
        <v>48</v>
      </c>
      <c r="CW10" s="1">
        <v>0.48</v>
      </c>
      <c r="CX10" s="1">
        <v>10</v>
      </c>
      <c r="CY10" s="1">
        <v>152</v>
      </c>
      <c r="DA10" s="1">
        <v>1</v>
      </c>
    </row>
    <row r="11" spans="1:334" x14ac:dyDescent="0.2">
      <c r="A11" s="15" t="s">
        <v>7938</v>
      </c>
      <c r="B11" s="1" t="s">
        <v>7939</v>
      </c>
      <c r="D11" s="1" t="s">
        <v>7940</v>
      </c>
      <c r="E11" s="1" t="s">
        <v>7</v>
      </c>
      <c r="F11" s="1" t="s">
        <v>7941</v>
      </c>
      <c r="G11" s="1" t="s">
        <v>7942</v>
      </c>
      <c r="J11" s="1" t="s">
        <v>7943</v>
      </c>
      <c r="K11" s="1">
        <v>2011</v>
      </c>
      <c r="L11" s="1" t="s">
        <v>7944</v>
      </c>
      <c r="M11" s="1" t="s">
        <v>9750</v>
      </c>
      <c r="N11" s="17" t="s">
        <v>7945</v>
      </c>
      <c r="O11" s="33"/>
      <c r="P11" s="33"/>
      <c r="Q11" s="33"/>
      <c r="R11" s="33"/>
      <c r="S11" s="33"/>
      <c r="T11" s="33">
        <v>89.188000000000002</v>
      </c>
      <c r="U11" s="33"/>
      <c r="V11" s="33"/>
      <c r="W11" s="33"/>
      <c r="X11" s="33"/>
      <c r="Y11" s="33"/>
      <c r="Z11" s="33">
        <v>27.711603479999997</v>
      </c>
      <c r="AA11" s="33"/>
      <c r="AB11" s="33"/>
      <c r="AC11" s="33">
        <v>0.88206932000000005</v>
      </c>
      <c r="AD11" s="33"/>
      <c r="AE11" s="33">
        <v>29.935060320000002</v>
      </c>
      <c r="AF11" s="33"/>
      <c r="AG11" s="33"/>
      <c r="AH11" s="33"/>
      <c r="AI11" s="33"/>
      <c r="AJ11" s="33"/>
      <c r="AK11" s="33"/>
      <c r="AL11" s="33"/>
      <c r="AM11" s="33"/>
      <c r="AN11" s="53"/>
      <c r="AO11" s="33"/>
      <c r="AP11" s="33"/>
      <c r="AQ11" s="33"/>
      <c r="AR11" s="33"/>
      <c r="AS11" s="33"/>
      <c r="AT11" s="33"/>
      <c r="AU11" s="33"/>
      <c r="AV11" s="33"/>
      <c r="AW11" s="33"/>
      <c r="AX11" s="33"/>
      <c r="AY11" s="33"/>
      <c r="AZ11" s="33"/>
      <c r="BA11" s="33"/>
      <c r="BB11" s="33"/>
      <c r="BC11" s="33">
        <v>26.865209360000005</v>
      </c>
      <c r="BD11" s="33">
        <v>11.748735239999998</v>
      </c>
      <c r="BE11" s="33"/>
      <c r="BF11" s="33"/>
      <c r="BG11" s="33"/>
      <c r="BH11" s="33"/>
      <c r="BI11" s="33"/>
      <c r="BJ11" s="33"/>
      <c r="BK11" s="33"/>
      <c r="BL11" s="33"/>
      <c r="BM11" s="33"/>
      <c r="BN11" s="33"/>
      <c r="BO11" s="33"/>
      <c r="BP11" s="33"/>
      <c r="BQ11" s="33">
        <v>11.4695768</v>
      </c>
      <c r="BR11" s="33">
        <v>0.27915844000000001</v>
      </c>
      <c r="BS11" s="33">
        <v>15.115582240000002</v>
      </c>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W11" s="33"/>
      <c r="IX11" s="33"/>
      <c r="IY11" s="33"/>
      <c r="IZ11" s="33"/>
      <c r="JA11" s="33"/>
      <c r="JB11" s="33"/>
      <c r="JC11" s="33"/>
      <c r="JD11" s="33"/>
      <c r="JE11" s="33"/>
      <c r="JF11" s="33"/>
      <c r="JG11" s="33"/>
      <c r="JH11" s="33"/>
      <c r="JI11" s="33"/>
      <c r="JJ11" s="33"/>
      <c r="JK11" s="33"/>
      <c r="JL11" s="33"/>
      <c r="JM11" s="33"/>
      <c r="JN11" s="33"/>
      <c r="JO11" s="33"/>
      <c r="JP11" s="33"/>
      <c r="JQ11" s="33"/>
      <c r="JR11" s="33"/>
      <c r="KZ11" s="33"/>
      <c r="LA11" s="33"/>
      <c r="LB11" s="33"/>
      <c r="LC11" s="33"/>
      <c r="LD11" s="33"/>
      <c r="LE11" s="33"/>
      <c r="LF11" s="33"/>
      <c r="LG11" s="33"/>
      <c r="LH11" s="33"/>
      <c r="LI11" s="33"/>
      <c r="LJ11" s="33"/>
      <c r="LK11" s="33"/>
      <c r="LL11" s="33"/>
      <c r="LM11" s="33"/>
      <c r="LN11" s="33"/>
      <c r="LO11" s="33"/>
      <c r="LP11" s="44"/>
      <c r="LQ11" s="44"/>
      <c r="LR11" s="44"/>
      <c r="LS11" s="44"/>
      <c r="LT11" s="44"/>
      <c r="LU11" s="44"/>
      <c r="LV11" s="44"/>
    </row>
    <row r="12" spans="1:334" x14ac:dyDescent="0.2">
      <c r="A12" s="15" t="s">
        <v>7946</v>
      </c>
      <c r="B12" s="1" t="s">
        <v>7939</v>
      </c>
      <c r="D12" s="1" t="s">
        <v>7940</v>
      </c>
      <c r="E12" s="1" t="s">
        <v>7</v>
      </c>
      <c r="F12" s="1" t="s">
        <v>7941</v>
      </c>
      <c r="G12" s="1" t="s">
        <v>7947</v>
      </c>
      <c r="J12" s="1" t="s">
        <v>7943</v>
      </c>
      <c r="K12" s="1">
        <v>2011</v>
      </c>
      <c r="L12" s="1" t="s">
        <v>7944</v>
      </c>
      <c r="M12" s="1" t="s">
        <v>9750</v>
      </c>
      <c r="N12" s="17" t="s">
        <v>7945</v>
      </c>
      <c r="O12" s="33"/>
      <c r="P12" s="33"/>
      <c r="Q12" s="33"/>
      <c r="R12" s="33"/>
      <c r="S12" s="33"/>
      <c r="T12" s="33">
        <v>88.274000000000001</v>
      </c>
      <c r="U12" s="33"/>
      <c r="V12" s="33"/>
      <c r="W12" s="33"/>
      <c r="X12" s="33"/>
      <c r="Y12" s="33"/>
      <c r="Z12" s="33">
        <v>25.982569159999997</v>
      </c>
      <c r="AA12" s="33"/>
      <c r="AB12" s="33"/>
      <c r="AC12" s="33">
        <v>0.85802328000000005</v>
      </c>
      <c r="AD12" s="33"/>
      <c r="AE12" s="33">
        <v>30.705228160000001</v>
      </c>
      <c r="AF12" s="33"/>
      <c r="AG12" s="33"/>
      <c r="AH12" s="33"/>
      <c r="AI12" s="33"/>
      <c r="AJ12" s="33"/>
      <c r="AK12" s="33"/>
      <c r="AL12" s="33"/>
      <c r="AM12" s="33"/>
      <c r="AN12" s="53"/>
      <c r="AO12" s="33"/>
      <c r="AP12" s="33"/>
      <c r="AQ12" s="33"/>
      <c r="AR12" s="33"/>
      <c r="AS12" s="33"/>
      <c r="AT12" s="33"/>
      <c r="AU12" s="33"/>
      <c r="AV12" s="33"/>
      <c r="AW12" s="33"/>
      <c r="AX12" s="33"/>
      <c r="AY12" s="33"/>
      <c r="AZ12" s="33"/>
      <c r="BA12" s="33"/>
      <c r="BB12" s="33"/>
      <c r="BC12" s="33">
        <v>27.296086280000004</v>
      </c>
      <c r="BD12" s="33">
        <v>12.573748559999999</v>
      </c>
      <c r="BE12" s="33"/>
      <c r="BF12" s="33"/>
      <c r="BG12" s="33"/>
      <c r="BH12" s="33"/>
      <c r="BI12" s="33"/>
      <c r="BJ12" s="33"/>
      <c r="BK12" s="33"/>
      <c r="BL12" s="33"/>
      <c r="BM12" s="33"/>
      <c r="BN12" s="33"/>
      <c r="BO12" s="33"/>
      <c r="BP12" s="33"/>
      <c r="BQ12" s="33">
        <v>12.330112320000001</v>
      </c>
      <c r="BR12" s="33">
        <v>0.24363623999999998</v>
      </c>
      <c r="BS12" s="33">
        <v>14.70909662</v>
      </c>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KZ12" s="33"/>
      <c r="LA12" s="33"/>
      <c r="LB12" s="33"/>
      <c r="LC12" s="33"/>
      <c r="LD12" s="33"/>
      <c r="LE12" s="33"/>
      <c r="LF12" s="33"/>
      <c r="LG12" s="33"/>
      <c r="LH12" s="33"/>
      <c r="LI12" s="33"/>
      <c r="LJ12" s="33"/>
      <c r="LK12" s="33"/>
      <c r="LL12" s="33"/>
      <c r="LM12" s="33"/>
      <c r="LN12" s="33"/>
      <c r="LO12" s="33"/>
      <c r="LP12" s="44"/>
      <c r="LQ12" s="44"/>
      <c r="LR12" s="44"/>
      <c r="LS12" s="44"/>
      <c r="LT12" s="44"/>
      <c r="LU12" s="44"/>
      <c r="LV12" s="44"/>
    </row>
    <row r="13" spans="1:334" x14ac:dyDescent="0.2">
      <c r="A13" s="15" t="s">
        <v>7948</v>
      </c>
      <c r="B13" s="1" t="s">
        <v>7939</v>
      </c>
      <c r="D13" s="1" t="s">
        <v>7949</v>
      </c>
      <c r="E13" s="1" t="s">
        <v>7</v>
      </c>
      <c r="F13" s="1" t="s">
        <v>7941</v>
      </c>
      <c r="G13" s="1" t="s">
        <v>7950</v>
      </c>
      <c r="J13" s="1" t="s">
        <v>7943</v>
      </c>
      <c r="K13" s="1">
        <v>2011</v>
      </c>
      <c r="L13" s="1" t="s">
        <v>7944</v>
      </c>
      <c r="M13" s="1" t="s">
        <v>9750</v>
      </c>
      <c r="N13" s="17" t="s">
        <v>7945</v>
      </c>
      <c r="O13" s="33"/>
      <c r="P13" s="33"/>
      <c r="Q13" s="33"/>
      <c r="R13" s="33"/>
      <c r="S13" s="33"/>
      <c r="T13" s="33">
        <v>88.897999999999996</v>
      </c>
      <c r="U13" s="33"/>
      <c r="V13" s="33"/>
      <c r="W13" s="33"/>
      <c r="X13" s="33"/>
      <c r="Y13" s="33"/>
      <c r="Z13" s="33">
        <v>26.660510199999997</v>
      </c>
      <c r="AA13" s="33"/>
      <c r="AB13" s="33"/>
      <c r="AC13" s="33">
        <v>0.85430977999999991</v>
      </c>
      <c r="AD13" s="33"/>
      <c r="AE13" s="33">
        <v>30.620916099999999</v>
      </c>
      <c r="AF13" s="33"/>
      <c r="AG13" s="33"/>
      <c r="AH13" s="33"/>
      <c r="AI13" s="33"/>
      <c r="AJ13" s="33"/>
      <c r="AK13" s="33"/>
      <c r="AL13" s="33"/>
      <c r="AM13" s="33"/>
      <c r="AN13" s="53"/>
      <c r="AO13" s="33"/>
      <c r="AP13" s="33"/>
      <c r="AQ13" s="33"/>
      <c r="AR13" s="33"/>
      <c r="AS13" s="33"/>
      <c r="AT13" s="33"/>
      <c r="AU13" s="33"/>
      <c r="AV13" s="33"/>
      <c r="AW13" s="33"/>
      <c r="AX13" s="33"/>
      <c r="AY13" s="33"/>
      <c r="AZ13" s="33"/>
      <c r="BA13" s="33"/>
      <c r="BB13" s="33"/>
      <c r="BC13" s="33">
        <v>27.093443459999992</v>
      </c>
      <c r="BD13" s="33">
        <v>12.331041580000001</v>
      </c>
      <c r="BE13" s="33"/>
      <c r="BF13" s="33"/>
      <c r="BG13" s="33"/>
      <c r="BH13" s="33"/>
      <c r="BI13" s="33"/>
      <c r="BJ13" s="33"/>
      <c r="BK13" s="33"/>
      <c r="BL13" s="33"/>
      <c r="BM13" s="33"/>
      <c r="BN13" s="33"/>
      <c r="BO13" s="33"/>
      <c r="BP13" s="33"/>
      <c r="BQ13" s="33">
        <v>12.048345939999999</v>
      </c>
      <c r="BR13" s="33">
        <v>0.28269563999999997</v>
      </c>
      <c r="BS13" s="33">
        <v>14.762401880000001</v>
      </c>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KZ13" s="33"/>
      <c r="LA13" s="33"/>
      <c r="LB13" s="33"/>
      <c r="LC13" s="33"/>
      <c r="LD13" s="33"/>
      <c r="LE13" s="33"/>
      <c r="LF13" s="33"/>
      <c r="LG13" s="33"/>
      <c r="LH13" s="33"/>
      <c r="LI13" s="33"/>
      <c r="LJ13" s="33"/>
      <c r="LK13" s="33"/>
      <c r="LL13" s="33"/>
      <c r="LM13" s="33"/>
      <c r="LN13" s="33"/>
      <c r="LO13" s="33"/>
      <c r="LP13" s="44"/>
      <c r="LQ13" s="44"/>
      <c r="LR13" s="44"/>
      <c r="LS13" s="44"/>
      <c r="LT13" s="44"/>
      <c r="LU13" s="44"/>
      <c r="LV13" s="44"/>
    </row>
    <row r="14" spans="1:334" x14ac:dyDescent="0.2">
      <c r="A14" s="15" t="s">
        <v>7951</v>
      </c>
      <c r="B14" s="1" t="s">
        <v>7939</v>
      </c>
      <c r="D14" s="1" t="s">
        <v>7952</v>
      </c>
      <c r="E14" s="1" t="s">
        <v>7</v>
      </c>
      <c r="F14" s="1" t="s">
        <v>7941</v>
      </c>
      <c r="G14" s="1" t="s">
        <v>7950</v>
      </c>
      <c r="J14" s="1" t="s">
        <v>7943</v>
      </c>
      <c r="K14" s="1">
        <v>2011</v>
      </c>
      <c r="L14" s="1" t="s">
        <v>7944</v>
      </c>
      <c r="M14" s="1" t="s">
        <v>9750</v>
      </c>
      <c r="N14" s="17" t="s">
        <v>7945</v>
      </c>
      <c r="O14" s="33"/>
      <c r="P14" s="33"/>
      <c r="Q14" s="33"/>
      <c r="R14" s="33"/>
      <c r="S14" s="33"/>
      <c r="T14" s="33">
        <v>88.804999999999993</v>
      </c>
      <c r="U14" s="33"/>
      <c r="V14" s="33"/>
      <c r="W14" s="33"/>
      <c r="X14" s="33"/>
      <c r="Y14" s="33"/>
      <c r="Z14" s="33">
        <v>26.794244600000003</v>
      </c>
      <c r="AA14" s="33"/>
      <c r="AB14" s="33"/>
      <c r="AC14" s="33">
        <v>0.93067639999999996</v>
      </c>
      <c r="AD14" s="33"/>
      <c r="AE14" s="33">
        <v>30.285169149999998</v>
      </c>
      <c r="AF14" s="33"/>
      <c r="AG14" s="33"/>
      <c r="AH14" s="33"/>
      <c r="AI14" s="33"/>
      <c r="AJ14" s="33"/>
      <c r="AK14" s="33"/>
      <c r="AL14" s="33"/>
      <c r="AM14" s="33"/>
      <c r="AN14" s="53"/>
      <c r="AO14" s="33"/>
      <c r="AP14" s="33"/>
      <c r="AQ14" s="33"/>
      <c r="AR14" s="33"/>
      <c r="AS14" s="33"/>
      <c r="AT14" s="33"/>
      <c r="AU14" s="33"/>
      <c r="AV14" s="33"/>
      <c r="AW14" s="33"/>
      <c r="AX14" s="33"/>
      <c r="AY14" s="33"/>
      <c r="AZ14" s="33"/>
      <c r="BA14" s="33"/>
      <c r="BB14" s="33"/>
      <c r="BC14" s="33">
        <v>27.169001699999999</v>
      </c>
      <c r="BD14" s="33">
        <v>12.341230849999999</v>
      </c>
      <c r="BE14" s="33"/>
      <c r="BF14" s="33"/>
      <c r="BG14" s="33"/>
      <c r="BH14" s="33"/>
      <c r="BI14" s="33"/>
      <c r="BJ14" s="33"/>
      <c r="BK14" s="33"/>
      <c r="BL14" s="33"/>
      <c r="BM14" s="33"/>
      <c r="BN14" s="33"/>
      <c r="BO14" s="33"/>
      <c r="BP14" s="33"/>
      <c r="BQ14" s="33">
        <v>12.080144149999999</v>
      </c>
      <c r="BR14" s="33">
        <v>0.26019865000000003</v>
      </c>
      <c r="BS14" s="33">
        <v>14.827770849999997</v>
      </c>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KZ14" s="33"/>
      <c r="LA14" s="33"/>
      <c r="LB14" s="33"/>
      <c r="LC14" s="33"/>
      <c r="LD14" s="33"/>
      <c r="LE14" s="33"/>
      <c r="LF14" s="33"/>
      <c r="LG14" s="33"/>
      <c r="LH14" s="33"/>
      <c r="LI14" s="33"/>
      <c r="LJ14" s="33"/>
      <c r="LK14" s="33"/>
      <c r="LL14" s="33"/>
      <c r="LM14" s="33"/>
      <c r="LN14" s="33"/>
      <c r="LO14" s="33"/>
      <c r="LP14" s="44"/>
      <c r="LQ14" s="44"/>
      <c r="LR14" s="44"/>
      <c r="LS14" s="44"/>
      <c r="LT14" s="44"/>
      <c r="LU14" s="44"/>
      <c r="LV14" s="44"/>
    </row>
    <row r="15" spans="1:334" x14ac:dyDescent="0.2">
      <c r="A15" s="1" t="s">
        <v>7953</v>
      </c>
      <c r="B15" s="1" t="s">
        <v>7939</v>
      </c>
      <c r="D15" s="1" t="s">
        <v>7954</v>
      </c>
      <c r="E15" s="1" t="s">
        <v>7</v>
      </c>
      <c r="F15" s="1" t="s">
        <v>7941</v>
      </c>
      <c r="G15" s="1" t="s">
        <v>7950</v>
      </c>
      <c r="J15" s="1" t="s">
        <v>7943</v>
      </c>
      <c r="K15" s="1">
        <v>2011</v>
      </c>
      <c r="L15" s="1" t="s">
        <v>7944</v>
      </c>
      <c r="M15" s="1" t="s">
        <v>9750</v>
      </c>
      <c r="N15" s="17" t="s">
        <v>7945</v>
      </c>
      <c r="O15" s="33"/>
      <c r="P15" s="33"/>
      <c r="Q15" s="33"/>
      <c r="R15" s="33"/>
      <c r="S15" s="33"/>
      <c r="T15" s="33">
        <v>88.686000000000007</v>
      </c>
      <c r="U15" s="33"/>
      <c r="V15" s="33"/>
      <c r="W15" s="33"/>
      <c r="X15" s="33"/>
      <c r="Y15" s="33"/>
      <c r="Z15" s="33">
        <v>27.031492800000002</v>
      </c>
      <c r="AA15" s="33"/>
      <c r="AB15" s="33"/>
      <c r="AC15" s="33">
        <v>0.87355709999999998</v>
      </c>
      <c r="AD15" s="33"/>
      <c r="AE15" s="33">
        <v>30.069875160000002</v>
      </c>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v>27.133481700000001</v>
      </c>
      <c r="BD15" s="33">
        <v>12.135792240000002</v>
      </c>
      <c r="BE15" s="33"/>
      <c r="BF15" s="33"/>
      <c r="BG15" s="33"/>
      <c r="BH15" s="33"/>
      <c r="BI15" s="33"/>
      <c r="BJ15" s="33"/>
      <c r="BK15" s="33"/>
      <c r="BL15" s="33"/>
      <c r="BM15" s="33"/>
      <c r="BN15" s="33"/>
      <c r="BO15" s="33"/>
      <c r="BP15" s="33"/>
      <c r="BQ15" s="33">
        <v>11.886584580000001</v>
      </c>
      <c r="BR15" s="33">
        <v>0.24920766000000005</v>
      </c>
      <c r="BS15" s="33">
        <v>14.997689460000002</v>
      </c>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KZ15" s="33"/>
      <c r="LA15" s="33"/>
      <c r="LB15" s="33"/>
      <c r="LC15" s="33"/>
      <c r="LD15" s="33"/>
      <c r="LE15" s="33"/>
      <c r="LF15" s="33"/>
      <c r="LG15" s="33"/>
      <c r="LH15" s="33"/>
      <c r="LI15" s="33"/>
      <c r="LJ15" s="33"/>
      <c r="LK15" s="33"/>
      <c r="LL15" s="33"/>
      <c r="LM15" s="33"/>
      <c r="LN15" s="33"/>
      <c r="LO15" s="33"/>
      <c r="LP15" s="44"/>
      <c r="LQ15" s="44"/>
      <c r="LR15" s="44"/>
      <c r="LS15" s="44"/>
      <c r="LT15" s="44"/>
      <c r="LU15" s="44"/>
      <c r="LV15" s="44"/>
    </row>
    <row r="16" spans="1:334" x14ac:dyDescent="0.2">
      <c r="A16" s="1" t="s">
        <v>7955</v>
      </c>
      <c r="B16" s="1" t="s">
        <v>7939</v>
      </c>
      <c r="D16" s="1" t="s">
        <v>7956</v>
      </c>
      <c r="E16" s="1" t="s">
        <v>7</v>
      </c>
      <c r="F16" s="1" t="s">
        <v>7941</v>
      </c>
      <c r="G16" s="1" t="s">
        <v>7950</v>
      </c>
      <c r="J16" s="1" t="s">
        <v>7943</v>
      </c>
      <c r="K16" s="1">
        <v>2011</v>
      </c>
      <c r="L16" s="1" t="s">
        <v>7944</v>
      </c>
      <c r="M16" s="1" t="s">
        <v>9750</v>
      </c>
      <c r="N16" s="17" t="s">
        <v>7945</v>
      </c>
      <c r="O16" s="33"/>
      <c r="P16" s="33"/>
      <c r="Q16" s="33"/>
      <c r="R16" s="33"/>
      <c r="S16" s="33"/>
      <c r="T16" s="33">
        <v>88.534999999999997</v>
      </c>
      <c r="U16" s="33"/>
      <c r="V16" s="33"/>
      <c r="W16" s="33"/>
      <c r="X16" s="33"/>
      <c r="Y16" s="33"/>
      <c r="Z16" s="33">
        <v>26.8845381</v>
      </c>
      <c r="AA16" s="33"/>
      <c r="AB16" s="33"/>
      <c r="AC16" s="33">
        <v>0.82249014999999981</v>
      </c>
      <c r="AD16" s="33"/>
      <c r="AE16" s="33">
        <v>30.316154699999998</v>
      </c>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v>26.906671850000002</v>
      </c>
      <c r="BD16" s="33">
        <v>11.846868349999999</v>
      </c>
      <c r="BE16" s="33"/>
      <c r="BF16" s="33"/>
      <c r="BG16" s="33"/>
      <c r="BH16" s="33"/>
      <c r="BI16" s="33"/>
      <c r="BJ16" s="33"/>
      <c r="BK16" s="33"/>
      <c r="BL16" s="33"/>
      <c r="BM16" s="33"/>
      <c r="BN16" s="33"/>
      <c r="BO16" s="33"/>
      <c r="BP16" s="33"/>
      <c r="BQ16" s="33">
        <v>11.5963143</v>
      </c>
      <c r="BR16" s="33">
        <v>0.25143939999999998</v>
      </c>
      <c r="BS16" s="33">
        <v>15.05891815</v>
      </c>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KZ16" s="33"/>
      <c r="LA16" s="33"/>
      <c r="LB16" s="33"/>
      <c r="LC16" s="33"/>
      <c r="LD16" s="33"/>
      <c r="LE16" s="33"/>
      <c r="LF16" s="33"/>
      <c r="LG16" s="33"/>
      <c r="LH16" s="33"/>
      <c r="LI16" s="33"/>
      <c r="LJ16" s="33"/>
      <c r="LK16" s="33"/>
      <c r="LL16" s="33"/>
      <c r="LM16" s="33"/>
      <c r="LN16" s="33"/>
      <c r="LO16" s="33"/>
      <c r="LP16" s="44"/>
      <c r="LQ16" s="44"/>
      <c r="LR16" s="44"/>
      <c r="LS16" s="44"/>
      <c r="LT16" s="44"/>
      <c r="LU16" s="44"/>
      <c r="LV16" s="44"/>
    </row>
    <row r="17" spans="1:334" x14ac:dyDescent="0.2">
      <c r="A17" s="1" t="s">
        <v>7957</v>
      </c>
      <c r="B17" s="1" t="s">
        <v>7939</v>
      </c>
      <c r="D17" s="1" t="s">
        <v>7958</v>
      </c>
      <c r="E17" s="1" t="s">
        <v>7</v>
      </c>
      <c r="F17" s="1" t="s">
        <v>7941</v>
      </c>
      <c r="G17" s="1" t="s">
        <v>7950</v>
      </c>
      <c r="J17" s="1" t="s">
        <v>7943</v>
      </c>
      <c r="K17" s="1">
        <v>2011</v>
      </c>
      <c r="L17" s="1" t="s">
        <v>7944</v>
      </c>
      <c r="M17" s="1" t="s">
        <v>9750</v>
      </c>
      <c r="N17" s="17" t="s">
        <v>7945</v>
      </c>
      <c r="O17" s="33"/>
      <c r="P17" s="33"/>
      <c r="Q17" s="33"/>
      <c r="R17" s="33"/>
      <c r="S17" s="33"/>
      <c r="T17" s="33">
        <v>88.814999999999998</v>
      </c>
      <c r="U17" s="33"/>
      <c r="V17" s="33"/>
      <c r="W17" s="33"/>
      <c r="X17" s="33"/>
      <c r="Y17" s="33"/>
      <c r="Z17" s="33">
        <v>27.013970400000002</v>
      </c>
      <c r="AA17" s="33"/>
      <c r="AB17" s="33"/>
      <c r="AC17" s="33">
        <v>0.88370924999999989</v>
      </c>
      <c r="AD17" s="33"/>
      <c r="AE17" s="33">
        <v>30.197099999999999</v>
      </c>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v>27.141864000000002</v>
      </c>
      <c r="BD17" s="33">
        <v>12.453639299999999</v>
      </c>
      <c r="BE17" s="33"/>
      <c r="BF17" s="33"/>
      <c r="BG17" s="33"/>
      <c r="BH17" s="33"/>
      <c r="BI17" s="33"/>
      <c r="BJ17" s="33"/>
      <c r="BK17" s="33"/>
      <c r="BL17" s="33"/>
      <c r="BM17" s="33"/>
      <c r="BN17" s="33"/>
      <c r="BO17" s="33"/>
      <c r="BP17" s="33"/>
      <c r="BQ17" s="33">
        <v>12.190746900000001</v>
      </c>
      <c r="BR17" s="33">
        <v>0.26289239999999997</v>
      </c>
      <c r="BS17" s="33">
        <v>14.688224700000001</v>
      </c>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c r="JI17" s="33"/>
      <c r="JJ17" s="33"/>
      <c r="JK17" s="33"/>
      <c r="JL17" s="33"/>
      <c r="JM17" s="33"/>
      <c r="JN17" s="33"/>
      <c r="JO17" s="33"/>
      <c r="JP17" s="33"/>
      <c r="JQ17" s="33"/>
      <c r="JR17" s="33"/>
      <c r="KZ17" s="33"/>
      <c r="LA17" s="33"/>
      <c r="LB17" s="33"/>
      <c r="LC17" s="33"/>
      <c r="LD17" s="33"/>
      <c r="LE17" s="33"/>
      <c r="LF17" s="33"/>
      <c r="LG17" s="33"/>
      <c r="LH17" s="33"/>
      <c r="LI17" s="33"/>
      <c r="LJ17" s="33"/>
      <c r="LK17" s="33"/>
      <c r="LL17" s="33"/>
      <c r="LM17" s="33"/>
      <c r="LN17" s="33"/>
      <c r="LO17" s="33"/>
      <c r="LP17" s="44"/>
      <c r="LQ17" s="44"/>
      <c r="LR17" s="44"/>
      <c r="LS17" s="44"/>
      <c r="LT17" s="44"/>
      <c r="LU17" s="44"/>
      <c r="LV17" s="44"/>
    </row>
    <row r="18" spans="1:334" x14ac:dyDescent="0.2">
      <c r="A18" s="1" t="s">
        <v>7959</v>
      </c>
      <c r="B18" s="1" t="s">
        <v>7939</v>
      </c>
      <c r="D18" s="1" t="s">
        <v>7960</v>
      </c>
      <c r="E18" s="1" t="s">
        <v>7</v>
      </c>
      <c r="F18" s="1" t="s">
        <v>7941</v>
      </c>
      <c r="G18" s="1" t="s">
        <v>7950</v>
      </c>
      <c r="J18" s="1" t="s">
        <v>7943</v>
      </c>
      <c r="K18" s="1">
        <v>2011</v>
      </c>
      <c r="L18" s="1" t="s">
        <v>7944</v>
      </c>
      <c r="M18" s="1" t="s">
        <v>9750</v>
      </c>
      <c r="N18" s="17" t="s">
        <v>7945</v>
      </c>
      <c r="O18" s="33"/>
      <c r="P18" s="33"/>
      <c r="Q18" s="33"/>
      <c r="R18" s="33"/>
      <c r="S18" s="33"/>
      <c r="T18" s="33">
        <v>88.438000000000002</v>
      </c>
      <c r="U18" s="33"/>
      <c r="V18" s="33"/>
      <c r="W18" s="33"/>
      <c r="X18" s="33"/>
      <c r="Y18" s="33"/>
      <c r="Z18" s="33">
        <v>26.825014160000002</v>
      </c>
      <c r="AA18" s="33"/>
      <c r="AB18" s="33"/>
      <c r="AC18" s="33">
        <v>0.87022991999999999</v>
      </c>
      <c r="AD18" s="33"/>
      <c r="AE18" s="33">
        <v>30.030891660000002</v>
      </c>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v>27.036380980000001</v>
      </c>
      <c r="BD18" s="33">
        <v>12.34240728</v>
      </c>
      <c r="BE18" s="33"/>
      <c r="BF18" s="33"/>
      <c r="BG18" s="33"/>
      <c r="BH18" s="33"/>
      <c r="BI18" s="33"/>
      <c r="BJ18" s="33"/>
      <c r="BK18" s="33"/>
      <c r="BL18" s="33"/>
      <c r="BM18" s="33"/>
      <c r="BN18" s="33"/>
      <c r="BO18" s="33"/>
      <c r="BP18" s="33"/>
      <c r="BQ18" s="33">
        <v>12.079746420000001</v>
      </c>
      <c r="BR18" s="33">
        <v>0.26177647999999998</v>
      </c>
      <c r="BS18" s="33">
        <v>14.693973699999999</v>
      </c>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KZ18" s="33"/>
      <c r="LA18" s="33"/>
      <c r="LB18" s="33"/>
      <c r="LC18" s="33"/>
      <c r="LD18" s="33"/>
      <c r="LE18" s="33"/>
      <c r="LF18" s="33"/>
      <c r="LG18" s="33"/>
      <c r="LH18" s="33"/>
      <c r="LI18" s="33"/>
      <c r="LJ18" s="33"/>
      <c r="LK18" s="33"/>
      <c r="LL18" s="33"/>
      <c r="LM18" s="33"/>
      <c r="LN18" s="33"/>
      <c r="LO18" s="33"/>
      <c r="LP18" s="44"/>
      <c r="LQ18" s="44"/>
      <c r="LR18" s="44"/>
      <c r="LS18" s="44"/>
      <c r="LT18" s="44"/>
      <c r="LU18" s="44"/>
      <c r="LV18" s="44"/>
    </row>
    <row r="19" spans="1:334" x14ac:dyDescent="0.2">
      <c r="A19" s="1" t="s">
        <v>7961</v>
      </c>
      <c r="B19" s="1" t="s">
        <v>7939</v>
      </c>
      <c r="D19" s="1" t="s">
        <v>7962</v>
      </c>
      <c r="E19" s="1" t="s">
        <v>7</v>
      </c>
      <c r="F19" s="1" t="s">
        <v>7941</v>
      </c>
      <c r="G19" s="1" t="s">
        <v>7950</v>
      </c>
      <c r="J19" s="1" t="s">
        <v>7943</v>
      </c>
      <c r="K19" s="1">
        <v>2011</v>
      </c>
      <c r="L19" s="1" t="s">
        <v>7944</v>
      </c>
      <c r="M19" s="1" t="s">
        <v>9750</v>
      </c>
      <c r="N19" s="17" t="s">
        <v>7945</v>
      </c>
      <c r="O19" s="33"/>
      <c r="P19" s="33"/>
      <c r="Q19" s="33"/>
      <c r="R19" s="33"/>
      <c r="S19" s="33"/>
      <c r="T19" s="33">
        <v>88.94</v>
      </c>
      <c r="U19" s="33"/>
      <c r="V19" s="33"/>
      <c r="W19" s="33"/>
      <c r="X19" s="33"/>
      <c r="Y19" s="33"/>
      <c r="Z19" s="33">
        <v>26.689115199999996</v>
      </c>
      <c r="AA19" s="33"/>
      <c r="AB19" s="33"/>
      <c r="AC19" s="33">
        <v>0.85560279999999989</v>
      </c>
      <c r="AD19" s="33"/>
      <c r="AE19" s="33">
        <v>30.7430004</v>
      </c>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v>27.047543399999999</v>
      </c>
      <c r="BD19" s="33">
        <v>11.6920524</v>
      </c>
      <c r="BE19" s="33"/>
      <c r="BF19" s="33"/>
      <c r="BG19" s="33"/>
      <c r="BH19" s="33"/>
      <c r="BI19" s="33"/>
      <c r="BJ19" s="33"/>
      <c r="BK19" s="33"/>
      <c r="BL19" s="33"/>
      <c r="BM19" s="33"/>
      <c r="BN19" s="33"/>
      <c r="BO19" s="33"/>
      <c r="BP19" s="33"/>
      <c r="BQ19" s="33">
        <v>11.435905200000001</v>
      </c>
      <c r="BR19" s="33">
        <v>0.2570366</v>
      </c>
      <c r="BS19" s="33">
        <v>15.354601599999999</v>
      </c>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KZ19" s="33"/>
      <c r="LA19" s="33"/>
      <c r="LB19" s="33"/>
      <c r="LC19" s="33"/>
      <c r="LD19" s="33"/>
      <c r="LE19" s="33"/>
      <c r="LF19" s="33"/>
      <c r="LG19" s="33"/>
      <c r="LH19" s="33"/>
      <c r="LI19" s="33"/>
      <c r="LJ19" s="33"/>
      <c r="LK19" s="33"/>
      <c r="LL19" s="33"/>
      <c r="LM19" s="33"/>
      <c r="LN19" s="33"/>
      <c r="LO19" s="33"/>
      <c r="LP19" s="44"/>
      <c r="LQ19" s="44"/>
      <c r="LR19" s="44"/>
      <c r="LS19" s="44"/>
      <c r="LT19" s="44"/>
      <c r="LU19" s="44"/>
      <c r="LV19" s="44"/>
    </row>
    <row r="20" spans="1:334" x14ac:dyDescent="0.2">
      <c r="A20" s="1" t="s">
        <v>7963</v>
      </c>
      <c r="B20" s="1" t="s">
        <v>7964</v>
      </c>
      <c r="D20" s="1" t="s">
        <v>7965</v>
      </c>
      <c r="E20" s="1" t="s">
        <v>7966</v>
      </c>
      <c r="F20" s="1" t="s">
        <v>7967</v>
      </c>
      <c r="J20" s="1" t="s">
        <v>7968</v>
      </c>
      <c r="K20" s="1">
        <v>2012</v>
      </c>
      <c r="L20" s="1" t="s">
        <v>7969</v>
      </c>
      <c r="M20" s="1" t="s">
        <v>7657</v>
      </c>
      <c r="N20" s="17" t="s">
        <v>7945</v>
      </c>
      <c r="O20" s="33">
        <v>1543.6972560000002</v>
      </c>
      <c r="P20" s="33"/>
      <c r="Q20" s="33"/>
      <c r="R20" s="33"/>
      <c r="S20" s="33">
        <v>5.24</v>
      </c>
      <c r="T20" s="33"/>
      <c r="U20" s="33">
        <v>6.25</v>
      </c>
      <c r="V20" s="33"/>
      <c r="W20" s="33"/>
      <c r="X20" s="33"/>
      <c r="Y20" s="33"/>
      <c r="Z20" s="33">
        <v>21.017768</v>
      </c>
      <c r="AA20" s="33"/>
      <c r="AB20" s="33"/>
      <c r="AC20" s="33">
        <v>6.140448000000001</v>
      </c>
      <c r="AD20" s="33"/>
      <c r="AE20" s="33">
        <v>57.633032</v>
      </c>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v>7.0880480000000015</v>
      </c>
      <c r="BG20" s="33"/>
      <c r="BH20" s="33"/>
      <c r="BI20" s="33"/>
      <c r="BJ20" s="33"/>
      <c r="BK20" s="33"/>
      <c r="BL20" s="33"/>
      <c r="BM20" s="33"/>
      <c r="BN20" s="33"/>
      <c r="BO20" s="33"/>
      <c r="BP20" s="33"/>
      <c r="BQ20" s="33"/>
      <c r="BR20" s="33"/>
      <c r="BS20" s="33"/>
      <c r="BT20" s="33"/>
      <c r="BU20" s="33"/>
      <c r="BV20" s="33"/>
      <c r="BW20" s="33"/>
      <c r="BX20" s="33">
        <v>0.38851599999999997</v>
      </c>
      <c r="BY20" s="33">
        <v>1.6867280000000002</v>
      </c>
      <c r="BZ20" s="33">
        <v>1.108692</v>
      </c>
      <c r="CA20" s="33"/>
      <c r="CB20" s="33"/>
      <c r="CC20" s="33"/>
      <c r="CD20" s="33"/>
      <c r="CE20" s="33"/>
      <c r="CF20" s="33"/>
      <c r="CG20" s="33"/>
      <c r="CH20" s="33"/>
      <c r="CI20" s="33"/>
      <c r="CJ20" s="33"/>
      <c r="CK20" s="33"/>
      <c r="CL20" s="33"/>
      <c r="CM20" s="33"/>
      <c r="CN20" s="33"/>
      <c r="CO20" s="33">
        <v>2.956512</v>
      </c>
      <c r="CP20" s="33">
        <v>396.53269599999999</v>
      </c>
      <c r="CQ20" s="33"/>
      <c r="CR20" s="33">
        <v>1.156072</v>
      </c>
      <c r="CS20" s="33">
        <v>8.9832480000000015</v>
      </c>
      <c r="CT20" s="33"/>
      <c r="CU20" s="33">
        <v>1607.2243599999999</v>
      </c>
      <c r="CV20" s="33">
        <v>229.31920000000002</v>
      </c>
      <c r="CW20" s="33">
        <v>2.217384</v>
      </c>
      <c r="CX20" s="33">
        <v>32.332111999999995</v>
      </c>
      <c r="CY20" s="33">
        <v>168.843368</v>
      </c>
      <c r="CZ20" s="33"/>
      <c r="DA20" s="33">
        <v>2.4258560000000005</v>
      </c>
      <c r="DB20" s="33"/>
      <c r="DC20" s="33"/>
      <c r="DD20" s="33"/>
      <c r="DE20" s="33"/>
      <c r="DF20" s="33"/>
      <c r="DG20" s="33"/>
      <c r="DH20" s="33"/>
      <c r="DI20" s="33"/>
      <c r="DJ20" s="33"/>
      <c r="DK20" s="33"/>
      <c r="DL20" s="33"/>
      <c r="DM20" s="33"/>
      <c r="DN20" s="33"/>
      <c r="DO20" s="33"/>
      <c r="DP20" s="33"/>
      <c r="DQ20" s="33"/>
      <c r="DR20" s="33"/>
      <c r="DS20" s="33" t="s">
        <v>9343</v>
      </c>
      <c r="DT20" s="33"/>
      <c r="DU20" s="33"/>
      <c r="DV20" s="33"/>
      <c r="DW20" s="33"/>
      <c r="DX20" s="33"/>
      <c r="DY20" s="33"/>
      <c r="DZ20" s="33"/>
      <c r="EA20" s="33"/>
      <c r="EB20" s="33"/>
      <c r="EC20" s="33"/>
      <c r="ED20" s="33" t="s">
        <v>9344</v>
      </c>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v>1.1792423361600002</v>
      </c>
      <c r="GY20" s="33"/>
      <c r="GZ20" s="33">
        <v>0.49967895600000006</v>
      </c>
      <c r="HA20" s="33"/>
      <c r="HB20" s="33"/>
      <c r="HC20" s="33"/>
      <c r="HD20" s="33"/>
      <c r="HE20" s="33"/>
      <c r="HF20" s="33"/>
      <c r="HG20" s="33"/>
      <c r="HH20" s="33"/>
      <c r="HI20" s="33"/>
      <c r="HJ20" s="33"/>
      <c r="HK20" s="33"/>
      <c r="HL20" s="33"/>
      <c r="HM20" s="33"/>
      <c r="HN20" s="33"/>
      <c r="HO20" s="33"/>
      <c r="HP20" s="33"/>
      <c r="HQ20" s="33"/>
      <c r="HR20" s="33">
        <v>0.8794349625600002</v>
      </c>
      <c r="HS20" s="33"/>
      <c r="HT20" s="33"/>
      <c r="HU20" s="33"/>
      <c r="HV20" s="33"/>
      <c r="HW20" s="33"/>
      <c r="HX20" s="33"/>
      <c r="HY20" s="33"/>
      <c r="HZ20" s="33"/>
      <c r="IA20" s="33"/>
      <c r="IB20" s="33"/>
      <c r="IC20" s="33"/>
      <c r="ID20" s="33"/>
      <c r="IE20" s="33"/>
      <c r="IF20" s="33"/>
      <c r="IG20" s="33"/>
      <c r="IH20" s="33"/>
      <c r="II20" s="33"/>
      <c r="IJ20" s="33"/>
      <c r="IK20" s="33"/>
      <c r="IL20" s="33"/>
      <c r="IM20" s="33"/>
      <c r="IN20" s="33">
        <v>1.3515126048000001</v>
      </c>
      <c r="IO20" s="33"/>
      <c r="IP20" s="33"/>
      <c r="IQ20" s="33"/>
      <c r="IR20" s="33"/>
      <c r="IS20" s="33"/>
      <c r="IT20" s="33"/>
      <c r="IU20" s="33"/>
      <c r="IV20" s="33"/>
      <c r="IW20" s="33"/>
      <c r="IX20" s="33"/>
      <c r="IY20" s="33"/>
      <c r="IZ20" s="33"/>
      <c r="JA20" s="33">
        <v>0.77093324640000005</v>
      </c>
      <c r="JB20" s="33"/>
      <c r="JC20" s="33"/>
      <c r="JD20" s="33"/>
      <c r="JE20" s="33"/>
      <c r="JF20" s="33"/>
      <c r="JG20" s="33"/>
      <c r="JH20" s="33"/>
      <c r="JI20" s="33"/>
      <c r="JJ20" s="33"/>
      <c r="JK20" s="33"/>
      <c r="JL20" s="33"/>
      <c r="JM20" s="33"/>
      <c r="JN20" s="33"/>
      <c r="JO20" s="33"/>
      <c r="JP20" s="33"/>
      <c r="JQ20" s="33"/>
      <c r="JR20" s="33"/>
      <c r="JU20" s="42">
        <v>1176.9950080000001</v>
      </c>
      <c r="JV20" s="42">
        <v>1071.906168</v>
      </c>
      <c r="JX20" s="42">
        <v>2055.5377103999999</v>
      </c>
      <c r="JY20" s="42">
        <v>111.39417040000002</v>
      </c>
      <c r="KB20" s="42">
        <v>2618.8138927999998</v>
      </c>
      <c r="KC20" s="42">
        <v>861.72848799999997</v>
      </c>
      <c r="KD20" s="42">
        <v>664.16146880000008</v>
      </c>
      <c r="KE20" s="42">
        <v>657.85613839999996</v>
      </c>
      <c r="KF20" s="42">
        <v>1389.2744648000003</v>
      </c>
      <c r="KG20" s="42">
        <v>1088.7203824000001</v>
      </c>
      <c r="KH20" s="42">
        <v>180.75280480000001</v>
      </c>
      <c r="KJ20" s="42">
        <v>857.52493440000012</v>
      </c>
      <c r="KK20" s="42">
        <v>727.21477279999999</v>
      </c>
      <c r="KL20" s="42">
        <v>868.03381840000009</v>
      </c>
      <c r="KN20" s="42">
        <v>651.55080800000007</v>
      </c>
      <c r="KO20" s="42">
        <v>117.69950080000001</v>
      </c>
      <c r="KP20" s="42">
        <v>653.6525848</v>
      </c>
      <c r="KQ20" s="42">
        <v>1069.8043911999998</v>
      </c>
      <c r="KZ20" s="33">
        <v>295.65120000000002</v>
      </c>
      <c r="LA20" s="33"/>
      <c r="LB20" s="33"/>
      <c r="LC20" s="33"/>
      <c r="LD20" s="33"/>
      <c r="LE20" s="33"/>
      <c r="LF20" s="33"/>
      <c r="LG20" s="33"/>
      <c r="LH20" s="33"/>
      <c r="LI20" s="33"/>
      <c r="LJ20" s="33"/>
      <c r="LK20" s="33"/>
      <c r="LL20" s="33"/>
      <c r="LM20" s="33"/>
      <c r="LN20" s="33"/>
      <c r="LO20" s="33"/>
      <c r="LP20" s="44">
        <v>217.94800000000004</v>
      </c>
      <c r="LQ20" s="44"/>
      <c r="LR20" s="44">
        <v>739.12800000000004</v>
      </c>
      <c r="LS20" s="44"/>
      <c r="LT20" s="44">
        <v>739.12800000000004</v>
      </c>
      <c r="LU20" s="44">
        <v>170.56799999999998</v>
      </c>
      <c r="LV20" s="44"/>
    </row>
    <row r="21" spans="1:334" x14ac:dyDescent="0.2">
      <c r="A21" s="1" t="s">
        <v>7970</v>
      </c>
      <c r="B21" s="1" t="s">
        <v>7971</v>
      </c>
      <c r="D21" s="1" t="s">
        <v>7972</v>
      </c>
      <c r="E21" s="1" t="s">
        <v>7966</v>
      </c>
      <c r="F21" s="1" t="s">
        <v>7973</v>
      </c>
      <c r="J21" s="1" t="s">
        <v>7968</v>
      </c>
      <c r="K21" s="1">
        <v>2012</v>
      </c>
      <c r="L21" s="1" t="s">
        <v>7969</v>
      </c>
      <c r="M21" s="1" t="s">
        <v>7657</v>
      </c>
      <c r="N21" s="17" t="s">
        <v>7945</v>
      </c>
      <c r="O21" s="33">
        <v>1545.643008</v>
      </c>
      <c r="P21" s="33"/>
      <c r="Q21" s="33"/>
      <c r="R21" s="33"/>
      <c r="S21" s="33">
        <v>4.24</v>
      </c>
      <c r="T21" s="33"/>
      <c r="U21" s="33">
        <v>6.25</v>
      </c>
      <c r="V21" s="33"/>
      <c r="W21" s="33"/>
      <c r="X21" s="33"/>
      <c r="Y21" s="33"/>
      <c r="Z21" s="33">
        <v>20.492640000000002</v>
      </c>
      <c r="AA21" s="33"/>
      <c r="AB21" s="33"/>
      <c r="AC21" s="33">
        <v>4.0219200000000006</v>
      </c>
      <c r="AD21" s="33"/>
      <c r="AE21" s="33">
        <v>62.981351999999994</v>
      </c>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v>5.0274000000000001</v>
      </c>
      <c r="BG21" s="33"/>
      <c r="BH21" s="33"/>
      <c r="BI21" s="33"/>
      <c r="BJ21" s="33"/>
      <c r="BK21" s="33"/>
      <c r="BL21" s="33"/>
      <c r="BM21" s="33"/>
      <c r="BN21" s="33"/>
      <c r="BO21" s="33"/>
      <c r="BP21" s="33"/>
      <c r="BQ21" s="33"/>
      <c r="BR21" s="33"/>
      <c r="BS21" s="33"/>
      <c r="BT21" s="33"/>
      <c r="BU21" s="33"/>
      <c r="BV21" s="33"/>
      <c r="BW21" s="33"/>
      <c r="BX21" s="33">
        <v>0.96717600000000004</v>
      </c>
      <c r="BY21" s="33">
        <v>2.0301120000000004</v>
      </c>
      <c r="BZ21" s="33">
        <v>1.7619840000000002</v>
      </c>
      <c r="CA21" s="33"/>
      <c r="CB21" s="33"/>
      <c r="CC21" s="33"/>
      <c r="CD21" s="33"/>
      <c r="CE21" s="33"/>
      <c r="CF21" s="33"/>
      <c r="CG21" s="33"/>
      <c r="CH21" s="33"/>
      <c r="CI21" s="33"/>
      <c r="CJ21" s="33"/>
      <c r="CK21" s="33"/>
      <c r="CL21" s="33"/>
      <c r="CM21" s="33"/>
      <c r="CN21" s="33"/>
      <c r="CO21" s="33">
        <v>3.2366880000000005</v>
      </c>
      <c r="CP21" s="33">
        <v>419.56286400000005</v>
      </c>
      <c r="CQ21" s="33"/>
      <c r="CR21" s="33">
        <v>0.68947199999999997</v>
      </c>
      <c r="CS21" s="33">
        <v>7.2203039999999996</v>
      </c>
      <c r="CT21" s="33"/>
      <c r="CU21" s="33">
        <v>2051.46648</v>
      </c>
      <c r="CV21" s="33">
        <v>161.06832</v>
      </c>
      <c r="CW21" s="33">
        <v>2.5472160000000001</v>
      </c>
      <c r="CX21" s="33">
        <v>26.180784000000003</v>
      </c>
      <c r="CY21" s="33">
        <v>221.35881600000002</v>
      </c>
      <c r="CZ21" s="33"/>
      <c r="DA21" s="33">
        <v>2.0109600000000003</v>
      </c>
      <c r="DB21" s="33"/>
      <c r="DC21" s="33"/>
      <c r="DD21" s="33"/>
      <c r="DE21" s="33"/>
      <c r="DF21" s="33"/>
      <c r="DG21" s="33"/>
      <c r="DH21" s="33"/>
      <c r="DI21" s="33"/>
      <c r="DJ21" s="33"/>
      <c r="DK21" s="33"/>
      <c r="DL21" s="33"/>
      <c r="DM21" s="33"/>
      <c r="DN21" s="33"/>
      <c r="DO21" s="33"/>
      <c r="DP21" s="33"/>
      <c r="DQ21" s="33"/>
      <c r="DR21" s="33"/>
      <c r="DS21" s="33" t="s">
        <v>9345</v>
      </c>
      <c r="DT21" s="33"/>
      <c r="DU21" s="33"/>
      <c r="DV21" s="33"/>
      <c r="DW21" s="33"/>
      <c r="DX21" s="33"/>
      <c r="DY21" s="33"/>
      <c r="DZ21" s="33"/>
      <c r="EA21" s="33"/>
      <c r="EB21" s="33"/>
      <c r="EC21" s="33"/>
      <c r="ED21" s="33" t="s">
        <v>9346</v>
      </c>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v>0.66329504640000014</v>
      </c>
      <c r="GY21" s="33"/>
      <c r="GZ21" s="33">
        <v>0.30172443840000002</v>
      </c>
      <c r="HA21" s="33"/>
      <c r="HB21" s="33"/>
      <c r="HC21" s="33"/>
      <c r="HD21" s="33"/>
      <c r="HE21" s="33"/>
      <c r="HF21" s="33"/>
      <c r="HG21" s="33"/>
      <c r="HH21" s="33"/>
      <c r="HI21" s="33"/>
      <c r="HJ21" s="33"/>
      <c r="HK21" s="33"/>
      <c r="HL21" s="33"/>
      <c r="HM21" s="33"/>
      <c r="HN21" s="33"/>
      <c r="HO21" s="33"/>
      <c r="HP21" s="33"/>
      <c r="HQ21" s="33"/>
      <c r="HR21" s="33">
        <v>0.40957222320000009</v>
      </c>
      <c r="HS21" s="33"/>
      <c r="HT21" s="33"/>
      <c r="HU21" s="33"/>
      <c r="HV21" s="33"/>
      <c r="HW21" s="33"/>
      <c r="HX21" s="33"/>
      <c r="HY21" s="33"/>
      <c r="HZ21" s="33"/>
      <c r="IA21" s="33"/>
      <c r="IB21" s="33"/>
      <c r="IC21" s="33"/>
      <c r="ID21" s="33"/>
      <c r="IE21" s="33"/>
      <c r="IF21" s="33"/>
      <c r="IG21" s="33"/>
      <c r="IH21" s="33"/>
      <c r="II21" s="33"/>
      <c r="IJ21" s="33"/>
      <c r="IK21" s="33"/>
      <c r="IL21" s="33"/>
      <c r="IM21" s="33"/>
      <c r="IN21" s="33">
        <v>0.90454991760000014</v>
      </c>
      <c r="IO21" s="33"/>
      <c r="IP21" s="33"/>
      <c r="IQ21" s="33"/>
      <c r="IR21" s="33"/>
      <c r="IS21" s="33"/>
      <c r="IT21" s="33"/>
      <c r="IU21" s="33"/>
      <c r="IV21" s="33"/>
      <c r="IW21" s="33"/>
      <c r="IX21" s="33"/>
      <c r="IY21" s="33"/>
      <c r="IZ21" s="33"/>
      <c r="JA21" s="33">
        <v>0.78361078320000022</v>
      </c>
      <c r="JB21" s="33"/>
      <c r="JC21" s="33"/>
      <c r="JD21" s="33"/>
      <c r="JE21" s="33"/>
      <c r="JF21" s="33"/>
      <c r="JG21" s="33"/>
      <c r="JH21" s="33"/>
      <c r="JI21" s="33"/>
      <c r="JJ21" s="33"/>
      <c r="JK21" s="33"/>
      <c r="JL21" s="33"/>
      <c r="JM21" s="33"/>
      <c r="JN21" s="33"/>
      <c r="JO21" s="33"/>
      <c r="JP21" s="33"/>
      <c r="JQ21" s="33"/>
      <c r="JR21" s="33"/>
      <c r="JU21" s="42">
        <v>1073.8143360000001</v>
      </c>
      <c r="JV21" s="42">
        <v>1098.4055040000001</v>
      </c>
      <c r="JX21" s="42">
        <v>2557.4814720000004</v>
      </c>
      <c r="JY21" s="42">
        <v>159.84259200000002</v>
      </c>
      <c r="KB21" s="42">
        <v>2315.6683200000002</v>
      </c>
      <c r="KC21" s="42">
        <v>713.14387199999999</v>
      </c>
      <c r="KD21" s="42">
        <v>856.59235199999989</v>
      </c>
      <c r="KE21" s="42">
        <v>975.4496640000001</v>
      </c>
      <c r="KF21" s="42">
        <v>1381.2039360000003</v>
      </c>
      <c r="KG21" s="42">
        <v>1209.0657600000002</v>
      </c>
      <c r="KH21" s="42">
        <v>170.08891200000002</v>
      </c>
      <c r="KJ21" s="42">
        <v>1049.2231680000002</v>
      </c>
      <c r="KK21" s="42">
        <v>766.42473600000017</v>
      </c>
      <c r="KL21" s="42">
        <v>893.47910400000023</v>
      </c>
      <c r="KN21" s="42">
        <v>881.18352000000004</v>
      </c>
      <c r="KO21" s="42">
        <v>176.23670400000003</v>
      </c>
      <c r="KP21" s="42">
        <v>643.46889600000009</v>
      </c>
      <c r="KQ21" s="42">
        <v>1086.1099200000001</v>
      </c>
      <c r="KZ21" s="33">
        <v>417.5136</v>
      </c>
      <c r="LA21" s="33"/>
      <c r="LB21" s="33"/>
      <c r="LC21" s="33"/>
      <c r="LD21" s="33"/>
      <c r="LE21" s="33"/>
      <c r="LF21" s="33"/>
      <c r="LG21" s="33"/>
      <c r="LH21" s="33"/>
      <c r="LI21" s="33"/>
      <c r="LJ21" s="33"/>
      <c r="LK21" s="33"/>
      <c r="LL21" s="33"/>
      <c r="LM21" s="33"/>
      <c r="LN21" s="33"/>
      <c r="LO21" s="33"/>
      <c r="LP21" s="44">
        <v>344.73599999999999</v>
      </c>
      <c r="LQ21" s="44"/>
      <c r="LR21" s="44">
        <v>1158.6959999999999</v>
      </c>
      <c r="LS21" s="44"/>
      <c r="LT21" s="44">
        <v>995.904</v>
      </c>
      <c r="LU21" s="44">
        <v>134.06400000000002</v>
      </c>
      <c r="LV21" s="44"/>
    </row>
    <row r="22" spans="1:334" x14ac:dyDescent="0.2">
      <c r="A22" s="1" t="s">
        <v>7974</v>
      </c>
      <c r="B22" s="1" t="s">
        <v>7975</v>
      </c>
      <c r="D22" s="1" t="s">
        <v>7976</v>
      </c>
      <c r="E22" s="1" t="s">
        <v>7966</v>
      </c>
      <c r="F22" s="1" t="s">
        <v>7977</v>
      </c>
      <c r="H22" s="1" t="s">
        <v>7978</v>
      </c>
      <c r="I22" s="1" t="s">
        <v>7979</v>
      </c>
      <c r="J22" s="1" t="s">
        <v>7980</v>
      </c>
      <c r="K22" s="1">
        <v>2005</v>
      </c>
      <c r="L22" s="1" t="s">
        <v>7981</v>
      </c>
      <c r="M22" s="1" t="s">
        <v>7657</v>
      </c>
      <c r="N22" s="17" t="s">
        <v>7945</v>
      </c>
      <c r="O22" s="33">
        <v>1411.671</v>
      </c>
      <c r="P22" s="33"/>
      <c r="Q22" s="33"/>
      <c r="R22" s="33"/>
      <c r="S22" s="33">
        <v>5.7</v>
      </c>
      <c r="T22" s="33"/>
      <c r="U22" s="33">
        <v>6.25</v>
      </c>
      <c r="V22" s="33"/>
      <c r="W22" s="33"/>
      <c r="X22" s="33"/>
      <c r="Y22" s="33"/>
      <c r="Z22" s="33">
        <v>20.463100000000001</v>
      </c>
      <c r="AA22" s="33"/>
      <c r="AB22" s="33"/>
      <c r="AC22" s="33">
        <v>2.9232999999999998</v>
      </c>
      <c r="AD22" s="33"/>
      <c r="AE22" s="33">
        <v>57.523000000000003</v>
      </c>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v>10.1844</v>
      </c>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v>3.2061999999999999</v>
      </c>
      <c r="CP22" s="33">
        <v>507.14539999999994</v>
      </c>
      <c r="CQ22" s="33"/>
      <c r="CR22" s="33">
        <v>0.28289999999999998</v>
      </c>
      <c r="CS22" s="33">
        <v>3.3948</v>
      </c>
      <c r="CT22" s="33"/>
      <c r="CU22" s="33">
        <v>540.52760000000001</v>
      </c>
      <c r="CV22" s="33">
        <v>272.2441</v>
      </c>
      <c r="CW22" s="33">
        <v>0.94299999999999995</v>
      </c>
      <c r="CX22" s="33" t="s">
        <v>9347</v>
      </c>
      <c r="CY22" s="33">
        <v>568.72329999999999</v>
      </c>
      <c r="CZ22" s="33"/>
      <c r="DA22" s="33">
        <v>1.8859999999999999</v>
      </c>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U22" s="42">
        <v>669.14337</v>
      </c>
      <c r="JV22" s="42">
        <v>1401.72235</v>
      </c>
      <c r="JX22" s="42">
        <v>2216.1537300000005</v>
      </c>
      <c r="JY22" s="42" t="s">
        <v>17</v>
      </c>
      <c r="KB22" s="42">
        <v>3851.15542</v>
      </c>
      <c r="KC22" s="42">
        <v>1174.5819400000003</v>
      </c>
      <c r="KD22" s="42">
        <v>1078.4053699999999</v>
      </c>
      <c r="KE22" s="42">
        <v>783.73673000000008</v>
      </c>
      <c r="KF22" s="42">
        <v>1274.85113</v>
      </c>
      <c r="KG22" s="42">
        <v>1323.9625699999999</v>
      </c>
      <c r="KH22" s="42">
        <v>169.84373000000002</v>
      </c>
      <c r="KJ22" s="42">
        <v>1190.9524200000001</v>
      </c>
      <c r="KK22" s="42" t="s">
        <v>17</v>
      </c>
      <c r="KL22" s="42">
        <v>826.70924000000002</v>
      </c>
      <c r="KN22" s="42">
        <v>587.29097000000013</v>
      </c>
      <c r="KO22" s="42" t="s">
        <v>17</v>
      </c>
      <c r="KP22" s="42">
        <v>382.65997000000004</v>
      </c>
      <c r="KQ22" s="42">
        <v>896.28377999999998</v>
      </c>
      <c r="KZ22" s="33"/>
      <c r="LA22" s="33"/>
      <c r="LB22" s="33"/>
      <c r="LC22" s="33"/>
      <c r="LD22" s="33"/>
      <c r="LE22" s="33"/>
      <c r="LF22" s="33"/>
      <c r="LG22" s="33"/>
      <c r="LH22" s="33"/>
      <c r="LI22" s="33"/>
      <c r="LJ22" s="33"/>
      <c r="LK22" s="33"/>
      <c r="LL22" s="33"/>
      <c r="LM22" s="33"/>
      <c r="LN22" s="33"/>
      <c r="LO22" s="33"/>
      <c r="LP22" s="44">
        <v>396.05999999999995</v>
      </c>
      <c r="LQ22" s="44"/>
      <c r="LR22" s="44">
        <v>386.63</v>
      </c>
      <c r="LS22" s="44"/>
      <c r="LT22" s="44">
        <v>1480.5099999999998</v>
      </c>
      <c r="LU22" s="44"/>
      <c r="LV22" s="44"/>
    </row>
    <row r="23" spans="1:334" x14ac:dyDescent="0.2">
      <c r="A23" s="1" t="s">
        <v>7982</v>
      </c>
      <c r="B23" s="1" t="s">
        <v>7983</v>
      </c>
      <c r="D23" s="1" t="s">
        <v>7984</v>
      </c>
      <c r="E23" s="1" t="s">
        <v>7966</v>
      </c>
      <c r="F23" s="1" t="s">
        <v>7985</v>
      </c>
      <c r="H23" s="1" t="s">
        <v>7978</v>
      </c>
      <c r="I23" s="1" t="s">
        <v>7979</v>
      </c>
      <c r="J23" s="1" t="s">
        <v>7980</v>
      </c>
      <c r="K23" s="1">
        <v>2005</v>
      </c>
      <c r="L23" s="1" t="s">
        <v>7981</v>
      </c>
      <c r="M23" s="1" t="s">
        <v>7657</v>
      </c>
      <c r="N23" s="17" t="s">
        <v>7945</v>
      </c>
      <c r="O23" s="33">
        <v>1515.432</v>
      </c>
      <c r="P23" s="33"/>
      <c r="Q23" s="33"/>
      <c r="R23" s="33"/>
      <c r="S23" s="33">
        <v>6.8</v>
      </c>
      <c r="T23" s="33"/>
      <c r="U23" s="33">
        <v>6.25</v>
      </c>
      <c r="V23" s="33"/>
      <c r="W23" s="33"/>
      <c r="X23" s="33"/>
      <c r="Y23" s="33"/>
      <c r="Z23" s="33">
        <v>18.919599999999999</v>
      </c>
      <c r="AA23" s="33"/>
      <c r="AB23" s="33"/>
      <c r="AC23" s="33">
        <v>6.8968000000000007</v>
      </c>
      <c r="AD23" s="33"/>
      <c r="AE23" s="33">
        <v>56.199600000000004</v>
      </c>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v>6.3376000000000001</v>
      </c>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v>4.7531999999999996</v>
      </c>
      <c r="CP23" s="33">
        <v>533.29040000000009</v>
      </c>
      <c r="CQ23" s="33"/>
      <c r="CR23" s="33">
        <v>0.93200000000000005</v>
      </c>
      <c r="CS23" s="33">
        <v>9.9724000000000004</v>
      </c>
      <c r="CT23" s="33"/>
      <c r="CU23" s="33">
        <v>1450.0056</v>
      </c>
      <c r="CV23" s="33">
        <v>640.00440000000015</v>
      </c>
      <c r="CW23" s="33">
        <v>1.9572000000000003</v>
      </c>
      <c r="CX23" s="33">
        <v>39.982800000000005</v>
      </c>
      <c r="CY23" s="33">
        <v>883.3495999999999</v>
      </c>
      <c r="CZ23" s="33"/>
      <c r="DA23" s="33">
        <v>27.96</v>
      </c>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U23" s="42">
        <v>726.51263999999992</v>
      </c>
      <c r="JV23" s="42">
        <v>1224.0981199999999</v>
      </c>
      <c r="JX23" s="42">
        <v>2557.92992</v>
      </c>
      <c r="JY23" s="42" t="s">
        <v>17</v>
      </c>
      <c r="KB23" s="42">
        <v>3918.2491599999998</v>
      </c>
      <c r="KC23" s="42">
        <v>1033.0101599999998</v>
      </c>
      <c r="KD23" s="42">
        <v>393.52767999999998</v>
      </c>
      <c r="KE23" s="42">
        <v>792.73124000000007</v>
      </c>
      <c r="KF23" s="42">
        <v>1250.58556</v>
      </c>
      <c r="KG23" s="42">
        <v>1354.64336</v>
      </c>
      <c r="KH23" s="42">
        <v>187.30404000000001</v>
      </c>
      <c r="KJ23" s="42">
        <v>832.4624</v>
      </c>
      <c r="KK23" s="42" t="s">
        <v>17</v>
      </c>
      <c r="KL23" s="42">
        <v>911.92471999999987</v>
      </c>
      <c r="KN23" s="42">
        <v>607.31916000000001</v>
      </c>
      <c r="KO23" s="42" t="s">
        <v>17</v>
      </c>
      <c r="KP23" s="42">
        <v>459.74628000000001</v>
      </c>
      <c r="KQ23" s="42">
        <v>790.8392799999998</v>
      </c>
      <c r="KZ23" s="33"/>
      <c r="LA23" s="33"/>
      <c r="LB23" s="33"/>
      <c r="LC23" s="33"/>
      <c r="LD23" s="33"/>
      <c r="LE23" s="33"/>
      <c r="LF23" s="33"/>
      <c r="LG23" s="33"/>
      <c r="LH23" s="33"/>
      <c r="LI23" s="33"/>
      <c r="LJ23" s="33"/>
      <c r="LK23" s="33"/>
      <c r="LL23" s="33"/>
      <c r="LM23" s="33"/>
      <c r="LN23" s="33"/>
      <c r="LO23" s="33"/>
      <c r="LP23" s="44">
        <v>559.20000000000005</v>
      </c>
      <c r="LQ23" s="44"/>
      <c r="LR23" s="44">
        <v>615.12000000000012</v>
      </c>
      <c r="LS23" s="44"/>
      <c r="LT23" s="44">
        <v>1248.8799999999999</v>
      </c>
      <c r="LU23" s="44"/>
      <c r="LV23" s="44"/>
    </row>
    <row r="24" spans="1:334" x14ac:dyDescent="0.2">
      <c r="A24" s="1" t="s">
        <v>7986</v>
      </c>
      <c r="B24" s="1" t="s">
        <v>7987</v>
      </c>
      <c r="D24" s="1" t="s">
        <v>7988</v>
      </c>
      <c r="E24" s="1" t="s">
        <v>7</v>
      </c>
      <c r="F24" s="1" t="s">
        <v>7989</v>
      </c>
      <c r="I24" s="1">
        <v>1</v>
      </c>
      <c r="J24" s="1" t="s">
        <v>7990</v>
      </c>
      <c r="K24" s="1">
        <v>1997</v>
      </c>
      <c r="L24" s="1" t="s">
        <v>7991</v>
      </c>
      <c r="M24" s="1" t="s">
        <v>7657</v>
      </c>
      <c r="N24" s="17" t="s">
        <v>7945</v>
      </c>
      <c r="O24" s="33"/>
      <c r="P24" s="33"/>
      <c r="Q24" s="33"/>
      <c r="R24" s="33"/>
      <c r="S24" s="33">
        <v>5.8</v>
      </c>
      <c r="T24" s="33">
        <v>94.6</v>
      </c>
      <c r="U24" s="33">
        <v>6.25</v>
      </c>
      <c r="V24" s="33"/>
      <c r="W24" s="33"/>
      <c r="X24" s="33"/>
      <c r="Y24" s="33"/>
      <c r="Z24" s="33">
        <v>16.600000000000001</v>
      </c>
      <c r="AA24" s="33"/>
      <c r="AB24" s="33"/>
      <c r="AC24" s="33">
        <v>37.15</v>
      </c>
      <c r="AD24" s="33"/>
      <c r="AE24" s="33">
        <v>32.299999999999997</v>
      </c>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v>5.65</v>
      </c>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v>2.5</v>
      </c>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KZ24" s="33"/>
      <c r="LA24" s="33"/>
      <c r="LB24" s="33"/>
      <c r="LC24" s="33"/>
      <c r="LD24" s="33"/>
      <c r="LE24" s="33"/>
      <c r="LF24" s="33"/>
      <c r="LG24" s="33"/>
      <c r="LH24" s="33"/>
      <c r="LI24" s="33"/>
      <c r="LJ24" s="33"/>
      <c r="LK24" s="33"/>
      <c r="LL24" s="33"/>
      <c r="LM24" s="33"/>
      <c r="LN24" s="33"/>
      <c r="LO24" s="33"/>
      <c r="LP24" s="44"/>
      <c r="LQ24" s="44"/>
      <c r="LR24" s="44"/>
      <c r="LS24" s="44"/>
      <c r="LT24" s="44"/>
      <c r="LU24" s="44"/>
      <c r="LV24" s="44"/>
    </row>
    <row r="25" spans="1:334" x14ac:dyDescent="0.2">
      <c r="A25" s="1" t="s">
        <v>7992</v>
      </c>
      <c r="B25" s="1" t="s">
        <v>7987</v>
      </c>
      <c r="D25" s="1" t="s">
        <v>7993</v>
      </c>
      <c r="E25" s="1" t="s">
        <v>7</v>
      </c>
      <c r="F25" s="1" t="s">
        <v>7994</v>
      </c>
      <c r="I25" s="1">
        <v>1</v>
      </c>
      <c r="J25" s="1" t="s">
        <v>7990</v>
      </c>
      <c r="K25" s="1">
        <v>1997</v>
      </c>
      <c r="L25" s="1" t="s">
        <v>7991</v>
      </c>
      <c r="M25" s="1" t="s">
        <v>7657</v>
      </c>
      <c r="N25" s="17" t="s">
        <v>7945</v>
      </c>
      <c r="O25" s="33"/>
      <c r="P25" s="33"/>
      <c r="Q25" s="33"/>
      <c r="R25" s="33"/>
      <c r="S25" s="33">
        <v>4.8</v>
      </c>
      <c r="T25" s="33">
        <v>95.2</v>
      </c>
      <c r="U25" s="33">
        <v>6.25</v>
      </c>
      <c r="V25" s="33"/>
      <c r="W25" s="33"/>
      <c r="X25" s="33"/>
      <c r="Y25" s="33"/>
      <c r="Z25" s="33">
        <v>33.700000000000003</v>
      </c>
      <c r="AA25" s="33"/>
      <c r="AB25" s="33"/>
      <c r="AC25" s="33">
        <v>51.5</v>
      </c>
      <c r="AD25" s="33"/>
      <c r="AE25" s="33">
        <v>3.66</v>
      </c>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v>3.65</v>
      </c>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v>2.7</v>
      </c>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KZ25" s="33"/>
      <c r="LA25" s="33"/>
      <c r="LB25" s="33"/>
      <c r="LC25" s="33"/>
      <c r="LD25" s="33"/>
      <c r="LE25" s="33"/>
      <c r="LF25" s="33"/>
      <c r="LG25" s="33"/>
      <c r="LH25" s="33"/>
      <c r="LI25" s="33"/>
      <c r="LJ25" s="33"/>
      <c r="LK25" s="33"/>
      <c r="LL25" s="33"/>
      <c r="LM25" s="33"/>
      <c r="LN25" s="33"/>
      <c r="LO25" s="33"/>
      <c r="LP25" s="44"/>
      <c r="LQ25" s="44"/>
      <c r="LR25" s="44"/>
      <c r="LS25" s="44"/>
      <c r="LT25" s="44"/>
      <c r="LU25" s="44"/>
      <c r="LV25" s="44"/>
    </row>
    <row r="26" spans="1:334" x14ac:dyDescent="0.2">
      <c r="A26" s="1" t="s">
        <v>7995</v>
      </c>
      <c r="B26" s="1" t="s">
        <v>7996</v>
      </c>
      <c r="D26" s="1" t="s">
        <v>7988</v>
      </c>
      <c r="E26" s="1" t="s">
        <v>7</v>
      </c>
      <c r="F26" s="1" t="s">
        <v>7989</v>
      </c>
      <c r="I26" s="1">
        <v>1</v>
      </c>
      <c r="J26" s="1" t="s">
        <v>7990</v>
      </c>
      <c r="K26" s="1">
        <v>1997</v>
      </c>
      <c r="L26" s="1" t="s">
        <v>7991</v>
      </c>
      <c r="M26" s="1" t="s">
        <v>7657</v>
      </c>
      <c r="N26" s="17" t="s">
        <v>7945</v>
      </c>
      <c r="O26" s="33"/>
      <c r="P26" s="33"/>
      <c r="Q26" s="33"/>
      <c r="R26" s="33"/>
      <c r="S26" s="33">
        <v>7</v>
      </c>
      <c r="T26" s="33">
        <v>93</v>
      </c>
      <c r="U26" s="33">
        <v>6.25</v>
      </c>
      <c r="V26" s="33"/>
      <c r="W26" s="33"/>
      <c r="X26" s="33"/>
      <c r="Y26" s="33"/>
      <c r="Z26" s="33">
        <v>15</v>
      </c>
      <c r="AA26" s="33"/>
      <c r="AB26" s="33"/>
      <c r="AC26" s="33">
        <v>39.5</v>
      </c>
      <c r="AD26" s="33"/>
      <c r="AE26" s="33">
        <v>32.4</v>
      </c>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v>3.5</v>
      </c>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v>2.6</v>
      </c>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KZ26" s="33"/>
      <c r="LA26" s="33"/>
      <c r="LB26" s="33"/>
      <c r="LC26" s="33"/>
      <c r="LD26" s="33"/>
      <c r="LE26" s="33"/>
      <c r="LF26" s="33"/>
      <c r="LG26" s="33"/>
      <c r="LH26" s="33"/>
      <c r="LI26" s="33"/>
      <c r="LJ26" s="33"/>
      <c r="LK26" s="33"/>
      <c r="LL26" s="33"/>
      <c r="LM26" s="33"/>
      <c r="LN26" s="33"/>
      <c r="LO26" s="33"/>
      <c r="LP26" s="44"/>
      <c r="LQ26" s="44"/>
      <c r="LR26" s="44"/>
      <c r="LS26" s="44"/>
      <c r="LT26" s="44"/>
      <c r="LU26" s="44"/>
      <c r="LV26" s="44"/>
    </row>
    <row r="27" spans="1:334" x14ac:dyDescent="0.2">
      <c r="A27" s="1" t="s">
        <v>7997</v>
      </c>
      <c r="B27" s="1" t="s">
        <v>7996</v>
      </c>
      <c r="D27" s="1" t="s">
        <v>7993</v>
      </c>
      <c r="E27" s="1" t="s">
        <v>7</v>
      </c>
      <c r="F27" s="1" t="s">
        <v>7994</v>
      </c>
      <c r="I27" s="1">
        <v>1</v>
      </c>
      <c r="J27" s="1" t="s">
        <v>7990</v>
      </c>
      <c r="K27" s="1">
        <v>1997</v>
      </c>
      <c r="L27" s="1" t="s">
        <v>7991</v>
      </c>
      <c r="M27" s="1" t="s">
        <v>7657</v>
      </c>
      <c r="N27" s="17" t="s">
        <v>7945</v>
      </c>
      <c r="O27" s="33"/>
      <c r="P27" s="33"/>
      <c r="Q27" s="33"/>
      <c r="R27" s="33"/>
      <c r="S27" s="33">
        <v>5.32</v>
      </c>
      <c r="T27" s="33">
        <v>94.68</v>
      </c>
      <c r="U27" s="33">
        <v>6.25</v>
      </c>
      <c r="V27" s="33"/>
      <c r="W27" s="33"/>
      <c r="X27" s="33"/>
      <c r="Y27" s="33"/>
      <c r="Z27" s="33">
        <v>46.5</v>
      </c>
      <c r="AA27" s="33"/>
      <c r="AB27" s="33"/>
      <c r="AC27" s="33">
        <v>37</v>
      </c>
      <c r="AD27" s="33"/>
      <c r="AE27" s="33">
        <v>5.9</v>
      </c>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v>3.1</v>
      </c>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v>2.8</v>
      </c>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KZ27" s="33"/>
      <c r="LA27" s="33"/>
      <c r="LB27" s="33"/>
      <c r="LC27" s="33"/>
      <c r="LD27" s="33"/>
      <c r="LE27" s="33"/>
      <c r="LF27" s="33"/>
      <c r="LG27" s="33"/>
      <c r="LH27" s="33"/>
      <c r="LI27" s="33"/>
      <c r="LJ27" s="33"/>
      <c r="LK27" s="33"/>
      <c r="LL27" s="33"/>
      <c r="LM27" s="33"/>
      <c r="LN27" s="33"/>
      <c r="LO27" s="33"/>
      <c r="LP27" s="44"/>
      <c r="LQ27" s="44"/>
      <c r="LR27" s="44"/>
      <c r="LS27" s="44"/>
      <c r="LT27" s="44"/>
      <c r="LU27" s="44"/>
      <c r="LV27" s="44"/>
    </row>
    <row r="28" spans="1:334" x14ac:dyDescent="0.2">
      <c r="A28" s="1" t="s">
        <v>7998</v>
      </c>
      <c r="B28" s="1" t="s">
        <v>7999</v>
      </c>
      <c r="D28" s="1" t="s">
        <v>8000</v>
      </c>
      <c r="E28" s="1" t="s">
        <v>7966</v>
      </c>
      <c r="F28" s="1" t="s">
        <v>8001</v>
      </c>
      <c r="I28" s="1">
        <v>1</v>
      </c>
      <c r="J28" s="1" t="s">
        <v>8002</v>
      </c>
      <c r="K28" s="1">
        <v>2001</v>
      </c>
      <c r="L28" s="1" t="s">
        <v>8003</v>
      </c>
      <c r="M28" s="1" t="s">
        <v>7657</v>
      </c>
      <c r="N28" s="17" t="s">
        <v>7945</v>
      </c>
      <c r="O28" s="33"/>
      <c r="P28" s="33"/>
      <c r="Q28" s="33">
        <v>1789.9999999999998</v>
      </c>
      <c r="R28" s="33"/>
      <c r="S28" s="33"/>
      <c r="T28" s="33">
        <v>91.2</v>
      </c>
      <c r="U28" s="33"/>
      <c r="V28" s="33"/>
      <c r="W28" s="33"/>
      <c r="X28" s="33"/>
      <c r="Y28" s="33"/>
      <c r="Z28" s="33">
        <v>22.7088</v>
      </c>
      <c r="AA28" s="33"/>
      <c r="AB28" s="33">
        <v>1.8787200000000002</v>
      </c>
      <c r="AC28" s="33"/>
      <c r="AD28" s="33"/>
      <c r="AE28" s="33">
        <v>54.355200000000004</v>
      </c>
      <c r="AF28" s="33"/>
      <c r="AG28" s="33"/>
      <c r="AH28" s="33"/>
      <c r="AI28" s="33"/>
      <c r="AJ28" s="33"/>
      <c r="AK28" s="33"/>
      <c r="AL28" s="33"/>
      <c r="AM28" s="33">
        <v>29.184000000000001</v>
      </c>
      <c r="AN28" s="33"/>
      <c r="AO28" s="33"/>
      <c r="AP28" s="33"/>
      <c r="AQ28" s="33">
        <v>8.2080000000000002</v>
      </c>
      <c r="AR28" s="33"/>
      <c r="AS28" s="33"/>
      <c r="AT28" s="33"/>
      <c r="AU28" s="33"/>
      <c r="AV28" s="33"/>
      <c r="AW28" s="33"/>
      <c r="AX28" s="33"/>
      <c r="AY28" s="33"/>
      <c r="AZ28" s="33"/>
      <c r="BA28" s="33"/>
      <c r="BB28" s="33">
        <v>21.525024000000002</v>
      </c>
      <c r="BC28" s="33"/>
      <c r="BD28" s="33"/>
      <c r="BE28" s="33">
        <v>9.5486400000000007</v>
      </c>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v>2.76336</v>
      </c>
      <c r="CP28" s="33">
        <v>205.2</v>
      </c>
      <c r="CQ28" s="33"/>
      <c r="CR28" s="33">
        <v>1.7236799999999999</v>
      </c>
      <c r="CS28" s="33">
        <v>4.6329600000000006</v>
      </c>
      <c r="CT28" s="33"/>
      <c r="CU28" s="33">
        <v>891.02400000000011</v>
      </c>
      <c r="CV28" s="33">
        <v>144.096</v>
      </c>
      <c r="CW28" s="33">
        <v>1.28592</v>
      </c>
      <c r="CX28" s="33">
        <v>16.051200000000001</v>
      </c>
      <c r="CY28" s="33">
        <v>296.39999999999998</v>
      </c>
      <c r="CZ28" s="33"/>
      <c r="DA28" s="33">
        <v>11.47296</v>
      </c>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v>0.42005830800000005</v>
      </c>
      <c r="GE28" s="33"/>
      <c r="GF28" s="33"/>
      <c r="GG28" s="33"/>
      <c r="GH28" s="33">
        <v>1.0358040912000002</v>
      </c>
      <c r="GI28" s="33">
        <v>0.41234146560000007</v>
      </c>
      <c r="GJ28" s="33"/>
      <c r="GK28" s="33"/>
      <c r="GL28" s="33"/>
      <c r="GM28" s="33"/>
      <c r="GN28" s="33"/>
      <c r="GO28" s="33"/>
      <c r="GP28" s="33"/>
      <c r="GQ28" s="33"/>
      <c r="GR28" s="33"/>
      <c r="GS28" s="33"/>
      <c r="GT28" s="33"/>
      <c r="GU28" s="33">
        <v>2.9120160000000008E-3</v>
      </c>
      <c r="GV28" s="33">
        <v>1.3104072000000001E-2</v>
      </c>
      <c r="GW28" s="33"/>
      <c r="GX28" s="33">
        <v>0.3105665064</v>
      </c>
      <c r="GY28" s="33"/>
      <c r="GZ28" s="33">
        <v>3.5380994400000004E-2</v>
      </c>
      <c r="HA28" s="33">
        <v>1.0920060000000001E-2</v>
      </c>
      <c r="HB28" s="33">
        <v>1.7472096E-3</v>
      </c>
      <c r="HC28" s="33">
        <v>7.7168424000000017E-3</v>
      </c>
      <c r="HD28" s="33">
        <v>3.2032176000000006E-3</v>
      </c>
      <c r="HE28" s="33">
        <v>2.41697328E-2</v>
      </c>
      <c r="HF28" s="33">
        <v>1.0192056E-2</v>
      </c>
      <c r="HG28" s="33" t="s">
        <v>17</v>
      </c>
      <c r="HH28" s="33"/>
      <c r="HI28" s="33"/>
      <c r="HJ28" s="33"/>
      <c r="HK28" s="33">
        <v>2.6499345600000005E-2</v>
      </c>
      <c r="HL28" s="33"/>
      <c r="HM28" s="33"/>
      <c r="HN28" s="33"/>
      <c r="HO28" s="33"/>
      <c r="HP28" s="33">
        <v>3.9312216000000006E-3</v>
      </c>
      <c r="HQ28" s="33"/>
      <c r="HR28" s="33"/>
      <c r="HS28" s="33"/>
      <c r="HT28" s="33"/>
      <c r="HU28" s="33">
        <v>0.56260149120000014</v>
      </c>
      <c r="HV28" s="33"/>
      <c r="HW28" s="33">
        <v>1.0192056000000002E-3</v>
      </c>
      <c r="HX28" s="33"/>
      <c r="HY28" s="33"/>
      <c r="HZ28" s="33"/>
      <c r="IA28" s="33"/>
      <c r="IB28" s="33"/>
      <c r="IC28" s="33"/>
      <c r="ID28" s="33">
        <v>1.2812870400000002E-2</v>
      </c>
      <c r="IE28" s="33"/>
      <c r="IF28" s="33"/>
      <c r="IG28" s="33"/>
      <c r="IH28" s="33"/>
      <c r="II28" s="33"/>
      <c r="IJ28" s="33">
        <v>1.3104072E-3</v>
      </c>
      <c r="IK28" s="33">
        <v>7.2800400000000019E-4</v>
      </c>
      <c r="IL28" s="33"/>
      <c r="IM28" s="33"/>
      <c r="IN28" s="33"/>
      <c r="IO28" s="33"/>
      <c r="IP28" s="33"/>
      <c r="IQ28" s="33"/>
      <c r="IR28" s="33"/>
      <c r="IS28" s="33">
        <v>0.36079878240000007</v>
      </c>
      <c r="IT28" s="33">
        <v>7.2800400000000019E-4</v>
      </c>
      <c r="IU28" s="33"/>
      <c r="IV28" s="33">
        <v>3.3488184000000005E-3</v>
      </c>
      <c r="IW28" s="33" t="s">
        <v>17</v>
      </c>
      <c r="IX28" s="33"/>
      <c r="IY28" s="33"/>
      <c r="IZ28" s="33"/>
      <c r="JA28" s="33"/>
      <c r="JB28" s="33">
        <v>5.1542683200000008E-2</v>
      </c>
      <c r="JC28" s="33"/>
      <c r="JD28" s="33"/>
      <c r="JE28" s="33"/>
      <c r="JF28" s="33"/>
      <c r="JG28" s="33">
        <v>5.8240320000000007E-4</v>
      </c>
      <c r="JH28" s="33"/>
      <c r="JI28" s="33" t="s">
        <v>17</v>
      </c>
      <c r="JJ28" s="33">
        <v>0</v>
      </c>
      <c r="JK28" s="33">
        <v>9.9008544000000025E-3</v>
      </c>
      <c r="JL28" s="33"/>
      <c r="JM28" s="33"/>
      <c r="JN28" s="33"/>
      <c r="JO28" s="33"/>
      <c r="JP28" s="33"/>
      <c r="JQ28" s="33"/>
      <c r="JR28" s="33"/>
      <c r="KZ28" s="33"/>
      <c r="LA28" s="33"/>
      <c r="LB28" s="33"/>
      <c r="LC28" s="33"/>
      <c r="LD28" s="33"/>
      <c r="LE28" s="33"/>
      <c r="LF28" s="33"/>
      <c r="LG28" s="33"/>
      <c r="LH28" s="33"/>
      <c r="LI28" s="33"/>
      <c r="LJ28" s="33"/>
      <c r="LK28" s="33"/>
      <c r="LL28" s="33"/>
      <c r="LM28" s="33"/>
      <c r="LN28" s="33"/>
      <c r="LO28" s="33"/>
      <c r="LP28" s="44"/>
      <c r="LQ28" s="44"/>
      <c r="LR28" s="44"/>
      <c r="LS28" s="44"/>
      <c r="LT28" s="44"/>
      <c r="LU28" s="44"/>
      <c r="LV28" s="44"/>
    </row>
    <row r="29" spans="1:334" x14ac:dyDescent="0.2">
      <c r="A29" s="1" t="s">
        <v>8004</v>
      </c>
      <c r="C29" s="1" t="s">
        <v>8005</v>
      </c>
      <c r="D29" s="1" t="s">
        <v>8006</v>
      </c>
      <c r="E29" s="1" t="s">
        <v>7</v>
      </c>
      <c r="F29" s="1" t="s">
        <v>8007</v>
      </c>
      <c r="K29" s="1">
        <v>2009</v>
      </c>
      <c r="L29" s="1" t="s">
        <v>8008</v>
      </c>
      <c r="M29" s="1" t="s">
        <v>7657</v>
      </c>
      <c r="N29" s="17" t="s">
        <v>7945</v>
      </c>
      <c r="O29" s="33"/>
      <c r="P29" s="33"/>
      <c r="Q29" s="33"/>
      <c r="R29" s="33"/>
      <c r="S29" s="33">
        <v>7.79</v>
      </c>
      <c r="T29" s="33"/>
      <c r="U29" s="33">
        <v>6.25</v>
      </c>
      <c r="V29" s="33"/>
      <c r="W29" s="33"/>
      <c r="X29" s="33"/>
      <c r="Y29" s="33"/>
      <c r="Z29" s="33">
        <v>21.65</v>
      </c>
      <c r="AA29" s="33"/>
      <c r="AB29" s="33"/>
      <c r="AC29" s="33">
        <v>15.18</v>
      </c>
      <c r="AD29" s="33"/>
      <c r="AE29" s="33">
        <v>47</v>
      </c>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v>5.97</v>
      </c>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v>2.41</v>
      </c>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KZ29" s="33"/>
      <c r="LA29" s="33"/>
      <c r="LB29" s="33"/>
      <c r="LC29" s="33"/>
      <c r="LD29" s="33"/>
      <c r="LE29" s="33"/>
      <c r="LF29" s="33"/>
      <c r="LG29" s="33"/>
      <c r="LH29" s="33"/>
      <c r="LI29" s="33"/>
      <c r="LJ29" s="33"/>
      <c r="LK29" s="33"/>
      <c r="LL29" s="33"/>
      <c r="LM29" s="33"/>
      <c r="LN29" s="33"/>
      <c r="LO29" s="33"/>
      <c r="LP29" s="44"/>
      <c r="LQ29" s="44"/>
      <c r="LR29" s="44"/>
      <c r="LS29" s="44"/>
      <c r="LT29" s="44"/>
      <c r="LU29" s="44"/>
      <c r="LV29" s="44"/>
    </row>
    <row r="30" spans="1:334" x14ac:dyDescent="0.2">
      <c r="A30" s="1" t="s">
        <v>8009</v>
      </c>
      <c r="B30" s="1" t="s">
        <v>8010</v>
      </c>
      <c r="D30" s="1" t="s">
        <v>8011</v>
      </c>
      <c r="E30" s="1" t="s">
        <v>7</v>
      </c>
      <c r="F30" s="1" t="s">
        <v>8012</v>
      </c>
      <c r="I30" s="1">
        <v>1</v>
      </c>
      <c r="K30" s="1">
        <v>2001</v>
      </c>
      <c r="L30" s="1" t="s">
        <v>8013</v>
      </c>
      <c r="M30" s="1" t="s">
        <v>7657</v>
      </c>
      <c r="N30" s="17" t="s">
        <v>7945</v>
      </c>
      <c r="O30" s="33"/>
      <c r="P30" s="33"/>
      <c r="Q30" s="33"/>
      <c r="R30" s="33"/>
      <c r="S30" s="33">
        <v>9.1999999999999993</v>
      </c>
      <c r="T30" s="33"/>
      <c r="U30" s="33"/>
      <c r="V30" s="33"/>
      <c r="W30" s="33"/>
      <c r="X30" s="33"/>
      <c r="Y30" s="33"/>
      <c r="Z30" s="33"/>
      <c r="AA30" s="33">
        <v>23.2</v>
      </c>
      <c r="AB30" s="33"/>
      <c r="AC30" s="33"/>
      <c r="AD30" s="33">
        <v>1.9</v>
      </c>
      <c r="AE30" s="33"/>
      <c r="AF30" s="33"/>
      <c r="AG30" s="33"/>
      <c r="AH30" s="33"/>
      <c r="AI30" s="33"/>
      <c r="AJ30" s="33">
        <v>57.9</v>
      </c>
      <c r="AK30" s="33"/>
      <c r="AL30" s="33"/>
      <c r="AM30" s="33"/>
      <c r="AN30" s="33"/>
      <c r="AO30" s="33"/>
      <c r="AP30" s="33"/>
      <c r="AQ30" s="33"/>
      <c r="AR30" s="33"/>
      <c r="AS30" s="33"/>
      <c r="AT30" s="33"/>
      <c r="AU30" s="33"/>
      <c r="AV30" s="33"/>
      <c r="AW30" s="33"/>
      <c r="AX30" s="33"/>
      <c r="AY30" s="33"/>
      <c r="AZ30" s="33"/>
      <c r="BA30" s="33"/>
      <c r="BB30" s="33"/>
      <c r="BC30" s="33"/>
      <c r="BD30" s="33"/>
      <c r="BE30" s="33">
        <v>3.9</v>
      </c>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v>4</v>
      </c>
      <c r="CP30" s="33">
        <v>241.9</v>
      </c>
      <c r="CQ30" s="33"/>
      <c r="CR30" s="33"/>
      <c r="CS30" s="33">
        <v>6.3</v>
      </c>
      <c r="CT30" s="33"/>
      <c r="CU30" s="33"/>
      <c r="CV30" s="33"/>
      <c r="CW30" s="33"/>
      <c r="CX30" s="33"/>
      <c r="CY30" s="33"/>
      <c r="CZ30" s="33"/>
      <c r="DA30" s="33">
        <v>4.0999999999999996</v>
      </c>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KZ30" s="33"/>
      <c r="LA30" s="33"/>
      <c r="LB30" s="33"/>
      <c r="LC30" s="33"/>
      <c r="LD30" s="33"/>
      <c r="LE30" s="33"/>
      <c r="LF30" s="33"/>
      <c r="LG30" s="33"/>
      <c r="LH30" s="33"/>
      <c r="LI30" s="33"/>
      <c r="LJ30" s="33"/>
      <c r="LK30" s="33"/>
      <c r="LL30" s="33"/>
      <c r="LM30" s="33"/>
      <c r="LN30" s="33"/>
      <c r="LO30" s="33"/>
      <c r="LP30" s="44"/>
      <c r="LQ30" s="44"/>
      <c r="LR30" s="44"/>
      <c r="LS30" s="44"/>
      <c r="LT30" s="44"/>
      <c r="LU30" s="44"/>
      <c r="LV30" s="44"/>
    </row>
    <row r="31" spans="1:334" x14ac:dyDescent="0.2">
      <c r="A31" s="1" t="s">
        <v>8014</v>
      </c>
      <c r="B31" s="1" t="s">
        <v>8015</v>
      </c>
      <c r="D31" s="1" t="s">
        <v>8016</v>
      </c>
      <c r="E31" s="1" t="s">
        <v>7</v>
      </c>
      <c r="F31" s="1" t="s">
        <v>8017</v>
      </c>
      <c r="G31" s="1">
        <v>2012</v>
      </c>
      <c r="I31" s="1">
        <v>1</v>
      </c>
      <c r="L31" s="1" t="s">
        <v>8018</v>
      </c>
      <c r="M31" s="1" t="s">
        <v>7657</v>
      </c>
      <c r="N31" s="17" t="s">
        <v>7945</v>
      </c>
      <c r="O31" s="33"/>
      <c r="P31" s="33"/>
      <c r="Q31" s="33">
        <v>1220</v>
      </c>
      <c r="R31" s="33"/>
      <c r="S31" s="33">
        <v>8.8000000000000007</v>
      </c>
      <c r="T31" s="33"/>
      <c r="U31" s="33">
        <v>6.25</v>
      </c>
      <c r="V31" s="33"/>
      <c r="W31" s="33"/>
      <c r="X31" s="33"/>
      <c r="Y31" s="33"/>
      <c r="Z31" s="33">
        <v>31</v>
      </c>
      <c r="AA31" s="33"/>
      <c r="AB31" s="33"/>
      <c r="AC31" s="33">
        <v>6.6</v>
      </c>
      <c r="AD31" s="33"/>
      <c r="AE31" s="33">
        <v>4.7</v>
      </c>
      <c r="AF31" s="33"/>
      <c r="AG31" s="33"/>
      <c r="AH31" s="33"/>
      <c r="AI31" s="33"/>
      <c r="AJ31" s="33"/>
      <c r="AK31" s="33"/>
      <c r="AL31" s="33"/>
      <c r="AM31" s="33"/>
      <c r="AN31" s="33"/>
      <c r="AO31" s="33">
        <v>1.4</v>
      </c>
      <c r="AP31" s="33"/>
      <c r="AQ31" s="33">
        <v>0.1</v>
      </c>
      <c r="AR31" s="33"/>
      <c r="AS31" s="33"/>
      <c r="AT31" s="33"/>
      <c r="AU31" s="33"/>
      <c r="AV31" s="33">
        <v>2.8</v>
      </c>
      <c r="AW31" s="33"/>
      <c r="AX31" s="33"/>
      <c r="AY31" s="33"/>
      <c r="AZ31" s="33"/>
      <c r="BA31" s="33"/>
      <c r="BB31" s="33">
        <v>42.5</v>
      </c>
      <c r="BC31" s="33"/>
      <c r="BD31" s="33"/>
      <c r="BE31" s="33"/>
      <c r="BF31" s="33"/>
      <c r="BG31" s="33">
        <v>41.3</v>
      </c>
      <c r="BH31" s="33">
        <v>1.2</v>
      </c>
      <c r="BI31" s="33"/>
      <c r="BJ31" s="33"/>
      <c r="BK31" s="33"/>
      <c r="BL31" s="33"/>
      <c r="BM31" s="33"/>
      <c r="BN31" s="33"/>
      <c r="BO31" s="33">
        <v>0</v>
      </c>
      <c r="BP31" s="33">
        <v>4</v>
      </c>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v>2.4</v>
      </c>
      <c r="CP31" s="33">
        <v>231</v>
      </c>
      <c r="CQ31" s="33"/>
      <c r="CR31" s="33"/>
      <c r="CS31" s="33">
        <v>4</v>
      </c>
      <c r="CT31" s="33"/>
      <c r="CU31" s="33"/>
      <c r="CV31" s="33">
        <v>165</v>
      </c>
      <c r="CW31" s="33"/>
      <c r="CX31" s="33" t="s">
        <v>9348</v>
      </c>
      <c r="CY31" s="33">
        <v>249</v>
      </c>
      <c r="CZ31" s="33">
        <v>10</v>
      </c>
      <c r="DA31" s="33">
        <v>2.8</v>
      </c>
      <c r="DB31" s="33"/>
      <c r="DC31" s="33"/>
      <c r="DD31" s="33"/>
      <c r="DE31" s="33"/>
      <c r="DF31" s="33"/>
      <c r="DG31" s="33"/>
      <c r="DH31" s="33"/>
      <c r="DI31" s="33"/>
      <c r="DJ31" s="33"/>
      <c r="DK31" s="33"/>
      <c r="DL31" s="33"/>
      <c r="DM31" s="33"/>
      <c r="DN31" s="33"/>
      <c r="DO31" s="33"/>
      <c r="DP31" s="33">
        <v>0.6</v>
      </c>
      <c r="DQ31" s="33"/>
      <c r="DR31" s="33">
        <v>0</v>
      </c>
      <c r="DS31" s="33">
        <v>1.6</v>
      </c>
      <c r="DT31" s="33"/>
      <c r="DU31" s="33"/>
      <c r="DV31" s="33"/>
      <c r="DW31" s="33"/>
      <c r="DX31" s="33"/>
      <c r="DY31" s="33">
        <v>0.7</v>
      </c>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v>0.5</v>
      </c>
      <c r="FO31" s="33"/>
      <c r="FP31" s="33"/>
      <c r="FQ31" s="33"/>
      <c r="FR31" s="33"/>
      <c r="FS31" s="33"/>
      <c r="FT31" s="33"/>
      <c r="FU31" s="33"/>
      <c r="FV31" s="33"/>
      <c r="FW31" s="33"/>
      <c r="FX31" s="33"/>
      <c r="FY31" s="33"/>
      <c r="FZ31" s="33"/>
      <c r="GA31" s="33"/>
      <c r="GB31" s="33"/>
      <c r="GC31" s="33"/>
      <c r="GD31" s="33">
        <v>1.4</v>
      </c>
      <c r="GE31" s="33">
        <v>2.2999999999999998</v>
      </c>
      <c r="GF31" s="33">
        <v>3</v>
      </c>
      <c r="GG31" s="33" t="s">
        <v>6590</v>
      </c>
      <c r="GH31" s="33"/>
      <c r="GI31" s="33"/>
      <c r="GJ31" s="33">
        <v>0.3</v>
      </c>
      <c r="GK31" s="33">
        <v>2.7</v>
      </c>
      <c r="GL31" s="33">
        <v>2.2000000000000002</v>
      </c>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KZ31" s="33"/>
      <c r="LA31" s="33"/>
      <c r="LB31" s="33"/>
      <c r="LC31" s="33"/>
      <c r="LD31" s="33"/>
      <c r="LE31" s="33"/>
      <c r="LF31" s="33"/>
      <c r="LG31" s="33"/>
      <c r="LH31" s="33"/>
      <c r="LI31" s="33"/>
      <c r="LJ31" s="33"/>
      <c r="LK31" s="33"/>
      <c r="LL31" s="33"/>
      <c r="LM31" s="33"/>
      <c r="LN31" s="33"/>
      <c r="LO31" s="33"/>
      <c r="LP31" s="44"/>
      <c r="LQ31" s="44"/>
      <c r="LR31" s="44"/>
      <c r="LS31" s="44"/>
      <c r="LT31" s="44"/>
      <c r="LU31" s="44"/>
      <c r="LV31" s="44"/>
    </row>
    <row r="32" spans="1:334" x14ac:dyDescent="0.2">
      <c r="A32" s="1" t="s">
        <v>8019</v>
      </c>
      <c r="B32" s="1" t="s">
        <v>8015</v>
      </c>
      <c r="D32" s="1" t="s">
        <v>8020</v>
      </c>
      <c r="E32" s="1" t="s">
        <v>7</v>
      </c>
      <c r="F32" s="1" t="s">
        <v>8021</v>
      </c>
      <c r="G32" s="1">
        <v>2012</v>
      </c>
      <c r="I32" s="1">
        <v>1</v>
      </c>
      <c r="L32" s="1" t="s">
        <v>8018</v>
      </c>
      <c r="M32" s="1" t="s">
        <v>7657</v>
      </c>
      <c r="N32" s="17" t="s">
        <v>7945</v>
      </c>
      <c r="O32" s="33"/>
      <c r="P32" s="33"/>
      <c r="Q32" s="33">
        <v>1310</v>
      </c>
      <c r="R32" s="33"/>
      <c r="S32" s="33">
        <v>10.6</v>
      </c>
      <c r="T32" s="33"/>
      <c r="U32" s="33">
        <v>6.25</v>
      </c>
      <c r="V32" s="33"/>
      <c r="W32" s="33"/>
      <c r="X32" s="33"/>
      <c r="Y32" s="33"/>
      <c r="Z32" s="33">
        <v>24.3</v>
      </c>
      <c r="AA32" s="33"/>
      <c r="AB32" s="33"/>
      <c r="AC32" s="33">
        <v>2.1</v>
      </c>
      <c r="AD32" s="33"/>
      <c r="AE32" s="33">
        <v>39.700000000000003</v>
      </c>
      <c r="AF32" s="33"/>
      <c r="AG32" s="33"/>
      <c r="AH32" s="33"/>
      <c r="AI32" s="33"/>
      <c r="AJ32" s="33"/>
      <c r="AK32" s="33"/>
      <c r="AL32" s="33"/>
      <c r="AM32" s="33"/>
      <c r="AN32" s="33"/>
      <c r="AO32" s="33">
        <v>34.299999999999997</v>
      </c>
      <c r="AP32" s="33"/>
      <c r="AQ32" s="33">
        <v>4.3</v>
      </c>
      <c r="AR32" s="33"/>
      <c r="AS32" s="33"/>
      <c r="AT32" s="33"/>
      <c r="AU32" s="33"/>
      <c r="AV32" s="33">
        <v>2.7</v>
      </c>
      <c r="AW32" s="33"/>
      <c r="AX32" s="33"/>
      <c r="AY32" s="33"/>
      <c r="AZ32" s="33"/>
      <c r="BA32" s="33"/>
      <c r="BB32" s="33">
        <v>18.600000000000001</v>
      </c>
      <c r="BC32" s="33"/>
      <c r="BD32" s="33"/>
      <c r="BE32" s="33"/>
      <c r="BF32" s="33"/>
      <c r="BG32" s="33">
        <v>17</v>
      </c>
      <c r="BH32" s="33">
        <v>1.6</v>
      </c>
      <c r="BI32" s="33"/>
      <c r="BJ32" s="33"/>
      <c r="BK32" s="33"/>
      <c r="BL32" s="33"/>
      <c r="BM32" s="33"/>
      <c r="BN32" s="33"/>
      <c r="BO32" s="33">
        <v>0.4</v>
      </c>
      <c r="BP32" s="33">
        <v>2.4</v>
      </c>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v>2.8</v>
      </c>
      <c r="CP32" s="33">
        <v>108</v>
      </c>
      <c r="CQ32" s="33"/>
      <c r="CR32" s="33"/>
      <c r="CS32" s="33">
        <v>3.7</v>
      </c>
      <c r="CT32" s="33"/>
      <c r="CU32" s="33"/>
      <c r="CV32" s="33">
        <v>140</v>
      </c>
      <c r="CW32" s="33"/>
      <c r="CX32" s="33">
        <v>21</v>
      </c>
      <c r="CY32" s="33">
        <v>362</v>
      </c>
      <c r="CZ32" s="33" t="s">
        <v>9349</v>
      </c>
      <c r="DA32" s="33">
        <v>2.4</v>
      </c>
      <c r="DB32" s="33"/>
      <c r="DC32" s="33"/>
      <c r="DD32" s="33"/>
      <c r="DE32" s="33"/>
      <c r="DF32" s="33"/>
      <c r="DG32" s="33"/>
      <c r="DH32" s="33"/>
      <c r="DI32" s="33"/>
      <c r="DJ32" s="33"/>
      <c r="DK32" s="33"/>
      <c r="DL32" s="33"/>
      <c r="DM32" s="33"/>
      <c r="DN32" s="33"/>
      <c r="DO32" s="33"/>
      <c r="DP32" s="33">
        <v>0.7</v>
      </c>
      <c r="DQ32" s="33"/>
      <c r="DR32" s="33">
        <v>0.1</v>
      </c>
      <c r="DS32" s="33">
        <v>1.8</v>
      </c>
      <c r="DT32" s="33"/>
      <c r="DU32" s="33"/>
      <c r="DV32" s="33"/>
      <c r="DW32" s="33"/>
      <c r="DX32" s="33"/>
      <c r="DY32" s="33">
        <v>0.2</v>
      </c>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v>1.2</v>
      </c>
      <c r="FO32" s="33"/>
      <c r="FP32" s="33"/>
      <c r="FQ32" s="33"/>
      <c r="FR32" s="33"/>
      <c r="FS32" s="33"/>
      <c r="FT32" s="33"/>
      <c r="FU32" s="33"/>
      <c r="FV32" s="33"/>
      <c r="FW32" s="33"/>
      <c r="FX32" s="33"/>
      <c r="FY32" s="33"/>
      <c r="FZ32" s="33"/>
      <c r="GA32" s="33"/>
      <c r="GB32" s="33"/>
      <c r="GC32" s="33"/>
      <c r="GD32" s="33">
        <v>0.4</v>
      </c>
      <c r="GE32" s="33">
        <v>0.5</v>
      </c>
      <c r="GF32" s="33">
        <v>1.2</v>
      </c>
      <c r="GG32" s="33" t="s">
        <v>6590</v>
      </c>
      <c r="GH32" s="33"/>
      <c r="GI32" s="33"/>
      <c r="GJ32" s="33">
        <v>0.1</v>
      </c>
      <c r="GK32" s="33">
        <v>1.1000000000000001</v>
      </c>
      <c r="GL32" s="33">
        <v>0.5</v>
      </c>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KZ32" s="33"/>
      <c r="LA32" s="33"/>
      <c r="LB32" s="33"/>
      <c r="LC32" s="33"/>
      <c r="LD32" s="33"/>
      <c r="LE32" s="33"/>
      <c r="LF32" s="33"/>
      <c r="LG32" s="33"/>
      <c r="LH32" s="33"/>
      <c r="LI32" s="33"/>
      <c r="LJ32" s="33"/>
      <c r="LK32" s="33"/>
      <c r="LL32" s="33"/>
      <c r="LM32" s="33"/>
      <c r="LN32" s="33"/>
      <c r="LO32" s="33"/>
      <c r="LP32" s="44"/>
      <c r="LQ32" s="44"/>
      <c r="LR32" s="44"/>
      <c r="LS32" s="44"/>
      <c r="LT32" s="44"/>
      <c r="LU32" s="44"/>
      <c r="LV32" s="44"/>
    </row>
    <row r="33" spans="1:334" x14ac:dyDescent="0.2">
      <c r="A33" s="1" t="s">
        <v>8022</v>
      </c>
      <c r="B33" s="1" t="s">
        <v>8015</v>
      </c>
      <c r="D33" s="1" t="s">
        <v>8023</v>
      </c>
      <c r="E33" s="1" t="s">
        <v>7</v>
      </c>
      <c r="F33" s="1" t="s">
        <v>8024</v>
      </c>
      <c r="G33" s="1">
        <v>2012</v>
      </c>
      <c r="I33" s="1">
        <v>1</v>
      </c>
      <c r="L33" s="1" t="s">
        <v>8018</v>
      </c>
      <c r="M33" s="1" t="s">
        <v>7657</v>
      </c>
      <c r="N33" s="17" t="s">
        <v>7945</v>
      </c>
      <c r="O33" s="33"/>
      <c r="P33" s="33"/>
      <c r="Q33" s="33">
        <v>1360</v>
      </c>
      <c r="R33" s="33"/>
      <c r="S33" s="33">
        <v>10.1</v>
      </c>
      <c r="T33" s="33"/>
      <c r="U33" s="33">
        <v>6.25</v>
      </c>
      <c r="V33" s="33"/>
      <c r="W33" s="33"/>
      <c r="X33" s="33"/>
      <c r="Y33" s="33"/>
      <c r="Z33" s="33">
        <v>28.3</v>
      </c>
      <c r="AA33" s="33"/>
      <c r="AB33" s="33"/>
      <c r="AC33" s="33">
        <v>2</v>
      </c>
      <c r="AD33" s="33"/>
      <c r="AE33" s="33">
        <v>40.4</v>
      </c>
      <c r="AF33" s="33"/>
      <c r="AG33" s="33"/>
      <c r="AH33" s="33"/>
      <c r="AI33" s="33"/>
      <c r="AJ33" s="33"/>
      <c r="AK33" s="33"/>
      <c r="AL33" s="33"/>
      <c r="AM33" s="33"/>
      <c r="AN33" s="33"/>
      <c r="AO33" s="33">
        <v>37.799999999999997</v>
      </c>
      <c r="AP33" s="33"/>
      <c r="AQ33" s="33">
        <v>2.4</v>
      </c>
      <c r="AR33" s="33"/>
      <c r="AS33" s="33"/>
      <c r="AT33" s="33"/>
      <c r="AU33" s="33"/>
      <c r="AV33" s="33">
        <v>1</v>
      </c>
      <c r="AW33" s="33"/>
      <c r="AX33" s="33"/>
      <c r="AY33" s="33"/>
      <c r="AZ33" s="33"/>
      <c r="BA33" s="33"/>
      <c r="BB33" s="33">
        <v>15</v>
      </c>
      <c r="BC33" s="33"/>
      <c r="BD33" s="33"/>
      <c r="BE33" s="33"/>
      <c r="BF33" s="33"/>
      <c r="BG33" s="33">
        <v>14.6</v>
      </c>
      <c r="BH33" s="33">
        <v>0.4</v>
      </c>
      <c r="BI33" s="33"/>
      <c r="BJ33" s="33"/>
      <c r="BK33" s="33"/>
      <c r="BL33" s="33"/>
      <c r="BM33" s="33"/>
      <c r="BN33" s="33"/>
      <c r="BO33" s="33">
        <v>0</v>
      </c>
      <c r="BP33" s="33">
        <v>2.8</v>
      </c>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v>2</v>
      </c>
      <c r="CP33" s="33">
        <v>55</v>
      </c>
      <c r="CQ33" s="33"/>
      <c r="CR33" s="33"/>
      <c r="CS33" s="33">
        <v>5.4</v>
      </c>
      <c r="CT33" s="33"/>
      <c r="CU33" s="33"/>
      <c r="CV33" s="33">
        <v>91</v>
      </c>
      <c r="CW33" s="33"/>
      <c r="CX33" s="33">
        <v>1.8</v>
      </c>
      <c r="CY33" s="33">
        <v>252</v>
      </c>
      <c r="CZ33" s="33">
        <v>10</v>
      </c>
      <c r="DA33" s="33">
        <v>2.2999999999999998</v>
      </c>
      <c r="DB33" s="33"/>
      <c r="DC33" s="33"/>
      <c r="DD33" s="33"/>
      <c r="DE33" s="33"/>
      <c r="DF33" s="33"/>
      <c r="DG33" s="33"/>
      <c r="DH33" s="33"/>
      <c r="DI33" s="33"/>
      <c r="DJ33" s="33"/>
      <c r="DK33" s="33"/>
      <c r="DL33" s="33"/>
      <c r="DM33" s="33"/>
      <c r="DN33" s="33"/>
      <c r="DO33" s="33"/>
      <c r="DP33" s="33">
        <v>0.5</v>
      </c>
      <c r="DQ33" s="33"/>
      <c r="DR33" s="33">
        <v>0</v>
      </c>
      <c r="DS33" s="33">
        <v>1.6</v>
      </c>
      <c r="DT33" s="33"/>
      <c r="DU33" s="33"/>
      <c r="DV33" s="33"/>
      <c r="DW33" s="33"/>
      <c r="DX33" s="33"/>
      <c r="DY33" s="33">
        <v>0.4</v>
      </c>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v>1</v>
      </c>
      <c r="FO33" s="33"/>
      <c r="FP33" s="33"/>
      <c r="FQ33" s="33"/>
      <c r="FR33" s="33"/>
      <c r="FS33" s="33"/>
      <c r="FT33" s="33"/>
      <c r="FU33" s="33"/>
      <c r="FV33" s="33"/>
      <c r="FW33" s="33"/>
      <c r="FX33" s="33"/>
      <c r="FY33" s="33"/>
      <c r="FZ33" s="33"/>
      <c r="GA33" s="33"/>
      <c r="GB33" s="33"/>
      <c r="GC33" s="33"/>
      <c r="GD33" s="33">
        <v>0.3</v>
      </c>
      <c r="GE33" s="33">
        <v>0.5</v>
      </c>
      <c r="GF33" s="33">
        <v>1.2</v>
      </c>
      <c r="GG33" s="33" t="s">
        <v>6590</v>
      </c>
      <c r="GH33" s="33"/>
      <c r="GI33" s="33"/>
      <c r="GJ33" s="33">
        <v>0.3</v>
      </c>
      <c r="GK33" s="33">
        <v>0.9</v>
      </c>
      <c r="GL33" s="33">
        <v>0.4</v>
      </c>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c r="IA33" s="33"/>
      <c r="IB33" s="33"/>
      <c r="IC33" s="33"/>
      <c r="ID33" s="33"/>
      <c r="IE33" s="33"/>
      <c r="IF33" s="33"/>
      <c r="IG33" s="33"/>
      <c r="IH33" s="33"/>
      <c r="II33" s="33"/>
      <c r="IJ33" s="33"/>
      <c r="IK33" s="33"/>
      <c r="IL33" s="33"/>
      <c r="IM33" s="33"/>
      <c r="IN33" s="33"/>
      <c r="IO33" s="33"/>
      <c r="IP33" s="33"/>
      <c r="IQ33" s="33"/>
      <c r="IR33" s="33"/>
      <c r="IS33" s="33"/>
      <c r="IT33" s="33"/>
      <c r="IU33" s="33"/>
      <c r="IV33" s="33"/>
      <c r="IW33" s="33"/>
      <c r="IX33" s="33"/>
      <c r="IY33" s="33"/>
      <c r="IZ33" s="33"/>
      <c r="JA33" s="33"/>
      <c r="JB33" s="33"/>
      <c r="JC33" s="33"/>
      <c r="JD33" s="33"/>
      <c r="JE33" s="33"/>
      <c r="JF33" s="33"/>
      <c r="JG33" s="33"/>
      <c r="JH33" s="33"/>
      <c r="JI33" s="33"/>
      <c r="JJ33" s="33"/>
      <c r="JK33" s="33"/>
      <c r="JL33" s="33"/>
      <c r="JM33" s="33"/>
      <c r="JN33" s="33"/>
      <c r="JO33" s="33"/>
      <c r="JP33" s="33"/>
      <c r="JQ33" s="33"/>
      <c r="JR33" s="33"/>
      <c r="KZ33" s="33"/>
      <c r="LA33" s="33"/>
      <c r="LB33" s="33"/>
      <c r="LC33" s="33"/>
      <c r="LD33" s="33"/>
      <c r="LE33" s="33"/>
      <c r="LF33" s="33"/>
      <c r="LG33" s="33"/>
      <c r="LH33" s="33"/>
      <c r="LI33" s="33"/>
      <c r="LJ33" s="33"/>
      <c r="LK33" s="33"/>
      <c r="LL33" s="33"/>
      <c r="LM33" s="33"/>
      <c r="LN33" s="33"/>
      <c r="LO33" s="33"/>
      <c r="LP33" s="44"/>
      <c r="LQ33" s="44"/>
      <c r="LR33" s="44"/>
      <c r="LS33" s="44"/>
      <c r="LT33" s="44"/>
      <c r="LU33" s="44"/>
      <c r="LV33" s="44"/>
    </row>
    <row r="34" spans="1:334" x14ac:dyDescent="0.2">
      <c r="A34" s="1" t="s">
        <v>8025</v>
      </c>
      <c r="B34" s="1" t="s">
        <v>237</v>
      </c>
      <c r="D34" s="1" t="s">
        <v>8026</v>
      </c>
      <c r="E34" s="1" t="s">
        <v>11</v>
      </c>
      <c r="F34" s="1" t="s">
        <v>688</v>
      </c>
      <c r="G34" s="1">
        <v>2010</v>
      </c>
      <c r="H34" s="1" t="s">
        <v>8027</v>
      </c>
      <c r="K34" s="1">
        <v>2011</v>
      </c>
      <c r="L34" s="1" t="s">
        <v>8028</v>
      </c>
      <c r="M34" s="1" t="s">
        <v>7657</v>
      </c>
      <c r="N34" s="17" t="s">
        <v>7945</v>
      </c>
      <c r="O34" s="33"/>
      <c r="P34" s="33"/>
      <c r="Q34" s="33"/>
      <c r="R34" s="33"/>
      <c r="S34" s="33"/>
      <c r="T34" s="33">
        <v>34.56</v>
      </c>
      <c r="U34" s="33">
        <v>6.25</v>
      </c>
      <c r="V34" s="33"/>
      <c r="W34" s="33"/>
      <c r="X34" s="33"/>
      <c r="Y34" s="33"/>
      <c r="Z34" s="33">
        <v>7.57</v>
      </c>
      <c r="AA34" s="33"/>
      <c r="AB34" s="33"/>
      <c r="AC34" s="33">
        <v>2.38</v>
      </c>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U34" s="42">
        <v>364</v>
      </c>
      <c r="JV34" s="42">
        <v>723</v>
      </c>
      <c r="JX34" s="42">
        <v>998</v>
      </c>
      <c r="JY34" s="42">
        <v>101</v>
      </c>
      <c r="KB34" s="42">
        <v>1386</v>
      </c>
      <c r="KC34" s="42">
        <v>337</v>
      </c>
      <c r="KD34" s="42">
        <v>221</v>
      </c>
      <c r="KE34" s="42">
        <v>345</v>
      </c>
      <c r="KF34" s="42">
        <v>639</v>
      </c>
      <c r="KG34" s="42">
        <v>559</v>
      </c>
      <c r="KH34" s="42">
        <v>104</v>
      </c>
      <c r="KJ34" s="42">
        <v>498</v>
      </c>
      <c r="KK34" s="42">
        <v>356</v>
      </c>
      <c r="KL34" s="42">
        <v>446</v>
      </c>
      <c r="KN34" s="42">
        <v>307</v>
      </c>
      <c r="KO34" s="42">
        <v>51</v>
      </c>
      <c r="KP34" s="42">
        <v>215</v>
      </c>
      <c r="KQ34" s="42">
        <v>367</v>
      </c>
      <c r="KZ34" s="33"/>
      <c r="LA34" s="33"/>
      <c r="LB34" s="33"/>
      <c r="LC34" s="33"/>
      <c r="LD34" s="33"/>
      <c r="LE34" s="33"/>
      <c r="LF34" s="33"/>
      <c r="LG34" s="33"/>
      <c r="LH34" s="33"/>
      <c r="LI34" s="33"/>
      <c r="LJ34" s="33"/>
      <c r="LK34" s="33"/>
      <c r="LL34" s="33"/>
      <c r="LM34" s="33"/>
      <c r="LN34" s="33"/>
      <c r="LO34" s="33"/>
      <c r="LP34" s="44"/>
      <c r="LQ34" s="44"/>
      <c r="LR34" s="44"/>
      <c r="LS34" s="44"/>
      <c r="LT34" s="44"/>
      <c r="LU34" s="44"/>
      <c r="LV34" s="44"/>
    </row>
    <row r="35" spans="1:334" x14ac:dyDescent="0.2">
      <c r="A35" s="1" t="s">
        <v>8029</v>
      </c>
      <c r="B35" s="1" t="s">
        <v>1001</v>
      </c>
      <c r="C35" s="1" t="s">
        <v>8030</v>
      </c>
      <c r="D35" s="1" t="s">
        <v>8031</v>
      </c>
      <c r="E35" s="1" t="s">
        <v>7</v>
      </c>
      <c r="F35" s="1" t="s">
        <v>8032</v>
      </c>
      <c r="J35" s="1" t="s">
        <v>8033</v>
      </c>
      <c r="K35" s="1">
        <v>2011</v>
      </c>
      <c r="L35" s="1" t="s">
        <v>8034</v>
      </c>
      <c r="M35" s="1" t="s">
        <v>6182</v>
      </c>
      <c r="N35" s="17" t="s">
        <v>7945</v>
      </c>
      <c r="O35" s="33"/>
      <c r="P35" s="33"/>
      <c r="Q35" s="33"/>
      <c r="R35" s="33"/>
      <c r="S35" s="33">
        <v>9.5299999999999994</v>
      </c>
      <c r="T35" s="33"/>
      <c r="U35" s="33"/>
      <c r="V35" s="33"/>
      <c r="W35" s="33"/>
      <c r="X35" s="33"/>
      <c r="Y35" s="33"/>
      <c r="Z35" s="33">
        <v>19.84</v>
      </c>
      <c r="AA35" s="33"/>
      <c r="AB35" s="33"/>
      <c r="AC35" s="33">
        <v>2.5</v>
      </c>
      <c r="AD35" s="33"/>
      <c r="AE35" s="33">
        <v>58.7</v>
      </c>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v>5.72</v>
      </c>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v>3.71</v>
      </c>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c r="IA35" s="33"/>
      <c r="IB35" s="33"/>
      <c r="IC35" s="33"/>
      <c r="ID35" s="33"/>
      <c r="IE35" s="33"/>
      <c r="IF35" s="33"/>
      <c r="IG35" s="33"/>
      <c r="IH35" s="33"/>
      <c r="II35" s="33"/>
      <c r="IJ35" s="33"/>
      <c r="IK35" s="33"/>
      <c r="IL35" s="33"/>
      <c r="IM35" s="33"/>
      <c r="IN35" s="33"/>
      <c r="IO35" s="33"/>
      <c r="IP35" s="33"/>
      <c r="IQ35" s="33"/>
      <c r="IR35" s="33"/>
      <c r="IS35" s="33"/>
      <c r="IT35" s="33"/>
      <c r="IU35" s="33"/>
      <c r="IV35" s="33"/>
      <c r="IW35" s="33"/>
      <c r="IX35" s="33"/>
      <c r="IY35" s="33"/>
      <c r="IZ35" s="33"/>
      <c r="JA35" s="33"/>
      <c r="JB35" s="33"/>
      <c r="JC35" s="33"/>
      <c r="JD35" s="33"/>
      <c r="JE35" s="33"/>
      <c r="JF35" s="33"/>
      <c r="JG35" s="33"/>
      <c r="JH35" s="33"/>
      <c r="JI35" s="33"/>
      <c r="JJ35" s="33"/>
      <c r="JK35" s="33"/>
      <c r="JL35" s="33"/>
      <c r="JM35" s="33"/>
      <c r="JN35" s="33"/>
      <c r="JO35" s="33"/>
      <c r="JP35" s="33"/>
      <c r="JQ35" s="33"/>
      <c r="JR35" s="33"/>
      <c r="KZ35" s="33"/>
      <c r="LA35" s="33"/>
      <c r="LB35" s="33"/>
      <c r="LC35" s="33"/>
      <c r="LD35" s="33"/>
      <c r="LE35" s="33"/>
      <c r="LF35" s="33"/>
      <c r="LG35" s="33"/>
      <c r="LH35" s="33"/>
      <c r="LI35" s="33"/>
      <c r="LJ35" s="33"/>
      <c r="LK35" s="33"/>
      <c r="LL35" s="33"/>
      <c r="LM35" s="33"/>
      <c r="LN35" s="33"/>
      <c r="LO35" s="33"/>
      <c r="LP35" s="44"/>
      <c r="LQ35" s="44"/>
      <c r="LR35" s="44"/>
      <c r="LS35" s="44"/>
      <c r="LT35" s="44"/>
      <c r="LU35" s="44"/>
      <c r="LV35" s="44"/>
    </row>
    <row r="36" spans="1:334" x14ac:dyDescent="0.2">
      <c r="A36" s="1" t="s">
        <v>8035</v>
      </c>
      <c r="B36" s="1" t="s">
        <v>1001</v>
      </c>
      <c r="C36" s="1" t="s">
        <v>8030</v>
      </c>
      <c r="D36" s="1" t="s">
        <v>8036</v>
      </c>
      <c r="E36" s="1" t="s">
        <v>8037</v>
      </c>
      <c r="F36" s="1" t="s">
        <v>8032</v>
      </c>
      <c r="H36" s="1" t="s">
        <v>8038</v>
      </c>
      <c r="J36" s="1" t="s">
        <v>8039</v>
      </c>
      <c r="K36" s="1">
        <v>2011</v>
      </c>
      <c r="L36" s="1" t="s">
        <v>8034</v>
      </c>
      <c r="M36" s="1" t="s">
        <v>6182</v>
      </c>
      <c r="N36" s="17" t="s">
        <v>7945</v>
      </c>
      <c r="O36" s="33"/>
      <c r="P36" s="33"/>
      <c r="Q36" s="33"/>
      <c r="R36" s="33"/>
      <c r="S36" s="33">
        <v>9.39</v>
      </c>
      <c r="T36" s="33"/>
      <c r="U36" s="33"/>
      <c r="V36" s="33"/>
      <c r="W36" s="33"/>
      <c r="X36" s="33"/>
      <c r="Y36" s="33"/>
      <c r="Z36" s="33">
        <v>18.75</v>
      </c>
      <c r="AA36" s="33"/>
      <c r="AB36" s="33"/>
      <c r="AC36" s="33">
        <v>2.2999999999999998</v>
      </c>
      <c r="AD36" s="33"/>
      <c r="AE36" s="33">
        <v>60.46</v>
      </c>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v>5.6</v>
      </c>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v>3.5</v>
      </c>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c r="IW36" s="33"/>
      <c r="IX36" s="33"/>
      <c r="IY36" s="33"/>
      <c r="IZ36" s="33"/>
      <c r="JA36" s="33"/>
      <c r="JB36" s="33"/>
      <c r="JC36" s="33"/>
      <c r="JD36" s="33"/>
      <c r="JE36" s="33"/>
      <c r="JF36" s="33"/>
      <c r="JG36" s="33"/>
      <c r="JH36" s="33"/>
      <c r="JI36" s="33"/>
      <c r="JJ36" s="33"/>
      <c r="JK36" s="33"/>
      <c r="JL36" s="33"/>
      <c r="JM36" s="33"/>
      <c r="JN36" s="33"/>
      <c r="JO36" s="33"/>
      <c r="JP36" s="33"/>
      <c r="JQ36" s="33"/>
      <c r="JR36" s="33"/>
      <c r="KZ36" s="33"/>
      <c r="LA36" s="33"/>
      <c r="LB36" s="33"/>
      <c r="LC36" s="33"/>
      <c r="LD36" s="33"/>
      <c r="LE36" s="33"/>
      <c r="LF36" s="33"/>
      <c r="LG36" s="33"/>
      <c r="LH36" s="33"/>
      <c r="LI36" s="33"/>
      <c r="LJ36" s="33"/>
      <c r="LK36" s="33"/>
      <c r="LL36" s="33"/>
      <c r="LM36" s="33"/>
      <c r="LN36" s="33"/>
      <c r="LO36" s="33"/>
      <c r="LP36" s="44"/>
      <c r="LQ36" s="44"/>
      <c r="LR36" s="44"/>
      <c r="LS36" s="44"/>
      <c r="LT36" s="44"/>
      <c r="LU36" s="44"/>
      <c r="LV36" s="44"/>
    </row>
    <row r="37" spans="1:334" x14ac:dyDescent="0.2">
      <c r="A37" s="1" t="s">
        <v>8040</v>
      </c>
      <c r="B37" s="1" t="s">
        <v>1001</v>
      </c>
      <c r="C37" s="1" t="s">
        <v>8030</v>
      </c>
      <c r="D37" s="1" t="s">
        <v>8041</v>
      </c>
      <c r="E37" s="1" t="s">
        <v>8037</v>
      </c>
      <c r="F37" s="1" t="s">
        <v>8032</v>
      </c>
      <c r="H37" s="1" t="s">
        <v>8042</v>
      </c>
      <c r="J37" s="1" t="s">
        <v>8039</v>
      </c>
      <c r="K37" s="1">
        <v>2011</v>
      </c>
      <c r="L37" s="1" t="s">
        <v>8034</v>
      </c>
      <c r="M37" s="1" t="s">
        <v>6182</v>
      </c>
      <c r="N37" s="17" t="s">
        <v>7945</v>
      </c>
      <c r="O37" s="33"/>
      <c r="P37" s="33"/>
      <c r="Q37" s="33"/>
      <c r="R37" s="33"/>
      <c r="S37" s="33">
        <v>9.26</v>
      </c>
      <c r="T37" s="33"/>
      <c r="U37" s="33"/>
      <c r="V37" s="33"/>
      <c r="W37" s="33"/>
      <c r="X37" s="33"/>
      <c r="Y37" s="33"/>
      <c r="Z37" s="33">
        <v>18.57</v>
      </c>
      <c r="AA37" s="33"/>
      <c r="AB37" s="33"/>
      <c r="AC37" s="33">
        <v>2.2000000000000002</v>
      </c>
      <c r="AD37" s="33"/>
      <c r="AE37" s="33">
        <v>61.22</v>
      </c>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v>5.42</v>
      </c>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v>3.33</v>
      </c>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c r="IA37" s="33"/>
      <c r="IB37" s="33"/>
      <c r="IC37" s="33"/>
      <c r="ID37" s="33"/>
      <c r="IE37" s="33"/>
      <c r="IF37" s="33"/>
      <c r="IG37" s="33"/>
      <c r="IH37" s="33"/>
      <c r="II37" s="33"/>
      <c r="IJ37" s="33"/>
      <c r="IK37" s="33"/>
      <c r="IL37" s="33"/>
      <c r="IM37" s="33"/>
      <c r="IN37" s="33"/>
      <c r="IO37" s="33"/>
      <c r="IP37" s="33"/>
      <c r="IQ37" s="33"/>
      <c r="IR37" s="33"/>
      <c r="IS37" s="33"/>
      <c r="IT37" s="33"/>
      <c r="IU37" s="33"/>
      <c r="IV37" s="33"/>
      <c r="IW37" s="33"/>
      <c r="IX37" s="33"/>
      <c r="IY37" s="33"/>
      <c r="IZ37" s="33"/>
      <c r="JA37" s="33"/>
      <c r="JB37" s="33"/>
      <c r="JC37" s="33"/>
      <c r="JD37" s="33"/>
      <c r="JE37" s="33"/>
      <c r="JF37" s="33"/>
      <c r="JG37" s="33"/>
      <c r="JH37" s="33"/>
      <c r="JI37" s="33"/>
      <c r="JJ37" s="33"/>
      <c r="JK37" s="33"/>
      <c r="JL37" s="33"/>
      <c r="JM37" s="33"/>
      <c r="JN37" s="33"/>
      <c r="JO37" s="33"/>
      <c r="JP37" s="33"/>
      <c r="JQ37" s="33"/>
      <c r="JR37" s="33"/>
      <c r="KZ37" s="33"/>
      <c r="LA37" s="33"/>
      <c r="LB37" s="33"/>
      <c r="LC37" s="33"/>
      <c r="LD37" s="33"/>
      <c r="LE37" s="33"/>
      <c r="LF37" s="33"/>
      <c r="LG37" s="33"/>
      <c r="LH37" s="33"/>
      <c r="LI37" s="33"/>
      <c r="LJ37" s="33"/>
      <c r="LK37" s="33"/>
      <c r="LL37" s="33"/>
      <c r="LM37" s="33"/>
      <c r="LN37" s="33"/>
      <c r="LO37" s="33"/>
      <c r="LP37" s="44"/>
      <c r="LQ37" s="44"/>
      <c r="LR37" s="44"/>
      <c r="LS37" s="44"/>
      <c r="LT37" s="44"/>
      <c r="LU37" s="44"/>
      <c r="LV37" s="44"/>
    </row>
    <row r="38" spans="1:334" x14ac:dyDescent="0.2">
      <c r="A38" s="1" t="s">
        <v>8043</v>
      </c>
      <c r="B38" s="1" t="s">
        <v>1001</v>
      </c>
      <c r="C38" s="1" t="s">
        <v>8030</v>
      </c>
      <c r="D38" s="1" t="s">
        <v>8044</v>
      </c>
      <c r="E38" s="1" t="s">
        <v>8037</v>
      </c>
      <c r="F38" s="1" t="s">
        <v>8032</v>
      </c>
      <c r="H38" s="1" t="s">
        <v>8045</v>
      </c>
      <c r="J38" s="1" t="s">
        <v>8039</v>
      </c>
      <c r="K38" s="1">
        <v>2011</v>
      </c>
      <c r="L38" s="1" t="s">
        <v>8034</v>
      </c>
      <c r="M38" s="1" t="s">
        <v>6182</v>
      </c>
      <c r="N38" s="17" t="s">
        <v>7945</v>
      </c>
      <c r="O38" s="33"/>
      <c r="P38" s="33"/>
      <c r="Q38" s="33"/>
      <c r="R38" s="33"/>
      <c r="S38" s="33">
        <v>9.14</v>
      </c>
      <c r="T38" s="33"/>
      <c r="U38" s="33"/>
      <c r="V38" s="33"/>
      <c r="W38" s="33"/>
      <c r="X38" s="33"/>
      <c r="Y38" s="33"/>
      <c r="Z38" s="33">
        <v>18.309999999999999</v>
      </c>
      <c r="AA38" s="33"/>
      <c r="AB38" s="33"/>
      <c r="AC38" s="33">
        <v>2</v>
      </c>
      <c r="AD38" s="33"/>
      <c r="AE38" s="33">
        <v>62.15</v>
      </c>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v>5.22</v>
      </c>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v>3.18</v>
      </c>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KZ38" s="33"/>
      <c r="LA38" s="33"/>
      <c r="LB38" s="33"/>
      <c r="LC38" s="33"/>
      <c r="LD38" s="33"/>
      <c r="LE38" s="33"/>
      <c r="LF38" s="33"/>
      <c r="LG38" s="33"/>
      <c r="LH38" s="33"/>
      <c r="LI38" s="33"/>
      <c r="LJ38" s="33"/>
      <c r="LK38" s="33"/>
      <c r="LL38" s="33"/>
      <c r="LM38" s="33"/>
      <c r="LN38" s="33"/>
      <c r="LO38" s="33"/>
      <c r="LP38" s="44"/>
      <c r="LQ38" s="44"/>
      <c r="LR38" s="44"/>
      <c r="LS38" s="44"/>
      <c r="LT38" s="44"/>
      <c r="LU38" s="44"/>
      <c r="LV38" s="44"/>
    </row>
    <row r="39" spans="1:334" x14ac:dyDescent="0.2">
      <c r="A39" s="1" t="s">
        <v>8046</v>
      </c>
      <c r="B39" s="1" t="s">
        <v>1001</v>
      </c>
      <c r="C39" s="1" t="s">
        <v>8030</v>
      </c>
      <c r="D39" s="1" t="s">
        <v>8047</v>
      </c>
      <c r="E39" s="1" t="s">
        <v>8037</v>
      </c>
      <c r="F39" s="1" t="s">
        <v>8032</v>
      </c>
      <c r="H39" s="1" t="s">
        <v>8048</v>
      </c>
      <c r="J39" s="1" t="s">
        <v>8039</v>
      </c>
      <c r="K39" s="1">
        <v>2011</v>
      </c>
      <c r="L39" s="1" t="s">
        <v>8034</v>
      </c>
      <c r="M39" s="1" t="s">
        <v>6182</v>
      </c>
      <c r="N39" s="17" t="s">
        <v>7945</v>
      </c>
      <c r="O39" s="33"/>
      <c r="P39" s="33"/>
      <c r="Q39" s="33"/>
      <c r="R39" s="33"/>
      <c r="S39" s="33">
        <v>8.99</v>
      </c>
      <c r="T39" s="33"/>
      <c r="U39" s="33"/>
      <c r="V39" s="33"/>
      <c r="W39" s="33"/>
      <c r="X39" s="33"/>
      <c r="Y39" s="33"/>
      <c r="Z39" s="33">
        <v>17.920000000000002</v>
      </c>
      <c r="AA39" s="33"/>
      <c r="AB39" s="33"/>
      <c r="AC39" s="33">
        <v>1.8</v>
      </c>
      <c r="AD39" s="33"/>
      <c r="AE39" s="33">
        <v>63.37</v>
      </c>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v>5</v>
      </c>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v>3.92</v>
      </c>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c r="JI39" s="33"/>
      <c r="JJ39" s="33"/>
      <c r="JK39" s="33"/>
      <c r="JL39" s="33"/>
      <c r="JM39" s="33"/>
      <c r="JN39" s="33"/>
      <c r="JO39" s="33"/>
      <c r="JP39" s="33"/>
      <c r="JQ39" s="33"/>
      <c r="JR39" s="33"/>
      <c r="KZ39" s="33"/>
      <c r="LA39" s="33"/>
      <c r="LB39" s="33"/>
      <c r="LC39" s="33"/>
      <c r="LD39" s="33"/>
      <c r="LE39" s="33"/>
      <c r="LF39" s="33"/>
      <c r="LG39" s="33"/>
      <c r="LH39" s="33"/>
      <c r="LI39" s="33"/>
      <c r="LJ39" s="33"/>
      <c r="LK39" s="33"/>
      <c r="LL39" s="33"/>
      <c r="LM39" s="33"/>
      <c r="LN39" s="33"/>
      <c r="LO39" s="33"/>
      <c r="LP39" s="44"/>
      <c r="LQ39" s="44"/>
      <c r="LR39" s="44"/>
      <c r="LS39" s="44"/>
      <c r="LT39" s="44"/>
      <c r="LU39" s="44"/>
      <c r="LV39" s="44"/>
    </row>
    <row r="40" spans="1:334" x14ac:dyDescent="0.2">
      <c r="A40" s="1" t="s">
        <v>8049</v>
      </c>
      <c r="B40" s="1" t="s">
        <v>1001</v>
      </c>
      <c r="C40" s="1" t="s">
        <v>8030</v>
      </c>
      <c r="D40" s="1" t="s">
        <v>8050</v>
      </c>
      <c r="E40" s="1" t="s">
        <v>11</v>
      </c>
      <c r="F40" s="1" t="s">
        <v>8032</v>
      </c>
      <c r="H40" s="1" t="s">
        <v>8051</v>
      </c>
      <c r="J40" s="1" t="s">
        <v>8039</v>
      </c>
      <c r="K40" s="1">
        <v>2011</v>
      </c>
      <c r="L40" s="1" t="s">
        <v>8034</v>
      </c>
      <c r="M40" s="1" t="s">
        <v>6182</v>
      </c>
      <c r="N40" s="17" t="s">
        <v>7945</v>
      </c>
      <c r="O40" s="33"/>
      <c r="P40" s="33"/>
      <c r="Q40" s="33"/>
      <c r="R40" s="33"/>
      <c r="S40" s="33">
        <v>8.5500000000000007</v>
      </c>
      <c r="T40" s="33"/>
      <c r="U40" s="33"/>
      <c r="V40" s="33"/>
      <c r="W40" s="33"/>
      <c r="X40" s="33"/>
      <c r="Y40" s="33"/>
      <c r="Z40" s="33">
        <v>19.84</v>
      </c>
      <c r="AA40" s="33"/>
      <c r="AB40" s="33"/>
      <c r="AC40" s="33">
        <v>2.4</v>
      </c>
      <c r="AD40" s="33"/>
      <c r="AE40" s="33">
        <v>61.12</v>
      </c>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v>5.42</v>
      </c>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v>3.7</v>
      </c>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KZ40" s="33"/>
      <c r="LA40" s="33"/>
      <c r="LB40" s="33"/>
      <c r="LC40" s="33"/>
      <c r="LD40" s="33"/>
      <c r="LE40" s="33"/>
      <c r="LF40" s="33"/>
      <c r="LG40" s="33"/>
      <c r="LH40" s="33"/>
      <c r="LI40" s="33"/>
      <c r="LJ40" s="33"/>
      <c r="LK40" s="33"/>
      <c r="LL40" s="33"/>
      <c r="LM40" s="33"/>
      <c r="LN40" s="33"/>
      <c r="LO40" s="33"/>
      <c r="LP40" s="44"/>
      <c r="LQ40" s="44"/>
      <c r="LR40" s="44"/>
      <c r="LS40" s="44"/>
      <c r="LT40" s="44"/>
      <c r="LU40" s="44"/>
      <c r="LV40" s="44"/>
    </row>
    <row r="41" spans="1:334" x14ac:dyDescent="0.2">
      <c r="A41" s="1" t="s">
        <v>8052</v>
      </c>
      <c r="B41" s="1" t="s">
        <v>1001</v>
      </c>
      <c r="C41" s="1" t="s">
        <v>8030</v>
      </c>
      <c r="D41" s="1" t="s">
        <v>8053</v>
      </c>
      <c r="E41" s="1" t="s">
        <v>11</v>
      </c>
      <c r="F41" s="1" t="s">
        <v>8032</v>
      </c>
      <c r="H41" s="1" t="s">
        <v>8054</v>
      </c>
      <c r="J41" s="1" t="s">
        <v>8039</v>
      </c>
      <c r="K41" s="1">
        <v>2011</v>
      </c>
      <c r="L41" s="1" t="s">
        <v>8034</v>
      </c>
      <c r="M41" s="1" t="s">
        <v>6182</v>
      </c>
      <c r="N41" s="17" t="s">
        <v>7945</v>
      </c>
      <c r="O41" s="33"/>
      <c r="P41" s="33"/>
      <c r="Q41" s="33"/>
      <c r="R41" s="33"/>
      <c r="S41" s="33">
        <v>7.94</v>
      </c>
      <c r="T41" s="33"/>
      <c r="U41" s="33"/>
      <c r="V41" s="33"/>
      <c r="W41" s="33"/>
      <c r="X41" s="33"/>
      <c r="Y41" s="33"/>
      <c r="Z41" s="33">
        <v>18.809999999999999</v>
      </c>
      <c r="AA41" s="33"/>
      <c r="AB41" s="33"/>
      <c r="AC41" s="33">
        <v>2.2000000000000002</v>
      </c>
      <c r="AD41" s="33"/>
      <c r="AE41" s="33">
        <v>62.55</v>
      </c>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v>5.25</v>
      </c>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v>3.53</v>
      </c>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v>2.9791000000000003</v>
      </c>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KZ41" s="33"/>
      <c r="LA41" s="33"/>
      <c r="LB41" s="33"/>
      <c r="LC41" s="33"/>
      <c r="LD41" s="33"/>
      <c r="LE41" s="33"/>
      <c r="LF41" s="33"/>
      <c r="LG41" s="33"/>
      <c r="LH41" s="33"/>
      <c r="LI41" s="33"/>
      <c r="LJ41" s="33"/>
      <c r="LK41" s="33"/>
      <c r="LL41" s="33"/>
      <c r="LM41" s="33"/>
      <c r="LN41" s="33"/>
      <c r="LO41" s="33"/>
      <c r="LP41" s="44"/>
      <c r="LQ41" s="44"/>
      <c r="LR41" s="44"/>
      <c r="LS41" s="44"/>
      <c r="LT41" s="44"/>
      <c r="LU41" s="44"/>
      <c r="LV41" s="44"/>
    </row>
    <row r="42" spans="1:334" x14ac:dyDescent="0.2">
      <c r="A42" s="1" t="s">
        <v>8055</v>
      </c>
      <c r="B42" s="1" t="s">
        <v>1001</v>
      </c>
      <c r="C42" s="1" t="s">
        <v>8030</v>
      </c>
      <c r="D42" s="1" t="s">
        <v>8056</v>
      </c>
      <c r="E42" s="1" t="s">
        <v>11</v>
      </c>
      <c r="F42" s="1" t="s">
        <v>8032</v>
      </c>
      <c r="H42" s="1" t="s">
        <v>8057</v>
      </c>
      <c r="J42" s="1" t="s">
        <v>8039</v>
      </c>
      <c r="K42" s="1">
        <v>2011</v>
      </c>
      <c r="L42" s="1" t="s">
        <v>8034</v>
      </c>
      <c r="M42" s="1" t="s">
        <v>6182</v>
      </c>
      <c r="N42" s="17" t="s">
        <v>7945</v>
      </c>
      <c r="O42" s="33"/>
      <c r="P42" s="33"/>
      <c r="Q42" s="33"/>
      <c r="R42" s="33"/>
      <c r="S42" s="33">
        <v>6.64</v>
      </c>
      <c r="T42" s="33"/>
      <c r="U42" s="33"/>
      <c r="V42" s="33"/>
      <c r="W42" s="33"/>
      <c r="X42" s="33"/>
      <c r="Y42" s="33"/>
      <c r="Z42" s="33">
        <v>17.93</v>
      </c>
      <c r="AA42" s="33"/>
      <c r="AB42" s="33"/>
      <c r="AC42" s="33">
        <v>2.1</v>
      </c>
      <c r="AD42" s="33"/>
      <c r="AE42" s="33">
        <v>64.94</v>
      </c>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v>4.93</v>
      </c>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v>3.46</v>
      </c>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v>0.12012500000000001</v>
      </c>
      <c r="JB42" s="33"/>
      <c r="JC42" s="33"/>
      <c r="JD42" s="33"/>
      <c r="JE42" s="33"/>
      <c r="JF42" s="33"/>
      <c r="JG42" s="33"/>
      <c r="JH42" s="33"/>
      <c r="JI42" s="33"/>
      <c r="JJ42" s="33"/>
      <c r="JK42" s="33"/>
      <c r="JL42" s="33"/>
      <c r="JM42" s="33"/>
      <c r="JN42" s="33"/>
      <c r="JO42" s="33"/>
      <c r="JP42" s="33"/>
      <c r="JQ42" s="33"/>
      <c r="JR42" s="33"/>
      <c r="KZ42" s="33"/>
      <c r="LA42" s="33"/>
      <c r="LB42" s="33"/>
      <c r="LC42" s="33"/>
      <c r="LD42" s="33"/>
      <c r="LE42" s="33"/>
      <c r="LF42" s="33"/>
      <c r="LG42" s="33"/>
      <c r="LH42" s="33"/>
      <c r="LI42" s="33"/>
      <c r="LJ42" s="33"/>
      <c r="LK42" s="33"/>
      <c r="LL42" s="33"/>
      <c r="LM42" s="33"/>
      <c r="LN42" s="33"/>
      <c r="LO42" s="33"/>
      <c r="LP42" s="44"/>
      <c r="LQ42" s="44"/>
      <c r="LR42" s="44"/>
      <c r="LS42" s="44"/>
      <c r="LT42" s="44"/>
      <c r="LU42" s="44"/>
      <c r="LV42" s="44"/>
    </row>
    <row r="43" spans="1:334" x14ac:dyDescent="0.2">
      <c r="A43" s="1" t="s">
        <v>8058</v>
      </c>
      <c r="B43" s="1" t="s">
        <v>1001</v>
      </c>
      <c r="C43" s="1" t="s">
        <v>8030</v>
      </c>
      <c r="D43" s="1" t="s">
        <v>8059</v>
      </c>
      <c r="E43" s="1" t="s">
        <v>11</v>
      </c>
      <c r="F43" s="1" t="s">
        <v>8032</v>
      </c>
      <c r="H43" s="1" t="s">
        <v>8060</v>
      </c>
      <c r="J43" s="1" t="s">
        <v>8039</v>
      </c>
      <c r="K43" s="1">
        <v>2011</v>
      </c>
      <c r="L43" s="1" t="s">
        <v>8034</v>
      </c>
      <c r="M43" s="1" t="s">
        <v>6182</v>
      </c>
      <c r="N43" s="17" t="s">
        <v>7945</v>
      </c>
      <c r="O43" s="33"/>
      <c r="P43" s="33"/>
      <c r="Q43" s="33"/>
      <c r="R43" s="33"/>
      <c r="S43" s="33">
        <v>5.45</v>
      </c>
      <c r="T43" s="33"/>
      <c r="U43" s="33"/>
      <c r="V43" s="33"/>
      <c r="W43" s="33"/>
      <c r="X43" s="33"/>
      <c r="Y43" s="33"/>
      <c r="Z43" s="33">
        <v>17.63</v>
      </c>
      <c r="AA43" s="33"/>
      <c r="AB43" s="33"/>
      <c r="AC43" s="33">
        <v>2</v>
      </c>
      <c r="AD43" s="33"/>
      <c r="AE43" s="33">
        <v>66.87</v>
      </c>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v>4.7</v>
      </c>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v>3.35</v>
      </c>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c r="GL43" s="33"/>
      <c r="GM43" s="33"/>
      <c r="GN43" s="33"/>
      <c r="GO43" s="33"/>
      <c r="GP43" s="33"/>
      <c r="GQ43" s="33"/>
      <c r="GR43" s="33"/>
      <c r="GS43" s="33"/>
      <c r="GT43" s="33"/>
      <c r="GU43" s="33"/>
      <c r="GV43" s="33"/>
      <c r="GW43" s="33"/>
      <c r="GX43" s="33"/>
      <c r="GY43" s="33"/>
      <c r="GZ43" s="33"/>
      <c r="HA43" s="33"/>
      <c r="HB43" s="33"/>
      <c r="HC43" s="33"/>
      <c r="HD43" s="33"/>
      <c r="HE43" s="33"/>
      <c r="HF43" s="33"/>
      <c r="HG43" s="33"/>
      <c r="HH43" s="33"/>
      <c r="HI43" s="33"/>
      <c r="HJ43" s="33"/>
      <c r="HK43" s="33"/>
      <c r="HL43" s="33"/>
      <c r="HM43" s="33"/>
      <c r="HN43" s="33"/>
      <c r="HO43" s="33"/>
      <c r="HP43" s="33"/>
      <c r="HQ43" s="33"/>
      <c r="HR43" s="33"/>
      <c r="HS43" s="33"/>
      <c r="HT43" s="33"/>
      <c r="HU43" s="33"/>
      <c r="HV43" s="33"/>
      <c r="HW43" s="33"/>
      <c r="HX43" s="33"/>
      <c r="HY43" s="33"/>
      <c r="HZ43" s="33"/>
      <c r="IA43" s="33"/>
      <c r="IB43" s="33"/>
      <c r="IC43" s="33"/>
      <c r="ID43" s="33"/>
      <c r="IE43" s="33"/>
      <c r="IF43" s="33"/>
      <c r="IG43" s="33"/>
      <c r="IH43" s="33"/>
      <c r="II43" s="33"/>
      <c r="IJ43" s="33"/>
      <c r="IK43" s="33"/>
      <c r="IL43" s="33"/>
      <c r="IM43" s="33"/>
      <c r="IN43" s="33"/>
      <c r="IO43" s="33"/>
      <c r="IP43" s="33"/>
      <c r="IQ43" s="33"/>
      <c r="IR43" s="33"/>
      <c r="IS43" s="33"/>
      <c r="IT43" s="33"/>
      <c r="IU43" s="33"/>
      <c r="IV43" s="33"/>
      <c r="IW43" s="33"/>
      <c r="IX43" s="33"/>
      <c r="IY43" s="33"/>
      <c r="IZ43" s="33"/>
      <c r="JA43" s="33"/>
      <c r="JB43" s="33"/>
      <c r="JC43" s="33"/>
      <c r="JD43" s="33"/>
      <c r="JE43" s="33"/>
      <c r="JF43" s="33"/>
      <c r="JG43" s="33"/>
      <c r="JH43" s="33"/>
      <c r="JI43" s="33"/>
      <c r="JJ43" s="33"/>
      <c r="JK43" s="33"/>
      <c r="JL43" s="33"/>
      <c r="JM43" s="33"/>
      <c r="JN43" s="33"/>
      <c r="JO43" s="33"/>
      <c r="JP43" s="33"/>
      <c r="JQ43" s="33"/>
      <c r="JR43" s="33"/>
      <c r="KZ43" s="33"/>
      <c r="LA43" s="33"/>
      <c r="LB43" s="33"/>
      <c r="LC43" s="33"/>
      <c r="LD43" s="33"/>
      <c r="LE43" s="33"/>
      <c r="LF43" s="33"/>
      <c r="LG43" s="33"/>
      <c r="LH43" s="33"/>
      <c r="LI43" s="33"/>
      <c r="LJ43" s="33"/>
      <c r="LK43" s="33"/>
      <c r="LL43" s="33"/>
      <c r="LM43" s="33"/>
      <c r="LN43" s="33"/>
      <c r="LO43" s="33"/>
      <c r="LP43" s="44"/>
      <c r="LQ43" s="44"/>
      <c r="LR43" s="44"/>
      <c r="LS43" s="44"/>
      <c r="LT43" s="44"/>
      <c r="LU43" s="44"/>
      <c r="LV43" s="44"/>
    </row>
    <row r="44" spans="1:334" x14ac:dyDescent="0.2">
      <c r="A44" s="1" t="s">
        <v>8061</v>
      </c>
      <c r="B44" s="1" t="s">
        <v>8062</v>
      </c>
      <c r="D44" s="1" t="s">
        <v>8063</v>
      </c>
      <c r="E44" s="1" t="s">
        <v>7</v>
      </c>
      <c r="F44" s="1" t="s">
        <v>8064</v>
      </c>
      <c r="J44" s="1" t="s">
        <v>8065</v>
      </c>
      <c r="K44" s="1">
        <v>2015</v>
      </c>
      <c r="L44" s="1" t="s">
        <v>8066</v>
      </c>
      <c r="M44" s="1" t="s">
        <v>6182</v>
      </c>
      <c r="N44" s="17" t="s">
        <v>7945</v>
      </c>
      <c r="O44" s="33"/>
      <c r="P44" s="33"/>
      <c r="Q44" s="33"/>
      <c r="R44" s="33"/>
      <c r="S44" s="33">
        <v>12.23</v>
      </c>
      <c r="T44" s="33"/>
      <c r="U44" s="33">
        <v>6.25</v>
      </c>
      <c r="V44" s="33"/>
      <c r="W44" s="33"/>
      <c r="X44" s="33"/>
      <c r="Y44" s="33"/>
      <c r="Z44" s="33">
        <v>18.273713999999998</v>
      </c>
      <c r="AA44" s="33"/>
      <c r="AB44" s="33"/>
      <c r="AC44" s="33">
        <v>1.0971249999999999</v>
      </c>
      <c r="AD44" s="33"/>
      <c r="AE44" s="33"/>
      <c r="AF44" s="33"/>
      <c r="AG44" s="33"/>
      <c r="AH44" s="33"/>
      <c r="AI44" s="33"/>
      <c r="AJ44" s="33"/>
      <c r="AK44" s="33"/>
      <c r="AL44" s="33"/>
      <c r="AM44" s="33"/>
      <c r="AN44" s="33"/>
      <c r="AO44" s="33"/>
      <c r="AP44" s="33">
        <v>22.153147999999998</v>
      </c>
      <c r="AQ44" s="33"/>
      <c r="AR44" s="33"/>
      <c r="AS44" s="33">
        <v>17.729539999999997</v>
      </c>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c r="FT44" s="33"/>
      <c r="FU44" s="33"/>
      <c r="FV44" s="33"/>
      <c r="FW44" s="33"/>
      <c r="FX44" s="33"/>
      <c r="FY44" s="33"/>
      <c r="FZ44" s="33"/>
      <c r="GA44" s="33"/>
      <c r="GB44" s="33"/>
      <c r="GC44" s="33"/>
      <c r="GD44" s="33"/>
      <c r="GE44" s="33"/>
      <c r="GF44" s="33"/>
      <c r="GG44" s="33"/>
      <c r="GH44" s="33"/>
      <c r="GI44" s="33"/>
      <c r="GJ44" s="33"/>
      <c r="GK44" s="33"/>
      <c r="GL44" s="33"/>
      <c r="GM44" s="33"/>
      <c r="GN44" s="33"/>
      <c r="GO44" s="33"/>
      <c r="GP44" s="33"/>
      <c r="GQ44" s="33"/>
      <c r="GR44" s="33"/>
      <c r="GS44" s="33"/>
      <c r="GT44" s="33"/>
      <c r="GU44" s="33"/>
      <c r="GV44" s="33"/>
      <c r="GW44" s="33"/>
      <c r="GX44" s="33"/>
      <c r="GY44" s="33"/>
      <c r="GZ44" s="33"/>
      <c r="HA44" s="33"/>
      <c r="HB44" s="33"/>
      <c r="HC44" s="33"/>
      <c r="HD44" s="33"/>
      <c r="HE44" s="33"/>
      <c r="HF44" s="33"/>
      <c r="HG44" s="33"/>
      <c r="HH44" s="33"/>
      <c r="HI44" s="33"/>
      <c r="HJ44" s="33"/>
      <c r="HK44" s="33"/>
      <c r="HL44" s="33"/>
      <c r="HM44" s="33"/>
      <c r="HN44" s="33"/>
      <c r="HO44" s="33"/>
      <c r="HP44" s="33"/>
      <c r="HQ44" s="33"/>
      <c r="HR44" s="33"/>
      <c r="HS44" s="33"/>
      <c r="HT44" s="33"/>
      <c r="HU44" s="33"/>
      <c r="HV44" s="33"/>
      <c r="HW44" s="33"/>
      <c r="HX44" s="33"/>
      <c r="HY44" s="33"/>
      <c r="HZ44" s="33"/>
      <c r="IA44" s="33"/>
      <c r="IB44" s="33"/>
      <c r="IC44" s="33"/>
      <c r="ID44" s="33"/>
      <c r="IE44" s="33"/>
      <c r="IF44" s="33"/>
      <c r="IG44" s="33"/>
      <c r="IH44" s="33"/>
      <c r="II44" s="33"/>
      <c r="IJ44" s="33"/>
      <c r="IK44" s="33"/>
      <c r="IL44" s="33"/>
      <c r="IM44" s="33"/>
      <c r="IN44" s="33"/>
      <c r="IO44" s="33"/>
      <c r="IP44" s="33"/>
      <c r="IQ44" s="33"/>
      <c r="IR44" s="33"/>
      <c r="IS44" s="33"/>
      <c r="IT44" s="33"/>
      <c r="IU44" s="33"/>
      <c r="IV44" s="33"/>
      <c r="IW44" s="33"/>
      <c r="IX44" s="33"/>
      <c r="IY44" s="33"/>
      <c r="IZ44" s="33"/>
      <c r="JA44" s="33"/>
      <c r="JB44" s="33"/>
      <c r="JC44" s="33"/>
      <c r="JD44" s="33"/>
      <c r="JE44" s="33"/>
      <c r="JF44" s="33"/>
      <c r="JG44" s="33"/>
      <c r="JH44" s="33"/>
      <c r="JI44" s="33"/>
      <c r="JJ44" s="33"/>
      <c r="JK44" s="33"/>
      <c r="JL44" s="33"/>
      <c r="JM44" s="33"/>
      <c r="JN44" s="33"/>
      <c r="JO44" s="33"/>
      <c r="JP44" s="33"/>
      <c r="JQ44" s="33"/>
      <c r="JR44" s="33"/>
      <c r="KZ44" s="33"/>
      <c r="LA44" s="33"/>
      <c r="LB44" s="33"/>
      <c r="LC44" s="33"/>
      <c r="LD44" s="33"/>
      <c r="LE44" s="33"/>
      <c r="LF44" s="33"/>
      <c r="LG44" s="33"/>
      <c r="LH44" s="33"/>
      <c r="LI44" s="33"/>
      <c r="LJ44" s="33"/>
      <c r="LK44" s="33"/>
      <c r="LL44" s="33"/>
      <c r="LM44" s="33"/>
      <c r="LN44" s="33"/>
      <c r="LO44" s="33"/>
      <c r="LP44" s="44"/>
      <c r="LQ44" s="44"/>
      <c r="LR44" s="44"/>
      <c r="LS44" s="44"/>
      <c r="LT44" s="44"/>
      <c r="LU44" s="44"/>
      <c r="LV44" s="44"/>
    </row>
    <row r="45" spans="1:334" x14ac:dyDescent="0.2">
      <c r="A45" s="1" t="s">
        <v>8067</v>
      </c>
      <c r="B45" s="1" t="s">
        <v>8062</v>
      </c>
      <c r="D45" s="1" t="s">
        <v>8063</v>
      </c>
      <c r="E45" s="1" t="s">
        <v>7</v>
      </c>
      <c r="F45" s="1" t="s">
        <v>8068</v>
      </c>
      <c r="J45" s="1" t="s">
        <v>8065</v>
      </c>
      <c r="K45" s="1">
        <v>2015</v>
      </c>
      <c r="L45" s="1" t="s">
        <v>8066</v>
      </c>
      <c r="M45" s="1" t="s">
        <v>6182</v>
      </c>
      <c r="N45" s="17" t="s">
        <v>7945</v>
      </c>
      <c r="O45" s="33"/>
      <c r="P45" s="33"/>
      <c r="Q45" s="33"/>
      <c r="R45" s="33"/>
      <c r="S45" s="33">
        <v>12.64</v>
      </c>
      <c r="T45" s="33"/>
      <c r="U45" s="33">
        <v>6.25</v>
      </c>
      <c r="V45" s="33"/>
      <c r="W45" s="33"/>
      <c r="X45" s="33"/>
      <c r="Y45" s="33"/>
      <c r="Z45" s="33">
        <v>20.844096</v>
      </c>
      <c r="AA45" s="33"/>
      <c r="AB45" s="33"/>
      <c r="AC45" s="33">
        <v>1.188096</v>
      </c>
      <c r="AD45" s="33"/>
      <c r="AE45" s="33"/>
      <c r="AF45" s="33"/>
      <c r="AG45" s="33"/>
      <c r="AH45" s="33"/>
      <c r="AI45" s="33"/>
      <c r="AJ45" s="33"/>
      <c r="AK45" s="33"/>
      <c r="AL45" s="33"/>
      <c r="AM45" s="33"/>
      <c r="AN45" s="33"/>
      <c r="AO45" s="33"/>
      <c r="AP45" s="33">
        <v>25.386816</v>
      </c>
      <c r="AQ45" s="33"/>
      <c r="AR45" s="33"/>
      <c r="AS45" s="33">
        <v>16.64208</v>
      </c>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c r="FT45" s="33"/>
      <c r="FU45" s="33"/>
      <c r="FV45" s="33"/>
      <c r="FW45" s="33"/>
      <c r="FX45" s="33"/>
      <c r="FY45" s="33"/>
      <c r="FZ45" s="33"/>
      <c r="GA45" s="33"/>
      <c r="GB45" s="33"/>
      <c r="GC45" s="33"/>
      <c r="GD45" s="33"/>
      <c r="GE45" s="33"/>
      <c r="GF45" s="33"/>
      <c r="GG45" s="33"/>
      <c r="GH45" s="33"/>
      <c r="GI45" s="33"/>
      <c r="GJ45" s="33"/>
      <c r="GK45" s="33"/>
      <c r="GL45" s="33"/>
      <c r="GM45" s="33"/>
      <c r="GN45" s="33"/>
      <c r="GO45" s="33"/>
      <c r="GP45" s="33"/>
      <c r="GQ45" s="33"/>
      <c r="GR45" s="33"/>
      <c r="GS45" s="33"/>
      <c r="GT45" s="33"/>
      <c r="GU45" s="33"/>
      <c r="GV45" s="33"/>
      <c r="GW45" s="33"/>
      <c r="GX45" s="33"/>
      <c r="GY45" s="33"/>
      <c r="GZ45" s="33"/>
      <c r="HA45" s="33"/>
      <c r="HB45" s="33"/>
      <c r="HC45" s="33"/>
      <c r="HD45" s="33"/>
      <c r="HE45" s="33"/>
      <c r="HF45" s="33"/>
      <c r="HG45" s="33"/>
      <c r="HH45" s="33"/>
      <c r="HI45" s="33"/>
      <c r="HJ45" s="33"/>
      <c r="HK45" s="33"/>
      <c r="HL45" s="33"/>
      <c r="HM45" s="33"/>
      <c r="HN45" s="33"/>
      <c r="HO45" s="33"/>
      <c r="HP45" s="33"/>
      <c r="HQ45" s="33"/>
      <c r="HR45" s="33"/>
      <c r="HS45" s="33"/>
      <c r="HT45" s="33"/>
      <c r="HU45" s="33"/>
      <c r="HV45" s="33"/>
      <c r="HW45" s="33"/>
      <c r="HX45" s="33"/>
      <c r="HY45" s="33"/>
      <c r="HZ45" s="33"/>
      <c r="IA45" s="33"/>
      <c r="IB45" s="33"/>
      <c r="IC45" s="33"/>
      <c r="ID45" s="33"/>
      <c r="IE45" s="33"/>
      <c r="IF45" s="33"/>
      <c r="IG45" s="33"/>
      <c r="IH45" s="33"/>
      <c r="II45" s="33"/>
      <c r="IJ45" s="33"/>
      <c r="IK45" s="33"/>
      <c r="IL45" s="33"/>
      <c r="IM45" s="33"/>
      <c r="IN45" s="33"/>
      <c r="IO45" s="33"/>
      <c r="IP45" s="33"/>
      <c r="IQ45" s="33"/>
      <c r="IR45" s="33"/>
      <c r="IS45" s="33"/>
      <c r="IT45" s="33"/>
      <c r="IU45" s="33"/>
      <c r="IV45" s="33"/>
      <c r="IW45" s="33"/>
      <c r="IX45" s="33"/>
      <c r="IY45" s="33"/>
      <c r="IZ45" s="33"/>
      <c r="JA45" s="33"/>
      <c r="JB45" s="33"/>
      <c r="JC45" s="33"/>
      <c r="JD45" s="33"/>
      <c r="JE45" s="33"/>
      <c r="JF45" s="33"/>
      <c r="JG45" s="33"/>
      <c r="JH45" s="33"/>
      <c r="JI45" s="33"/>
      <c r="JJ45" s="33"/>
      <c r="JK45" s="33"/>
      <c r="JL45" s="33"/>
      <c r="JM45" s="33"/>
      <c r="JN45" s="33"/>
      <c r="JO45" s="33"/>
      <c r="JP45" s="33"/>
      <c r="JQ45" s="33"/>
      <c r="JR45" s="33"/>
      <c r="KZ45" s="33"/>
      <c r="LA45" s="33"/>
      <c r="LB45" s="33"/>
      <c r="LC45" s="33"/>
      <c r="LD45" s="33"/>
      <c r="LE45" s="33"/>
      <c r="LF45" s="33"/>
      <c r="LG45" s="33"/>
      <c r="LH45" s="33"/>
      <c r="LI45" s="33"/>
      <c r="LJ45" s="33"/>
      <c r="LK45" s="33"/>
      <c r="LL45" s="33"/>
      <c r="LM45" s="33"/>
      <c r="LN45" s="33"/>
      <c r="LO45" s="33"/>
      <c r="LP45" s="44"/>
      <c r="LQ45" s="44"/>
      <c r="LR45" s="44"/>
      <c r="LS45" s="44"/>
      <c r="LT45" s="44"/>
      <c r="LU45" s="44"/>
      <c r="LV45" s="44"/>
    </row>
    <row r="46" spans="1:334" x14ac:dyDescent="0.2">
      <c r="A46" s="1" t="s">
        <v>8069</v>
      </c>
      <c r="B46" s="1" t="s">
        <v>8062</v>
      </c>
      <c r="D46" s="1" t="s">
        <v>8063</v>
      </c>
      <c r="E46" s="1" t="s">
        <v>7</v>
      </c>
      <c r="F46" s="1" t="s">
        <v>8070</v>
      </c>
      <c r="J46" s="1" t="s">
        <v>8065</v>
      </c>
      <c r="K46" s="1">
        <v>2015</v>
      </c>
      <c r="L46" s="1" t="s">
        <v>8066</v>
      </c>
      <c r="M46" s="1" t="s">
        <v>6182</v>
      </c>
      <c r="N46" s="17" t="s">
        <v>7945</v>
      </c>
      <c r="O46" s="33"/>
      <c r="P46" s="33"/>
      <c r="Q46" s="33"/>
      <c r="R46" s="33"/>
      <c r="S46" s="33">
        <v>12.04</v>
      </c>
      <c r="T46" s="33"/>
      <c r="U46" s="33">
        <v>6.25</v>
      </c>
      <c r="V46" s="33"/>
      <c r="W46" s="33"/>
      <c r="X46" s="33"/>
      <c r="Y46" s="33"/>
      <c r="Z46" s="33">
        <v>19.403976</v>
      </c>
      <c r="AA46" s="33"/>
      <c r="AB46" s="33"/>
      <c r="AC46" s="33">
        <v>1.2226440000000001</v>
      </c>
      <c r="AD46" s="33"/>
      <c r="AE46" s="33"/>
      <c r="AF46" s="33"/>
      <c r="AG46" s="33"/>
      <c r="AH46" s="33"/>
      <c r="AI46" s="33"/>
      <c r="AJ46" s="33"/>
      <c r="AK46" s="33"/>
      <c r="AL46" s="33"/>
      <c r="AM46" s="33"/>
      <c r="AN46" s="33"/>
      <c r="AO46" s="33"/>
      <c r="AP46" s="33">
        <v>24.699168</v>
      </c>
      <c r="AQ46" s="33"/>
      <c r="AR46" s="33"/>
      <c r="AS46" s="33">
        <v>12.930120000000001</v>
      </c>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c r="GL46" s="33"/>
      <c r="GM46" s="33"/>
      <c r="GN46" s="33"/>
      <c r="GO46" s="33"/>
      <c r="GP46" s="33"/>
      <c r="GQ46" s="33"/>
      <c r="GR46" s="33"/>
      <c r="GS46" s="33"/>
      <c r="GT46" s="33"/>
      <c r="GU46" s="33"/>
      <c r="GV46" s="33"/>
      <c r="GW46" s="33"/>
      <c r="GX46" s="33"/>
      <c r="GY46" s="33"/>
      <c r="GZ46" s="33"/>
      <c r="HA46" s="33"/>
      <c r="HB46" s="33"/>
      <c r="HC46" s="33"/>
      <c r="HD46" s="33"/>
      <c r="HE46" s="33"/>
      <c r="HF46" s="33"/>
      <c r="HG46" s="33"/>
      <c r="HH46" s="33"/>
      <c r="HI46" s="33"/>
      <c r="HJ46" s="33"/>
      <c r="HK46" s="33"/>
      <c r="HL46" s="33"/>
      <c r="HM46" s="33"/>
      <c r="HN46" s="33"/>
      <c r="HO46" s="33"/>
      <c r="HP46" s="33"/>
      <c r="HQ46" s="33"/>
      <c r="HR46" s="33"/>
      <c r="HS46" s="33"/>
      <c r="HT46" s="33"/>
      <c r="HU46" s="33"/>
      <c r="HV46" s="33"/>
      <c r="HW46" s="33"/>
      <c r="HX46" s="33"/>
      <c r="HY46" s="33"/>
      <c r="HZ46" s="33"/>
      <c r="IA46" s="33"/>
      <c r="IB46" s="33"/>
      <c r="IC46" s="33"/>
      <c r="ID46" s="33"/>
      <c r="IE46" s="33"/>
      <c r="IF46" s="33"/>
      <c r="IG46" s="33"/>
      <c r="IH46" s="33"/>
      <c r="II46" s="33"/>
      <c r="IJ46" s="33"/>
      <c r="IK46" s="33"/>
      <c r="IL46" s="33"/>
      <c r="IM46" s="33"/>
      <c r="IN46" s="33"/>
      <c r="IO46" s="33"/>
      <c r="IP46" s="33"/>
      <c r="IQ46" s="33"/>
      <c r="IR46" s="33"/>
      <c r="IS46" s="33"/>
      <c r="IT46" s="33"/>
      <c r="IU46" s="33"/>
      <c r="IV46" s="33"/>
      <c r="IW46" s="33"/>
      <c r="IX46" s="33"/>
      <c r="IY46" s="33"/>
      <c r="IZ46" s="33"/>
      <c r="JA46" s="33"/>
      <c r="JB46" s="33"/>
      <c r="JC46" s="33"/>
      <c r="JD46" s="33"/>
      <c r="JE46" s="33"/>
      <c r="JF46" s="33"/>
      <c r="JG46" s="33"/>
      <c r="JH46" s="33"/>
      <c r="JI46" s="33"/>
      <c r="JJ46" s="33"/>
      <c r="JK46" s="33"/>
      <c r="JL46" s="33"/>
      <c r="JM46" s="33"/>
      <c r="JN46" s="33"/>
      <c r="JO46" s="33"/>
      <c r="JP46" s="33"/>
      <c r="JQ46" s="33"/>
      <c r="JR46" s="33"/>
      <c r="KZ46" s="33"/>
      <c r="LA46" s="33"/>
      <c r="LB46" s="33"/>
      <c r="LC46" s="33"/>
      <c r="LD46" s="33"/>
      <c r="LE46" s="33"/>
      <c r="LF46" s="33"/>
      <c r="LG46" s="33"/>
      <c r="LH46" s="33"/>
      <c r="LI46" s="33"/>
      <c r="LJ46" s="33"/>
      <c r="LK46" s="33"/>
      <c r="LL46" s="33"/>
      <c r="LM46" s="33"/>
      <c r="LN46" s="33"/>
      <c r="LO46" s="33"/>
      <c r="LP46" s="44"/>
      <c r="LQ46" s="44"/>
      <c r="LR46" s="44"/>
      <c r="LS46" s="44"/>
      <c r="LT46" s="44"/>
      <c r="LU46" s="44"/>
      <c r="LV46" s="44"/>
    </row>
    <row r="47" spans="1:334" x14ac:dyDescent="0.2">
      <c r="A47" s="1" t="s">
        <v>8071</v>
      </c>
      <c r="B47" s="1" t="s">
        <v>8072</v>
      </c>
      <c r="D47" s="1" t="s">
        <v>8073</v>
      </c>
      <c r="E47" s="1" t="s">
        <v>11</v>
      </c>
      <c r="F47" s="1" t="s">
        <v>8007</v>
      </c>
      <c r="J47" s="1" t="s">
        <v>8074</v>
      </c>
      <c r="K47" s="1">
        <v>2010</v>
      </c>
      <c r="L47" s="1" t="s">
        <v>8075</v>
      </c>
      <c r="M47" s="1" t="s">
        <v>6182</v>
      </c>
      <c r="N47" s="17" t="s">
        <v>7945</v>
      </c>
      <c r="O47" s="33"/>
      <c r="P47" s="33"/>
      <c r="Q47" s="33"/>
      <c r="R47" s="33"/>
      <c r="S47" s="33">
        <v>3.7</v>
      </c>
      <c r="T47" s="33"/>
      <c r="U47" s="33">
        <v>6.25</v>
      </c>
      <c r="V47" s="33"/>
      <c r="W47" s="33"/>
      <c r="X47" s="33"/>
      <c r="Y47" s="33"/>
      <c r="Z47" s="33">
        <v>19.4526</v>
      </c>
      <c r="AA47" s="33"/>
      <c r="AB47" s="33"/>
      <c r="AC47" s="33">
        <v>7.6077000000000004</v>
      </c>
      <c r="AD47" s="33"/>
      <c r="AE47" s="33">
        <v>51.135300000000001</v>
      </c>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v>10.111499999999999</v>
      </c>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v>4.4297999999999993</v>
      </c>
      <c r="CP47" s="33">
        <v>153.5985</v>
      </c>
      <c r="CQ47" s="33"/>
      <c r="CR47" s="33">
        <v>1.7334000000000001</v>
      </c>
      <c r="CS47" s="33" t="s">
        <v>9350</v>
      </c>
      <c r="CT47" s="33"/>
      <c r="CU47" s="33">
        <v>36.305100000000003</v>
      </c>
      <c r="CV47" s="33">
        <v>139.05719999999999</v>
      </c>
      <c r="CW47" s="33">
        <v>0.96299999999999997</v>
      </c>
      <c r="CX47" s="33">
        <v>17.719199999999997</v>
      </c>
      <c r="CY47" s="33">
        <v>115.65629999999999</v>
      </c>
      <c r="CZ47" s="33">
        <v>9.1485000000000003</v>
      </c>
      <c r="DA47" s="33">
        <v>8.9558999999999997</v>
      </c>
      <c r="DB47" s="33"/>
      <c r="DC47" s="33">
        <v>11.844900000000001</v>
      </c>
      <c r="DD47" s="33"/>
      <c r="DE47" s="33"/>
      <c r="DF47" s="33">
        <v>10.689299999999999</v>
      </c>
      <c r="DG47" s="33"/>
      <c r="DH47" s="33"/>
      <c r="DI47" s="33">
        <v>2.6963999999999997</v>
      </c>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c r="GL47" s="33"/>
      <c r="GM47" s="33"/>
      <c r="GN47" s="33"/>
      <c r="GO47" s="33"/>
      <c r="GP47" s="33"/>
      <c r="GQ47" s="33"/>
      <c r="GR47" s="33"/>
      <c r="GS47" s="33"/>
      <c r="GT47" s="33"/>
      <c r="GU47" s="33"/>
      <c r="GV47" s="33"/>
      <c r="GW47" s="33"/>
      <c r="GX47" s="33"/>
      <c r="GY47" s="33"/>
      <c r="GZ47" s="33"/>
      <c r="HA47" s="33"/>
      <c r="HB47" s="33"/>
      <c r="HC47" s="33"/>
      <c r="HD47" s="33"/>
      <c r="HE47" s="33"/>
      <c r="HF47" s="33"/>
      <c r="HG47" s="33"/>
      <c r="HH47" s="33"/>
      <c r="HI47" s="33"/>
      <c r="HJ47" s="33"/>
      <c r="HK47" s="33"/>
      <c r="HL47" s="33"/>
      <c r="HM47" s="33"/>
      <c r="HN47" s="33"/>
      <c r="HO47" s="33"/>
      <c r="HP47" s="33"/>
      <c r="HQ47" s="33"/>
      <c r="HR47" s="33"/>
      <c r="HS47" s="33"/>
      <c r="HT47" s="33"/>
      <c r="HU47" s="33"/>
      <c r="HV47" s="33"/>
      <c r="HW47" s="33"/>
      <c r="HX47" s="33"/>
      <c r="HY47" s="33"/>
      <c r="HZ47" s="33"/>
      <c r="IA47" s="33"/>
      <c r="IB47" s="33"/>
      <c r="IC47" s="33"/>
      <c r="ID47" s="33"/>
      <c r="IE47" s="33"/>
      <c r="IF47" s="33"/>
      <c r="IG47" s="33"/>
      <c r="IH47" s="33"/>
      <c r="II47" s="33"/>
      <c r="IJ47" s="33"/>
      <c r="IK47" s="33"/>
      <c r="IL47" s="33"/>
      <c r="IM47" s="33"/>
      <c r="IN47" s="33"/>
      <c r="IO47" s="33"/>
      <c r="IP47" s="33"/>
      <c r="IQ47" s="33"/>
      <c r="IR47" s="33"/>
      <c r="IS47" s="33"/>
      <c r="IT47" s="33"/>
      <c r="IU47" s="33"/>
      <c r="IV47" s="33"/>
      <c r="IW47" s="33"/>
      <c r="IX47" s="33"/>
      <c r="IY47" s="33"/>
      <c r="IZ47" s="33"/>
      <c r="JA47" s="33"/>
      <c r="JB47" s="33"/>
      <c r="JC47" s="33"/>
      <c r="JD47" s="33"/>
      <c r="JE47" s="33"/>
      <c r="JF47" s="33"/>
      <c r="JG47" s="33"/>
      <c r="JH47" s="33"/>
      <c r="JI47" s="33"/>
      <c r="JJ47" s="33"/>
      <c r="JK47" s="33"/>
      <c r="JL47" s="33"/>
      <c r="JM47" s="33"/>
      <c r="JN47" s="33"/>
      <c r="JO47" s="33"/>
      <c r="JP47" s="33"/>
      <c r="JQ47" s="33"/>
      <c r="JR47" s="33"/>
      <c r="JU47" s="42">
        <v>739.19879999999989</v>
      </c>
      <c r="JV47" s="42">
        <v>953.17740000000015</v>
      </c>
      <c r="JX47" s="42">
        <v>1128.2508</v>
      </c>
      <c r="JY47" s="42">
        <v>155.62080000000003</v>
      </c>
      <c r="KB47" s="42">
        <v>2976.2478000000006</v>
      </c>
      <c r="KC47" s="42">
        <v>758.65139999999997</v>
      </c>
      <c r="KD47" s="42">
        <v>583.57799999999997</v>
      </c>
      <c r="KE47" s="42">
        <v>758.65139999999997</v>
      </c>
      <c r="KF47" s="42">
        <v>1478.3975999999998</v>
      </c>
      <c r="KG47" s="42">
        <v>797.55659999999989</v>
      </c>
      <c r="KH47" s="42">
        <v>311.24160000000006</v>
      </c>
      <c r="KJ47" s="42">
        <v>1050.4404000000002</v>
      </c>
      <c r="KK47" s="42">
        <v>680.84100000000012</v>
      </c>
      <c r="KL47" s="42">
        <v>797.55659999999989</v>
      </c>
      <c r="KN47" s="42">
        <v>817.00920000000008</v>
      </c>
      <c r="KP47" s="42">
        <v>836.46180000000004</v>
      </c>
      <c r="KQ47" s="42">
        <v>661.38840000000005</v>
      </c>
      <c r="KU47" s="42">
        <v>7236.3672000000006</v>
      </c>
      <c r="KV47" s="42">
        <v>8072.8290000000006</v>
      </c>
      <c r="KW47" s="42">
        <v>2295.4068000000002</v>
      </c>
      <c r="KX47" s="42">
        <v>466.86239999999998</v>
      </c>
      <c r="KY47" s="42">
        <v>15309.196200000002</v>
      </c>
      <c r="KZ47" s="33"/>
      <c r="LA47" s="33"/>
      <c r="LB47" s="33"/>
      <c r="LC47" s="33"/>
      <c r="LD47" s="33"/>
      <c r="LE47" s="33"/>
      <c r="LF47" s="33"/>
      <c r="LG47" s="33"/>
      <c r="LH47" s="33"/>
      <c r="LI47" s="33"/>
      <c r="LJ47" s="33"/>
      <c r="LK47" s="33"/>
      <c r="LL47" s="33"/>
      <c r="LM47" s="33"/>
      <c r="LN47" s="33"/>
      <c r="LO47" s="33"/>
      <c r="LP47" s="44"/>
      <c r="LQ47" s="44"/>
      <c r="LR47" s="44"/>
      <c r="LS47" s="44"/>
      <c r="LT47" s="44"/>
      <c r="LU47" s="44"/>
      <c r="LV47" s="44"/>
    </row>
    <row r="48" spans="1:334" x14ac:dyDescent="0.2">
      <c r="A48" s="1" t="s">
        <v>8076</v>
      </c>
      <c r="B48" s="1" t="s">
        <v>8072</v>
      </c>
      <c r="D48" s="1" t="s">
        <v>8077</v>
      </c>
      <c r="E48" s="1" t="s">
        <v>11</v>
      </c>
      <c r="F48" s="1" t="s">
        <v>8007</v>
      </c>
      <c r="H48" s="1" t="s">
        <v>8078</v>
      </c>
      <c r="J48" s="1" t="s">
        <v>8079</v>
      </c>
      <c r="K48" s="1">
        <v>2010</v>
      </c>
      <c r="L48" s="1" t="s">
        <v>8075</v>
      </c>
      <c r="M48" s="1" t="s">
        <v>6182</v>
      </c>
      <c r="N48" s="17" t="s">
        <v>7945</v>
      </c>
      <c r="O48" s="33"/>
      <c r="P48" s="33"/>
      <c r="Q48" s="33"/>
      <c r="R48" s="33"/>
      <c r="S48" s="33">
        <v>3.2</v>
      </c>
      <c r="T48" s="33"/>
      <c r="U48" s="33">
        <v>6.25</v>
      </c>
      <c r="V48" s="33"/>
      <c r="W48" s="33"/>
      <c r="X48" s="33"/>
      <c r="Y48" s="33"/>
      <c r="Z48" s="33">
        <v>20.327999999999999</v>
      </c>
      <c r="AA48" s="33"/>
      <c r="AB48" s="33"/>
      <c r="AC48" s="33">
        <v>6.7759999999999998</v>
      </c>
      <c r="AD48" s="33"/>
      <c r="AE48" s="33">
        <v>48.593600000000002</v>
      </c>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v>13.2616</v>
      </c>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v>4.7431999999999999</v>
      </c>
      <c r="CP48" s="33">
        <v>85.08720000000001</v>
      </c>
      <c r="CQ48" s="33"/>
      <c r="CR48" s="33">
        <v>1.6456</v>
      </c>
      <c r="CS48" s="33" t="s">
        <v>9351</v>
      </c>
      <c r="CT48" s="33"/>
      <c r="CU48" s="33">
        <v>11.9064</v>
      </c>
      <c r="CV48" s="33">
        <v>94.089600000000004</v>
      </c>
      <c r="CW48" s="33">
        <v>1.6456</v>
      </c>
      <c r="CX48" s="33">
        <v>22.070399999999999</v>
      </c>
      <c r="CY48" s="33">
        <v>82.667200000000008</v>
      </c>
      <c r="CZ48" s="33">
        <v>4.84</v>
      </c>
      <c r="DA48" s="33">
        <v>9.1959999999999997</v>
      </c>
      <c r="DB48" s="33"/>
      <c r="DC48" s="33">
        <v>3.9687999999999994</v>
      </c>
      <c r="DD48" s="33"/>
      <c r="DE48" s="33"/>
      <c r="DF48" s="33">
        <v>1.1616</v>
      </c>
      <c r="DG48" s="33"/>
      <c r="DH48" s="33"/>
      <c r="DI48" s="33">
        <v>3.6783999999999999</v>
      </c>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c r="GL48" s="33"/>
      <c r="GM48" s="33"/>
      <c r="GN48" s="33"/>
      <c r="GO48" s="33"/>
      <c r="GP48" s="33"/>
      <c r="GQ48" s="33"/>
      <c r="GR48" s="33"/>
      <c r="GS48" s="33"/>
      <c r="GT48" s="33"/>
      <c r="GU48" s="33"/>
      <c r="GV48" s="33"/>
      <c r="GW48" s="33"/>
      <c r="GX48" s="33"/>
      <c r="GY48" s="33"/>
      <c r="GZ48" s="33"/>
      <c r="HA48" s="33"/>
      <c r="HB48" s="33"/>
      <c r="HC48" s="33"/>
      <c r="HD48" s="33"/>
      <c r="HE48" s="33"/>
      <c r="HF48" s="33"/>
      <c r="HG48" s="33"/>
      <c r="HH48" s="33"/>
      <c r="HI48" s="33"/>
      <c r="HJ48" s="33"/>
      <c r="HK48" s="33"/>
      <c r="HL48" s="33"/>
      <c r="HM48" s="33"/>
      <c r="HN48" s="33"/>
      <c r="HO48" s="33"/>
      <c r="HP48" s="33"/>
      <c r="HQ48" s="33"/>
      <c r="HR48" s="33"/>
      <c r="HS48" s="33"/>
      <c r="HT48" s="33"/>
      <c r="HU48" s="33"/>
      <c r="HV48" s="33"/>
      <c r="HW48" s="33"/>
      <c r="HX48" s="33"/>
      <c r="HY48" s="33"/>
      <c r="HZ48" s="33"/>
      <c r="IA48" s="33"/>
      <c r="IB48" s="33"/>
      <c r="IC48" s="33"/>
      <c r="ID48" s="33"/>
      <c r="IE48" s="33"/>
      <c r="IF48" s="33"/>
      <c r="IG48" s="33"/>
      <c r="IH48" s="33"/>
      <c r="II48" s="33"/>
      <c r="IJ48" s="33"/>
      <c r="IK48" s="33"/>
      <c r="IL48" s="33"/>
      <c r="IM48" s="33"/>
      <c r="IN48" s="33"/>
      <c r="IO48" s="33"/>
      <c r="IP48" s="33"/>
      <c r="IQ48" s="33"/>
      <c r="IR48" s="33"/>
      <c r="IS48" s="33"/>
      <c r="IT48" s="33"/>
      <c r="IU48" s="33"/>
      <c r="IV48" s="33"/>
      <c r="IW48" s="33"/>
      <c r="IX48" s="33"/>
      <c r="IY48" s="33"/>
      <c r="IZ48" s="33"/>
      <c r="JA48" s="33"/>
      <c r="JB48" s="33"/>
      <c r="JC48" s="33"/>
      <c r="JD48" s="33"/>
      <c r="JE48" s="33"/>
      <c r="JF48" s="33"/>
      <c r="JG48" s="33"/>
      <c r="JH48" s="33"/>
      <c r="JI48" s="33"/>
      <c r="JJ48" s="33"/>
      <c r="JK48" s="33"/>
      <c r="JL48" s="33"/>
      <c r="JM48" s="33"/>
      <c r="JN48" s="33"/>
      <c r="JO48" s="33"/>
      <c r="JP48" s="33"/>
      <c r="JQ48" s="33"/>
      <c r="JR48" s="33"/>
      <c r="JU48" s="42">
        <v>874.10399999999993</v>
      </c>
      <c r="JV48" s="42">
        <v>1199.3520000000001</v>
      </c>
      <c r="JX48" s="42">
        <v>1992.1440000000002</v>
      </c>
      <c r="JY48" s="42">
        <v>203.28</v>
      </c>
      <c r="KB48" s="42">
        <v>3252.48</v>
      </c>
      <c r="KC48" s="42">
        <v>772.46399999999994</v>
      </c>
      <c r="KD48" s="42">
        <v>630.16800000000001</v>
      </c>
      <c r="KE48" s="42">
        <v>853.77600000000007</v>
      </c>
      <c r="KF48" s="42">
        <v>1646.5679999999998</v>
      </c>
      <c r="KG48" s="42">
        <v>1422.96</v>
      </c>
      <c r="KH48" s="42">
        <v>304.91999999999996</v>
      </c>
      <c r="KJ48" s="42">
        <v>996.07200000000012</v>
      </c>
      <c r="KK48" s="42">
        <v>569.18399999999997</v>
      </c>
      <c r="KL48" s="42">
        <v>630.16800000000001</v>
      </c>
      <c r="KN48" s="42">
        <v>569.18399999999997</v>
      </c>
      <c r="KP48" s="42">
        <v>630.16800000000001</v>
      </c>
      <c r="KQ48" s="42">
        <v>853.77600000000007</v>
      </c>
      <c r="KU48" s="42">
        <v>8476.7759999999998</v>
      </c>
      <c r="KV48" s="42">
        <v>8923.9920000000002</v>
      </c>
      <c r="KW48" s="42">
        <v>2256.4079999999999</v>
      </c>
      <c r="KX48" s="42">
        <v>508.2</v>
      </c>
      <c r="KY48" s="42">
        <v>17400.767999999996</v>
      </c>
      <c r="KZ48" s="33"/>
      <c r="LA48" s="33"/>
      <c r="LB48" s="33"/>
      <c r="LC48" s="33"/>
      <c r="LD48" s="33"/>
      <c r="LE48" s="33"/>
      <c r="LF48" s="33"/>
      <c r="LG48" s="33"/>
      <c r="LH48" s="33"/>
      <c r="LI48" s="33"/>
      <c r="LJ48" s="33"/>
      <c r="LK48" s="33"/>
      <c r="LL48" s="33"/>
      <c r="LM48" s="33"/>
      <c r="LN48" s="33"/>
      <c r="LO48" s="33"/>
      <c r="LP48" s="44"/>
      <c r="LQ48" s="44"/>
      <c r="LR48" s="44"/>
      <c r="LS48" s="44"/>
      <c r="LT48" s="44"/>
      <c r="LU48" s="44"/>
      <c r="LV48" s="44"/>
    </row>
    <row r="49" spans="1:334" x14ac:dyDescent="0.2">
      <c r="A49" s="1" t="s">
        <v>8080</v>
      </c>
      <c r="B49" s="1" t="s">
        <v>8072</v>
      </c>
      <c r="D49" s="1" t="s">
        <v>8081</v>
      </c>
      <c r="E49" s="1" t="s">
        <v>11</v>
      </c>
      <c r="F49" s="1" t="s">
        <v>8007</v>
      </c>
      <c r="H49" s="1" t="s">
        <v>8082</v>
      </c>
      <c r="J49" s="1" t="s">
        <v>8083</v>
      </c>
      <c r="K49" s="1">
        <v>2010</v>
      </c>
      <c r="L49" s="1" t="s">
        <v>8075</v>
      </c>
      <c r="M49" s="1" t="s">
        <v>6182</v>
      </c>
      <c r="N49" s="17" t="s">
        <v>7945</v>
      </c>
      <c r="O49" s="33"/>
      <c r="P49" s="33"/>
      <c r="Q49" s="33"/>
      <c r="R49" s="33"/>
      <c r="S49" s="33">
        <v>3.5</v>
      </c>
      <c r="T49" s="33"/>
      <c r="U49" s="33">
        <v>6.25</v>
      </c>
      <c r="V49" s="33"/>
      <c r="W49" s="33"/>
      <c r="X49" s="33"/>
      <c r="Y49" s="33"/>
      <c r="Z49" s="33">
        <v>21.422999999999998</v>
      </c>
      <c r="AA49" s="33"/>
      <c r="AB49" s="33"/>
      <c r="AC49" s="33">
        <v>6.6585000000000001</v>
      </c>
      <c r="AD49" s="33"/>
      <c r="AE49" s="33">
        <v>48.9255</v>
      </c>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v>11.676499999999999</v>
      </c>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v>4.3425000000000002</v>
      </c>
      <c r="CP49" s="33">
        <v>147.7415</v>
      </c>
      <c r="CQ49" s="33"/>
      <c r="CR49" s="33">
        <v>1.544</v>
      </c>
      <c r="CS49" s="33" t="s">
        <v>9352</v>
      </c>
      <c r="CT49" s="33"/>
      <c r="CU49" s="33">
        <v>19.203499999999998</v>
      </c>
      <c r="CV49" s="33">
        <v>100.45649999999999</v>
      </c>
      <c r="CW49" s="33">
        <v>4.8250000000000002</v>
      </c>
      <c r="CX49" s="33">
        <v>32.906500000000001</v>
      </c>
      <c r="CY49" s="33">
        <v>107.5975</v>
      </c>
      <c r="CZ49" s="33">
        <v>10.5185</v>
      </c>
      <c r="DA49" s="33">
        <v>8.9745000000000008</v>
      </c>
      <c r="DB49" s="33"/>
      <c r="DC49" s="33">
        <v>12.641499999999999</v>
      </c>
      <c r="DD49" s="33"/>
      <c r="DE49" s="33"/>
      <c r="DF49" s="33">
        <v>3.86</v>
      </c>
      <c r="DG49" s="33"/>
      <c r="DH49" s="33"/>
      <c r="DI49" s="33">
        <v>0.96499999999999997</v>
      </c>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c r="GL49" s="33"/>
      <c r="GM49" s="33"/>
      <c r="GN49" s="33"/>
      <c r="GO49" s="33"/>
      <c r="GP49" s="33"/>
      <c r="GQ49" s="33"/>
      <c r="GR49" s="33"/>
      <c r="GS49" s="33"/>
      <c r="GT49" s="33"/>
      <c r="GU49" s="33"/>
      <c r="GV49" s="33"/>
      <c r="GW49" s="33"/>
      <c r="GX49" s="33"/>
      <c r="GY49" s="33"/>
      <c r="GZ49" s="33"/>
      <c r="HA49" s="33"/>
      <c r="HB49" s="33"/>
      <c r="HC49" s="33"/>
      <c r="HD49" s="33"/>
      <c r="HE49" s="33"/>
      <c r="HF49" s="33"/>
      <c r="HG49" s="33"/>
      <c r="HH49" s="33"/>
      <c r="HI49" s="33"/>
      <c r="HJ49" s="33"/>
      <c r="HK49" s="33"/>
      <c r="HL49" s="33"/>
      <c r="HM49" s="33"/>
      <c r="HN49" s="33"/>
      <c r="HO49" s="33"/>
      <c r="HP49" s="33"/>
      <c r="HQ49" s="33"/>
      <c r="HR49" s="33"/>
      <c r="HS49" s="33"/>
      <c r="HT49" s="33"/>
      <c r="HU49" s="33"/>
      <c r="HV49" s="33"/>
      <c r="HW49" s="33"/>
      <c r="HX49" s="33"/>
      <c r="HY49" s="33"/>
      <c r="HZ49" s="33"/>
      <c r="IA49" s="33"/>
      <c r="IB49" s="33"/>
      <c r="IC49" s="33"/>
      <c r="ID49" s="33"/>
      <c r="IE49" s="33"/>
      <c r="IF49" s="33"/>
      <c r="IG49" s="33"/>
      <c r="IH49" s="33"/>
      <c r="II49" s="33"/>
      <c r="IJ49" s="33"/>
      <c r="IK49" s="33"/>
      <c r="IL49" s="33"/>
      <c r="IM49" s="33"/>
      <c r="IN49" s="33"/>
      <c r="IO49" s="33"/>
      <c r="IP49" s="33"/>
      <c r="IQ49" s="33"/>
      <c r="IR49" s="33"/>
      <c r="IS49" s="33"/>
      <c r="IT49" s="33"/>
      <c r="IU49" s="33"/>
      <c r="IV49" s="33"/>
      <c r="IW49" s="33"/>
      <c r="IX49" s="33"/>
      <c r="IY49" s="33"/>
      <c r="IZ49" s="33"/>
      <c r="JA49" s="33"/>
      <c r="JB49" s="33"/>
      <c r="JC49" s="33"/>
      <c r="JD49" s="33"/>
      <c r="JE49" s="33"/>
      <c r="JF49" s="33"/>
      <c r="JG49" s="33"/>
      <c r="JH49" s="33"/>
      <c r="JI49" s="33"/>
      <c r="JJ49" s="33"/>
      <c r="JK49" s="33"/>
      <c r="JL49" s="33"/>
      <c r="JM49" s="33"/>
      <c r="JN49" s="33"/>
      <c r="JO49" s="33"/>
      <c r="JP49" s="33"/>
      <c r="JQ49" s="33"/>
      <c r="JR49" s="33"/>
      <c r="JU49" s="42">
        <v>792.65100000000007</v>
      </c>
      <c r="JV49" s="42">
        <v>1392.4949999999999</v>
      </c>
      <c r="JX49" s="42">
        <v>2163.7229999999995</v>
      </c>
      <c r="JY49" s="42">
        <v>257.07599999999996</v>
      </c>
      <c r="KB49" s="42">
        <v>2999.22</v>
      </c>
      <c r="KC49" s="42">
        <v>771.22799999999995</v>
      </c>
      <c r="KD49" s="42">
        <v>642.68999999999994</v>
      </c>
      <c r="KE49" s="42">
        <v>856.92</v>
      </c>
      <c r="KF49" s="42">
        <v>1606.7249999999999</v>
      </c>
      <c r="KG49" s="42">
        <v>1242.5339999999999</v>
      </c>
      <c r="KH49" s="42">
        <v>299.92199999999997</v>
      </c>
      <c r="KJ49" s="42">
        <v>1242.5339999999999</v>
      </c>
      <c r="KK49" s="42">
        <v>664.11299999999994</v>
      </c>
      <c r="KL49" s="42">
        <v>728.38199999999983</v>
      </c>
      <c r="KN49" s="42">
        <v>664.11299999999994</v>
      </c>
      <c r="KP49" s="42">
        <v>728.38199999999983</v>
      </c>
      <c r="KQ49" s="42">
        <v>964.03499999999997</v>
      </c>
      <c r="KU49" s="42">
        <v>8954.8139999999985</v>
      </c>
      <c r="KV49" s="42">
        <v>9104.7749999999996</v>
      </c>
      <c r="KW49" s="42">
        <v>2613.6059999999998</v>
      </c>
      <c r="KX49" s="42">
        <v>556.99799999999993</v>
      </c>
      <c r="KY49" s="42">
        <v>18059.589</v>
      </c>
      <c r="KZ49" s="33"/>
      <c r="LA49" s="33"/>
      <c r="LB49" s="33"/>
      <c r="LC49" s="33"/>
      <c r="LD49" s="33"/>
      <c r="LE49" s="33"/>
      <c r="LF49" s="33"/>
      <c r="LG49" s="33"/>
      <c r="LH49" s="33"/>
      <c r="LI49" s="33"/>
      <c r="LJ49" s="33"/>
      <c r="LK49" s="33"/>
      <c r="LL49" s="33"/>
      <c r="LM49" s="33"/>
      <c r="LN49" s="33"/>
      <c r="LO49" s="33"/>
      <c r="LP49" s="44"/>
      <c r="LQ49" s="44"/>
      <c r="LR49" s="44"/>
      <c r="LS49" s="44"/>
      <c r="LT49" s="44"/>
      <c r="LU49" s="44"/>
      <c r="LV49" s="44"/>
    </row>
    <row r="50" spans="1:334" x14ac:dyDescent="0.2">
      <c r="A50" s="1" t="s">
        <v>8084</v>
      </c>
      <c r="B50" s="1" t="s">
        <v>8072</v>
      </c>
      <c r="D50" s="1" t="s">
        <v>8085</v>
      </c>
      <c r="E50" s="1" t="s">
        <v>11</v>
      </c>
      <c r="F50" s="1" t="s">
        <v>8007</v>
      </c>
      <c r="H50" s="1" t="s">
        <v>8086</v>
      </c>
      <c r="J50" s="1" t="s">
        <v>8087</v>
      </c>
      <c r="K50" s="1">
        <v>2010</v>
      </c>
      <c r="L50" s="1" t="s">
        <v>8075</v>
      </c>
      <c r="M50" s="1" t="s">
        <v>6182</v>
      </c>
      <c r="N50" s="17" t="s">
        <v>7945</v>
      </c>
      <c r="O50" s="33"/>
      <c r="P50" s="33"/>
      <c r="Q50" s="33"/>
      <c r="R50" s="33"/>
      <c r="S50" s="33">
        <v>3</v>
      </c>
      <c r="T50" s="33"/>
      <c r="U50" s="33">
        <v>6.25</v>
      </c>
      <c r="V50" s="33"/>
      <c r="W50" s="33"/>
      <c r="X50" s="33"/>
      <c r="Y50" s="33"/>
      <c r="Z50" s="33">
        <v>18.721</v>
      </c>
      <c r="AA50" s="33"/>
      <c r="AB50" s="33"/>
      <c r="AC50" s="33">
        <v>6.79</v>
      </c>
      <c r="AD50" s="33"/>
      <c r="AE50" s="33">
        <v>51.797999999999995</v>
      </c>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v>12.901</v>
      </c>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v>3.88</v>
      </c>
      <c r="CP50" s="33">
        <v>116.10899999999999</v>
      </c>
      <c r="CQ50" s="33"/>
      <c r="CR50" s="33">
        <v>0.97</v>
      </c>
      <c r="CS50" s="33" t="s">
        <v>1579</v>
      </c>
      <c r="CT50" s="33"/>
      <c r="CU50" s="33">
        <v>23.765000000000001</v>
      </c>
      <c r="CV50" s="33">
        <v>441.73799999999994</v>
      </c>
      <c r="CW50" s="33">
        <v>3.492</v>
      </c>
      <c r="CX50" s="33">
        <v>28.517999999999997</v>
      </c>
      <c r="CY50" s="33">
        <v>101.46199999999999</v>
      </c>
      <c r="CZ50" s="33">
        <v>9.2149999999999999</v>
      </c>
      <c r="DA50" s="33">
        <v>5.4319999999999995</v>
      </c>
      <c r="DB50" s="33"/>
      <c r="DC50" s="33">
        <v>7.6630000000000003</v>
      </c>
      <c r="DD50" s="33"/>
      <c r="DE50" s="33"/>
      <c r="DF50" s="33">
        <v>3.589</v>
      </c>
      <c r="DG50" s="33"/>
      <c r="DH50" s="33"/>
      <c r="DI50" s="33">
        <v>3.298</v>
      </c>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3"/>
      <c r="FT50" s="33"/>
      <c r="FU50" s="33"/>
      <c r="FV50" s="33"/>
      <c r="FW50" s="33"/>
      <c r="FX50" s="33"/>
      <c r="FY50" s="33"/>
      <c r="FZ50" s="33"/>
      <c r="GA50" s="33"/>
      <c r="GB50" s="33"/>
      <c r="GC50" s="33"/>
      <c r="GD50" s="33"/>
      <c r="GE50" s="33"/>
      <c r="GF50" s="33"/>
      <c r="GG50" s="33"/>
      <c r="GH50" s="33"/>
      <c r="GI50" s="33"/>
      <c r="GJ50" s="33"/>
      <c r="GK50" s="33"/>
      <c r="GL50" s="33"/>
      <c r="GM50" s="33"/>
      <c r="GN50" s="33"/>
      <c r="GO50" s="33"/>
      <c r="GP50" s="33"/>
      <c r="GQ50" s="33"/>
      <c r="GR50" s="33"/>
      <c r="GS50" s="33"/>
      <c r="GT50" s="33"/>
      <c r="GU50" s="33"/>
      <c r="GV50" s="33"/>
      <c r="GW50" s="33"/>
      <c r="GX50" s="33"/>
      <c r="GY50" s="33"/>
      <c r="GZ50" s="33"/>
      <c r="HA50" s="33"/>
      <c r="HB50" s="33"/>
      <c r="HC50" s="33"/>
      <c r="HD50" s="33"/>
      <c r="HE50" s="33"/>
      <c r="HF50" s="33"/>
      <c r="HG50" s="33"/>
      <c r="HH50" s="33"/>
      <c r="HI50" s="33"/>
      <c r="HJ50" s="33"/>
      <c r="HK50" s="33"/>
      <c r="HL50" s="33"/>
      <c r="HM50" s="33"/>
      <c r="HN50" s="33"/>
      <c r="HO50" s="33"/>
      <c r="HP50" s="33"/>
      <c r="HQ50" s="33"/>
      <c r="HR50" s="33"/>
      <c r="HS50" s="33"/>
      <c r="HT50" s="33"/>
      <c r="HU50" s="33"/>
      <c r="HV50" s="33"/>
      <c r="HW50" s="33"/>
      <c r="HX50" s="33"/>
      <c r="HY50" s="33"/>
      <c r="HZ50" s="33"/>
      <c r="IA50" s="33"/>
      <c r="IB50" s="33"/>
      <c r="IC50" s="33"/>
      <c r="ID50" s="33"/>
      <c r="IE50" s="33"/>
      <c r="IF50" s="33"/>
      <c r="IG50" s="33"/>
      <c r="IH50" s="33"/>
      <c r="II50" s="33"/>
      <c r="IJ50" s="33"/>
      <c r="IK50" s="33"/>
      <c r="IL50" s="33"/>
      <c r="IM50" s="33"/>
      <c r="IN50" s="33"/>
      <c r="IO50" s="33"/>
      <c r="IP50" s="33"/>
      <c r="IQ50" s="33"/>
      <c r="IR50" s="33"/>
      <c r="IS50" s="33"/>
      <c r="IT50" s="33"/>
      <c r="IU50" s="33"/>
      <c r="IV50" s="33"/>
      <c r="IW50" s="33"/>
      <c r="IX50" s="33"/>
      <c r="IY50" s="33"/>
      <c r="IZ50" s="33"/>
      <c r="JA50" s="33"/>
      <c r="JB50" s="33"/>
      <c r="JC50" s="33"/>
      <c r="JD50" s="33"/>
      <c r="JE50" s="33"/>
      <c r="JF50" s="33"/>
      <c r="JG50" s="33"/>
      <c r="JH50" s="33"/>
      <c r="JI50" s="33"/>
      <c r="JJ50" s="33"/>
      <c r="JK50" s="33"/>
      <c r="JL50" s="33"/>
      <c r="JM50" s="33"/>
      <c r="JN50" s="33"/>
      <c r="JO50" s="33"/>
      <c r="JP50" s="33"/>
      <c r="JQ50" s="33"/>
      <c r="JR50" s="33"/>
      <c r="JU50" s="42">
        <v>655.23500000000001</v>
      </c>
      <c r="JV50" s="42">
        <v>1123.26</v>
      </c>
      <c r="JX50" s="42">
        <v>1703.6109999999999</v>
      </c>
      <c r="JY50" s="42">
        <v>243.37300000000002</v>
      </c>
      <c r="KB50" s="42">
        <v>2377.567</v>
      </c>
      <c r="KC50" s="42">
        <v>561.63</v>
      </c>
      <c r="KD50" s="42">
        <v>542.90899999999999</v>
      </c>
      <c r="KE50" s="42">
        <v>711.39799999999991</v>
      </c>
      <c r="KF50" s="42">
        <v>1273.0279999999998</v>
      </c>
      <c r="KG50" s="42">
        <v>1029.655</v>
      </c>
      <c r="KH50" s="42">
        <v>224.65199999999999</v>
      </c>
      <c r="KJ50" s="42">
        <v>861.16599999999994</v>
      </c>
      <c r="KK50" s="42">
        <v>580.351</v>
      </c>
      <c r="KL50" s="42">
        <v>599.072</v>
      </c>
      <c r="KN50" s="42">
        <v>617.79300000000001</v>
      </c>
      <c r="KP50" s="42">
        <v>599.072</v>
      </c>
      <c r="KQ50" s="42">
        <v>617.79300000000001</v>
      </c>
      <c r="KU50" s="42">
        <v>7113.9800000000005</v>
      </c>
      <c r="KV50" s="42">
        <v>7319.911000000001</v>
      </c>
      <c r="KW50" s="42">
        <v>2003.1469999999999</v>
      </c>
      <c r="KX50" s="42">
        <v>411.86200000000008</v>
      </c>
      <c r="KY50" s="42">
        <v>14433.891</v>
      </c>
      <c r="KZ50" s="33"/>
      <c r="LA50" s="33"/>
      <c r="LB50" s="33"/>
      <c r="LC50" s="33"/>
      <c r="LD50" s="33"/>
      <c r="LE50" s="33"/>
      <c r="LF50" s="33"/>
      <c r="LG50" s="33"/>
      <c r="LH50" s="33"/>
      <c r="LI50" s="33"/>
      <c r="LJ50" s="33"/>
      <c r="LK50" s="33"/>
      <c r="LL50" s="33"/>
      <c r="LM50" s="33"/>
      <c r="LN50" s="33"/>
      <c r="LO50" s="33"/>
      <c r="LP50" s="44"/>
      <c r="LQ50" s="44"/>
      <c r="LR50" s="44"/>
      <c r="LS50" s="44"/>
      <c r="LT50" s="44"/>
      <c r="LU50" s="44"/>
      <c r="LV50" s="44"/>
    </row>
    <row r="51" spans="1:334" x14ac:dyDescent="0.2">
      <c r="A51" s="1" t="s">
        <v>8088</v>
      </c>
      <c r="B51" s="1" t="s">
        <v>8072</v>
      </c>
      <c r="D51" s="1" t="s">
        <v>8089</v>
      </c>
      <c r="E51" s="1" t="s">
        <v>11</v>
      </c>
      <c r="F51" s="1" t="s">
        <v>8007</v>
      </c>
      <c r="H51" s="1" t="s">
        <v>8090</v>
      </c>
      <c r="J51" s="1" t="s">
        <v>8091</v>
      </c>
      <c r="K51" s="1">
        <v>2010</v>
      </c>
      <c r="L51" s="1" t="s">
        <v>8075</v>
      </c>
      <c r="M51" s="1" t="s">
        <v>6182</v>
      </c>
      <c r="N51" s="17" t="s">
        <v>7945</v>
      </c>
      <c r="O51" s="33"/>
      <c r="P51" s="33"/>
      <c r="Q51" s="33"/>
      <c r="R51" s="33"/>
      <c r="S51" s="33">
        <v>3.6</v>
      </c>
      <c r="T51" s="33"/>
      <c r="U51" s="33">
        <v>6.25</v>
      </c>
      <c r="V51" s="33"/>
      <c r="W51" s="33"/>
      <c r="X51" s="33"/>
      <c r="Y51" s="33"/>
      <c r="Z51" s="33">
        <v>17.834000000000003</v>
      </c>
      <c r="AA51" s="33"/>
      <c r="AB51" s="33"/>
      <c r="AC51" s="33">
        <v>6.3624000000000001</v>
      </c>
      <c r="AD51" s="33"/>
      <c r="AE51" s="33">
        <v>50.320800000000006</v>
      </c>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v>15.1348</v>
      </c>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v>3.2776000000000001</v>
      </c>
      <c r="CP51" s="33">
        <v>119.6324</v>
      </c>
      <c r="CQ51" s="33"/>
      <c r="CR51" s="33">
        <v>1.4460000000000002</v>
      </c>
      <c r="CS51" s="33" t="s">
        <v>9353</v>
      </c>
      <c r="CT51" s="33"/>
      <c r="CU51" s="33">
        <v>27.281200000000002</v>
      </c>
      <c r="CV51" s="33">
        <v>148.84160000000003</v>
      </c>
      <c r="CW51" s="33">
        <v>9.1580000000000013</v>
      </c>
      <c r="CX51" s="33">
        <v>27.8596</v>
      </c>
      <c r="CY51" s="33">
        <v>104.78680000000001</v>
      </c>
      <c r="CZ51" s="33">
        <v>6.1696000000000009</v>
      </c>
      <c r="DA51" s="33">
        <v>12.917600000000002</v>
      </c>
      <c r="DB51" s="33"/>
      <c r="DC51" s="33">
        <v>11.182400000000001</v>
      </c>
      <c r="DD51" s="33"/>
      <c r="DE51" s="33"/>
      <c r="DF51" s="33">
        <v>10.218400000000001</v>
      </c>
      <c r="DG51" s="33"/>
      <c r="DH51" s="33"/>
      <c r="DI51" s="33">
        <v>7.23</v>
      </c>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c r="FP51" s="33"/>
      <c r="FQ51" s="33"/>
      <c r="FR51" s="33"/>
      <c r="FS51" s="33"/>
      <c r="FT51" s="33"/>
      <c r="FU51" s="33"/>
      <c r="FV51" s="33"/>
      <c r="FW51" s="33"/>
      <c r="FX51" s="33"/>
      <c r="FY51" s="33"/>
      <c r="FZ51" s="33"/>
      <c r="GA51" s="33"/>
      <c r="GB51" s="33"/>
      <c r="GC51" s="33"/>
      <c r="GD51" s="33"/>
      <c r="GE51" s="33"/>
      <c r="GF51" s="33"/>
      <c r="GG51" s="33"/>
      <c r="GH51" s="33"/>
      <c r="GI51" s="33"/>
      <c r="GJ51" s="33"/>
      <c r="GK51" s="33"/>
      <c r="GL51" s="33"/>
      <c r="GM51" s="33"/>
      <c r="GN51" s="33"/>
      <c r="GO51" s="33"/>
      <c r="GP51" s="33"/>
      <c r="GQ51" s="33"/>
      <c r="GR51" s="33"/>
      <c r="GS51" s="33"/>
      <c r="GT51" s="33"/>
      <c r="GU51" s="33"/>
      <c r="GV51" s="33"/>
      <c r="GW51" s="33"/>
      <c r="GX51" s="33"/>
      <c r="GY51" s="33"/>
      <c r="GZ51" s="33"/>
      <c r="HA51" s="33"/>
      <c r="HB51" s="33"/>
      <c r="HC51" s="33"/>
      <c r="HD51" s="33"/>
      <c r="HE51" s="33"/>
      <c r="HF51" s="33"/>
      <c r="HG51" s="33"/>
      <c r="HH51" s="33"/>
      <c r="HI51" s="33"/>
      <c r="HJ51" s="33"/>
      <c r="HK51" s="33"/>
      <c r="HL51" s="33"/>
      <c r="HM51" s="33"/>
      <c r="HN51" s="33"/>
      <c r="HO51" s="33"/>
      <c r="HP51" s="33"/>
      <c r="HQ51" s="33"/>
      <c r="HR51" s="33"/>
      <c r="HS51" s="33"/>
      <c r="HT51" s="33"/>
      <c r="HU51" s="33"/>
      <c r="HV51" s="33"/>
      <c r="HW51" s="33"/>
      <c r="HX51" s="33"/>
      <c r="HY51" s="33"/>
      <c r="HZ51" s="33"/>
      <c r="IA51" s="33"/>
      <c r="IB51" s="33"/>
      <c r="IC51" s="33"/>
      <c r="ID51" s="33"/>
      <c r="IE51" s="33"/>
      <c r="IF51" s="33"/>
      <c r="IG51" s="33"/>
      <c r="IH51" s="33"/>
      <c r="II51" s="33"/>
      <c r="IJ51" s="33"/>
      <c r="IK51" s="33"/>
      <c r="IL51" s="33"/>
      <c r="IM51" s="33"/>
      <c r="IN51" s="33"/>
      <c r="IO51" s="33"/>
      <c r="IP51" s="33"/>
      <c r="IQ51" s="33"/>
      <c r="IR51" s="33"/>
      <c r="IS51" s="33"/>
      <c r="IT51" s="33"/>
      <c r="IU51" s="33"/>
      <c r="IV51" s="33"/>
      <c r="IW51" s="33"/>
      <c r="IX51" s="33"/>
      <c r="IY51" s="33"/>
      <c r="IZ51" s="33"/>
      <c r="JA51" s="33"/>
      <c r="JB51" s="33"/>
      <c r="JC51" s="33"/>
      <c r="JD51" s="33"/>
      <c r="JE51" s="33"/>
      <c r="JF51" s="33"/>
      <c r="JG51" s="33"/>
      <c r="JH51" s="33"/>
      <c r="JI51" s="33"/>
      <c r="JJ51" s="33"/>
      <c r="JK51" s="33"/>
      <c r="JL51" s="33"/>
      <c r="JM51" s="33"/>
      <c r="JN51" s="33"/>
      <c r="JO51" s="33"/>
      <c r="JP51" s="33"/>
      <c r="JQ51" s="33"/>
      <c r="JR51" s="33"/>
      <c r="JU51" s="42">
        <v>570.6880000000001</v>
      </c>
      <c r="JV51" s="42">
        <v>909.53400000000011</v>
      </c>
      <c r="JX51" s="42">
        <v>1444.5540000000003</v>
      </c>
      <c r="JY51" s="42">
        <v>160.50600000000003</v>
      </c>
      <c r="KB51" s="42">
        <v>2514.5940000000005</v>
      </c>
      <c r="KC51" s="42">
        <v>624.19000000000005</v>
      </c>
      <c r="KD51" s="42">
        <v>552.85400000000004</v>
      </c>
      <c r="KE51" s="42">
        <v>606.35600000000011</v>
      </c>
      <c r="KF51" s="42">
        <v>1319.7160000000003</v>
      </c>
      <c r="KG51" s="42">
        <v>909.53400000000011</v>
      </c>
      <c r="KH51" s="42">
        <v>231.84200000000004</v>
      </c>
      <c r="KJ51" s="42">
        <v>695.52600000000007</v>
      </c>
      <c r="KK51" s="42">
        <v>517.18600000000015</v>
      </c>
      <c r="KL51" s="42">
        <v>517.18600000000015</v>
      </c>
      <c r="KN51" s="42">
        <v>535.0200000000001</v>
      </c>
      <c r="KP51" s="42">
        <v>517.18600000000015</v>
      </c>
      <c r="KQ51" s="42">
        <v>552.85400000000004</v>
      </c>
      <c r="KU51" s="42">
        <v>6313.2360000000008</v>
      </c>
      <c r="KV51" s="42">
        <v>6866.090000000002</v>
      </c>
      <c r="KW51" s="42">
        <v>1765.5660000000003</v>
      </c>
      <c r="KX51" s="42">
        <v>392.34800000000007</v>
      </c>
      <c r="KY51" s="42">
        <v>13179.326000000003</v>
      </c>
      <c r="KZ51" s="33"/>
      <c r="LA51" s="33"/>
      <c r="LB51" s="33"/>
      <c r="LC51" s="33"/>
      <c r="LD51" s="33"/>
      <c r="LE51" s="33"/>
      <c r="LF51" s="33"/>
      <c r="LG51" s="33"/>
      <c r="LH51" s="33"/>
      <c r="LI51" s="33"/>
      <c r="LJ51" s="33"/>
      <c r="LK51" s="33"/>
      <c r="LL51" s="33"/>
      <c r="LM51" s="33"/>
      <c r="LN51" s="33"/>
      <c r="LO51" s="33"/>
      <c r="LP51" s="44"/>
      <c r="LQ51" s="44"/>
      <c r="LR51" s="44"/>
      <c r="LS51" s="44"/>
      <c r="LT51" s="44"/>
      <c r="LU51" s="44"/>
      <c r="LV51" s="44"/>
    </row>
    <row r="52" spans="1:334" x14ac:dyDescent="0.2">
      <c r="A52" s="1" t="s">
        <v>8092</v>
      </c>
      <c r="D52" s="1" t="s">
        <v>8093</v>
      </c>
      <c r="E52" s="1" t="s">
        <v>7</v>
      </c>
      <c r="F52" s="1" t="s">
        <v>8094</v>
      </c>
      <c r="I52" s="1">
        <v>1</v>
      </c>
      <c r="J52" s="1" t="s">
        <v>8095</v>
      </c>
      <c r="K52" s="1">
        <v>2012</v>
      </c>
      <c r="L52" s="1" t="s">
        <v>8096</v>
      </c>
      <c r="M52" s="1" t="s">
        <v>7657</v>
      </c>
      <c r="N52" s="17" t="s">
        <v>7945</v>
      </c>
      <c r="O52" s="33"/>
      <c r="P52" s="33"/>
      <c r="Q52" s="33"/>
      <c r="R52" s="33"/>
      <c r="S52" s="33">
        <v>11.41</v>
      </c>
      <c r="T52" s="33"/>
      <c r="U52" s="33"/>
      <c r="V52" s="33"/>
      <c r="W52" s="33"/>
      <c r="X52" s="33"/>
      <c r="Y52" s="33"/>
      <c r="Z52" s="33"/>
      <c r="AA52" s="33">
        <v>26.75</v>
      </c>
      <c r="AB52" s="33"/>
      <c r="AC52" s="33"/>
      <c r="AD52" s="33">
        <v>1.44</v>
      </c>
      <c r="AE52" s="33">
        <v>51.53</v>
      </c>
      <c r="AF52" s="33"/>
      <c r="AG52" s="33"/>
      <c r="AH52" s="33"/>
      <c r="AI52" s="33"/>
      <c r="AJ52" s="33"/>
      <c r="AK52" s="33"/>
      <c r="AL52" s="33"/>
      <c r="AM52" s="33"/>
      <c r="AN52" s="33"/>
      <c r="AO52" s="33"/>
      <c r="AP52" s="33"/>
      <c r="AQ52" s="33"/>
      <c r="AR52" s="33"/>
      <c r="AS52" s="33"/>
      <c r="AT52" s="33"/>
      <c r="AU52" s="33"/>
      <c r="AV52" s="33"/>
      <c r="AW52" s="33"/>
      <c r="AX52" s="33"/>
      <c r="AY52" s="33"/>
      <c r="AZ52" s="33"/>
      <c r="BA52" s="33"/>
      <c r="BB52" s="33">
        <v>39.9</v>
      </c>
      <c r="BC52" s="33"/>
      <c r="BD52" s="33"/>
      <c r="BE52" s="33">
        <v>5.56</v>
      </c>
      <c r="BF52" s="33"/>
      <c r="BG52" s="33">
        <v>36.76</v>
      </c>
      <c r="BH52" s="33">
        <v>3.13</v>
      </c>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v>3.29</v>
      </c>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v>52</v>
      </c>
      <c r="FJ52" s="33"/>
      <c r="FK52" s="33"/>
      <c r="FL52" s="33"/>
      <c r="FM52" s="33"/>
      <c r="FN52" s="33"/>
      <c r="FO52" s="33"/>
      <c r="FP52" s="33"/>
      <c r="FQ52" s="33"/>
      <c r="FR52" s="33"/>
      <c r="FS52" s="33"/>
      <c r="FT52" s="33"/>
      <c r="FU52" s="33"/>
      <c r="FV52" s="33"/>
      <c r="FW52" s="33"/>
      <c r="FX52" s="33"/>
      <c r="FY52" s="33"/>
      <c r="FZ52" s="33"/>
      <c r="GA52" s="33"/>
      <c r="GB52" s="33"/>
      <c r="GC52" s="33"/>
      <c r="GD52" s="33"/>
      <c r="GE52" s="33"/>
      <c r="GF52" s="33"/>
      <c r="GG52" s="33"/>
      <c r="GH52" s="33"/>
      <c r="GI52" s="33"/>
      <c r="GJ52" s="33"/>
      <c r="GK52" s="33"/>
      <c r="GL52" s="33"/>
      <c r="GM52" s="33"/>
      <c r="GN52" s="33"/>
      <c r="GO52" s="33"/>
      <c r="GP52" s="33"/>
      <c r="GQ52" s="33"/>
      <c r="GR52" s="33"/>
      <c r="GS52" s="33"/>
      <c r="GT52" s="33"/>
      <c r="GU52" s="33"/>
      <c r="GV52" s="33"/>
      <c r="GW52" s="33"/>
      <c r="GX52" s="33"/>
      <c r="GY52" s="33"/>
      <c r="GZ52" s="33"/>
      <c r="HA52" s="33"/>
      <c r="HB52" s="33"/>
      <c r="HC52" s="33"/>
      <c r="HD52" s="33"/>
      <c r="HE52" s="33"/>
      <c r="HF52" s="33"/>
      <c r="HG52" s="33"/>
      <c r="HH52" s="33"/>
      <c r="HI52" s="33"/>
      <c r="HJ52" s="33"/>
      <c r="HK52" s="33"/>
      <c r="HL52" s="33"/>
      <c r="HM52" s="33"/>
      <c r="HN52" s="33"/>
      <c r="HO52" s="33"/>
      <c r="HP52" s="33"/>
      <c r="HQ52" s="33"/>
      <c r="HR52" s="33"/>
      <c r="HS52" s="33"/>
      <c r="HT52" s="33"/>
      <c r="HU52" s="33"/>
      <c r="HV52" s="33"/>
      <c r="HW52" s="33"/>
      <c r="HX52" s="33"/>
      <c r="HY52" s="33"/>
      <c r="HZ52" s="33"/>
      <c r="IA52" s="33"/>
      <c r="IB52" s="33"/>
      <c r="IC52" s="33"/>
      <c r="ID52" s="33"/>
      <c r="IE52" s="33"/>
      <c r="IF52" s="33"/>
      <c r="IG52" s="33"/>
      <c r="IH52" s="33"/>
      <c r="II52" s="33"/>
      <c r="IJ52" s="33"/>
      <c r="IK52" s="33"/>
      <c r="IL52" s="33"/>
      <c r="IM52" s="33"/>
      <c r="IN52" s="33"/>
      <c r="IO52" s="33"/>
      <c r="IP52" s="33"/>
      <c r="IQ52" s="33"/>
      <c r="IR52" s="33"/>
      <c r="IS52" s="33"/>
      <c r="IT52" s="33"/>
      <c r="IU52" s="33"/>
      <c r="IV52" s="33"/>
      <c r="IW52" s="33"/>
      <c r="IX52" s="33"/>
      <c r="IY52" s="33"/>
      <c r="IZ52" s="33"/>
      <c r="JA52" s="33"/>
      <c r="JB52" s="33"/>
      <c r="JC52" s="33"/>
      <c r="JD52" s="33"/>
      <c r="JE52" s="33"/>
      <c r="JF52" s="33"/>
      <c r="JG52" s="33"/>
      <c r="JH52" s="33"/>
      <c r="JI52" s="33"/>
      <c r="JJ52" s="33"/>
      <c r="JK52" s="33"/>
      <c r="JL52" s="33"/>
      <c r="JM52" s="33"/>
      <c r="JN52" s="33"/>
      <c r="JO52" s="33"/>
      <c r="JP52" s="33"/>
      <c r="JQ52" s="33"/>
      <c r="JR52" s="33"/>
      <c r="KZ52" s="33"/>
      <c r="LA52" s="33"/>
      <c r="LB52" s="33"/>
      <c r="LC52" s="33"/>
      <c r="LD52" s="33"/>
      <c r="LE52" s="33"/>
      <c r="LF52" s="33"/>
      <c r="LG52" s="33"/>
      <c r="LH52" s="33"/>
      <c r="LI52" s="33"/>
      <c r="LJ52" s="33"/>
      <c r="LK52" s="33"/>
      <c r="LL52" s="33"/>
      <c r="LM52" s="33"/>
      <c r="LN52" s="33"/>
      <c r="LO52" s="33"/>
      <c r="LP52" s="44"/>
      <c r="LQ52" s="44"/>
      <c r="LR52" s="44"/>
      <c r="LS52" s="44"/>
      <c r="LT52" s="44"/>
      <c r="LU52" s="44"/>
      <c r="LV52" s="44"/>
    </row>
    <row r="53" spans="1:334" x14ac:dyDescent="0.2">
      <c r="A53" s="1" t="s">
        <v>8097</v>
      </c>
      <c r="D53" s="1" t="s">
        <v>8098</v>
      </c>
      <c r="E53" s="1" t="s">
        <v>8099</v>
      </c>
      <c r="F53" s="1" t="s">
        <v>8094</v>
      </c>
      <c r="I53" s="1">
        <v>1</v>
      </c>
      <c r="J53" s="1" t="s">
        <v>8095</v>
      </c>
      <c r="K53" s="1">
        <v>2012</v>
      </c>
      <c r="L53" s="1" t="s">
        <v>8096</v>
      </c>
      <c r="M53" s="1" t="s">
        <v>7657</v>
      </c>
      <c r="N53" s="17" t="s">
        <v>7945</v>
      </c>
      <c r="O53" s="33"/>
      <c r="P53" s="33"/>
      <c r="Q53" s="33"/>
      <c r="R53" s="33"/>
      <c r="S53" s="33">
        <v>11.41</v>
      </c>
      <c r="T53" s="33"/>
      <c r="U53" s="33"/>
      <c r="V53" s="33"/>
      <c r="W53" s="33"/>
      <c r="X53" s="33"/>
      <c r="Y53" s="33"/>
      <c r="Z53" s="33"/>
      <c r="AA53" s="33">
        <v>24.33</v>
      </c>
      <c r="AB53" s="33"/>
      <c r="AC53" s="33"/>
      <c r="AD53" s="33">
        <v>1.79</v>
      </c>
      <c r="AE53" s="33">
        <v>58.01</v>
      </c>
      <c r="AF53" s="33"/>
      <c r="AG53" s="33"/>
      <c r="AH53" s="33"/>
      <c r="AI53" s="33"/>
      <c r="AJ53" s="33"/>
      <c r="AK53" s="33"/>
      <c r="AL53" s="33"/>
      <c r="AM53" s="33"/>
      <c r="AN53" s="33"/>
      <c r="AO53" s="33"/>
      <c r="AP53" s="33"/>
      <c r="AQ53" s="33"/>
      <c r="AR53" s="33"/>
      <c r="AS53" s="33"/>
      <c r="AT53" s="33"/>
      <c r="AU53" s="33"/>
      <c r="AV53" s="33"/>
      <c r="AW53" s="33"/>
      <c r="AX53" s="33"/>
      <c r="AY53" s="33"/>
      <c r="AZ53" s="33"/>
      <c r="BA53" s="33"/>
      <c r="BB53" s="33">
        <v>24.42</v>
      </c>
      <c r="BC53" s="33"/>
      <c r="BD53" s="33"/>
      <c r="BE53" s="33">
        <v>1.2</v>
      </c>
      <c r="BF53" s="33"/>
      <c r="BG53" s="33">
        <v>21.8</v>
      </c>
      <c r="BH53" s="33">
        <v>2.62</v>
      </c>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v>3.24</v>
      </c>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v>42</v>
      </c>
      <c r="FJ53" s="33"/>
      <c r="FK53" s="33"/>
      <c r="FL53" s="33"/>
      <c r="FM53" s="33"/>
      <c r="FN53" s="33"/>
      <c r="FO53" s="33"/>
      <c r="FP53" s="33"/>
      <c r="FQ53" s="33"/>
      <c r="FR53" s="33"/>
      <c r="FS53" s="33"/>
      <c r="FT53" s="33"/>
      <c r="FU53" s="33"/>
      <c r="FV53" s="33"/>
      <c r="FW53" s="33"/>
      <c r="FX53" s="33"/>
      <c r="FY53" s="33"/>
      <c r="FZ53" s="33"/>
      <c r="GA53" s="33"/>
      <c r="GB53" s="33"/>
      <c r="GC53" s="33"/>
      <c r="GD53" s="33"/>
      <c r="GE53" s="33"/>
      <c r="GF53" s="33"/>
      <c r="GG53" s="33"/>
      <c r="GH53" s="33"/>
      <c r="GI53" s="33"/>
      <c r="GJ53" s="33"/>
      <c r="GK53" s="33"/>
      <c r="GL53" s="33"/>
      <c r="GM53" s="33"/>
      <c r="GN53" s="33"/>
      <c r="GO53" s="33"/>
      <c r="GP53" s="33"/>
      <c r="GQ53" s="33"/>
      <c r="GR53" s="33"/>
      <c r="GS53" s="33"/>
      <c r="GT53" s="33"/>
      <c r="GU53" s="33"/>
      <c r="GV53" s="33"/>
      <c r="GW53" s="33"/>
      <c r="GX53" s="33"/>
      <c r="GY53" s="33"/>
      <c r="GZ53" s="33"/>
      <c r="HA53" s="33"/>
      <c r="HB53" s="33"/>
      <c r="HC53" s="33"/>
      <c r="HD53" s="33"/>
      <c r="HE53" s="33"/>
      <c r="HF53" s="33"/>
      <c r="HG53" s="33"/>
      <c r="HH53" s="33"/>
      <c r="HI53" s="33"/>
      <c r="HJ53" s="33"/>
      <c r="HK53" s="33"/>
      <c r="HL53" s="33"/>
      <c r="HM53" s="33"/>
      <c r="HN53" s="33"/>
      <c r="HO53" s="33"/>
      <c r="HP53" s="33"/>
      <c r="HQ53" s="33"/>
      <c r="HR53" s="33"/>
      <c r="HS53" s="33"/>
      <c r="HT53" s="33"/>
      <c r="HU53" s="33"/>
      <c r="HV53" s="33"/>
      <c r="HW53" s="33"/>
      <c r="HX53" s="33"/>
      <c r="HY53" s="33"/>
      <c r="HZ53" s="33"/>
      <c r="IA53" s="33"/>
      <c r="IB53" s="33"/>
      <c r="IC53" s="33"/>
      <c r="ID53" s="33"/>
      <c r="IE53" s="33"/>
      <c r="IF53" s="33"/>
      <c r="IG53" s="33"/>
      <c r="IH53" s="33"/>
      <c r="II53" s="33"/>
      <c r="IJ53" s="33"/>
      <c r="IK53" s="33"/>
      <c r="IL53" s="33"/>
      <c r="IM53" s="33"/>
      <c r="IN53" s="33"/>
      <c r="IO53" s="33"/>
      <c r="IP53" s="33"/>
      <c r="IQ53" s="33"/>
      <c r="IR53" s="33"/>
      <c r="IS53" s="33"/>
      <c r="IT53" s="33"/>
      <c r="IU53" s="33"/>
      <c r="IV53" s="33"/>
      <c r="IW53" s="33"/>
      <c r="IX53" s="33"/>
      <c r="IY53" s="33"/>
      <c r="IZ53" s="33"/>
      <c r="JA53" s="33"/>
      <c r="JB53" s="33"/>
      <c r="JC53" s="33"/>
      <c r="JD53" s="33"/>
      <c r="JE53" s="33"/>
      <c r="JF53" s="33"/>
      <c r="JG53" s="33"/>
      <c r="JH53" s="33"/>
      <c r="JI53" s="33"/>
      <c r="JJ53" s="33"/>
      <c r="JK53" s="33"/>
      <c r="JL53" s="33"/>
      <c r="JM53" s="33"/>
      <c r="JN53" s="33"/>
      <c r="JO53" s="33"/>
      <c r="JP53" s="33"/>
      <c r="JQ53" s="33"/>
      <c r="JR53" s="33"/>
      <c r="KZ53" s="33"/>
      <c r="LA53" s="33"/>
      <c r="LB53" s="33"/>
      <c r="LC53" s="33"/>
      <c r="LD53" s="33"/>
      <c r="LE53" s="33"/>
      <c r="LF53" s="33"/>
      <c r="LG53" s="33"/>
      <c r="LH53" s="33"/>
      <c r="LI53" s="33"/>
      <c r="LJ53" s="33"/>
      <c r="LK53" s="33"/>
      <c r="LL53" s="33"/>
      <c r="LM53" s="33"/>
      <c r="LN53" s="33"/>
      <c r="LO53" s="33"/>
      <c r="LP53" s="44"/>
      <c r="LQ53" s="44"/>
      <c r="LR53" s="44"/>
      <c r="LS53" s="44"/>
      <c r="LT53" s="44"/>
      <c r="LU53" s="44"/>
      <c r="LV53" s="44"/>
    </row>
    <row r="54" spans="1:334" x14ac:dyDescent="0.2">
      <c r="A54" s="1" t="s">
        <v>8100</v>
      </c>
      <c r="D54" s="1" t="s">
        <v>8101</v>
      </c>
      <c r="E54" s="1" t="s">
        <v>8099</v>
      </c>
      <c r="F54" s="1" t="s">
        <v>8094</v>
      </c>
      <c r="I54" s="1">
        <v>1</v>
      </c>
      <c r="J54" s="1" t="s">
        <v>8095</v>
      </c>
      <c r="K54" s="1">
        <v>2012</v>
      </c>
      <c r="L54" s="1" t="s">
        <v>8096</v>
      </c>
      <c r="M54" s="1" t="s">
        <v>7657</v>
      </c>
      <c r="N54" s="17" t="s">
        <v>7945</v>
      </c>
      <c r="O54" s="33"/>
      <c r="P54" s="33"/>
      <c r="Q54" s="33"/>
      <c r="R54" s="33"/>
      <c r="S54" s="33">
        <v>11.4</v>
      </c>
      <c r="T54" s="33"/>
      <c r="U54" s="33"/>
      <c r="V54" s="33"/>
      <c r="W54" s="33"/>
      <c r="X54" s="33"/>
      <c r="Y54" s="33"/>
      <c r="Z54" s="33"/>
      <c r="AA54" s="33">
        <v>42.16</v>
      </c>
      <c r="AB54" s="33"/>
      <c r="AC54" s="33"/>
      <c r="AD54" s="33">
        <v>3.42</v>
      </c>
      <c r="AE54" s="33">
        <v>18.21</v>
      </c>
      <c r="AF54" s="33"/>
      <c r="AG54" s="33"/>
      <c r="AH54" s="33"/>
      <c r="AI54" s="33"/>
      <c r="AJ54" s="33"/>
      <c r="AK54" s="33"/>
      <c r="AL54" s="33"/>
      <c r="AM54" s="33"/>
      <c r="AN54" s="33"/>
      <c r="AO54" s="33"/>
      <c r="AP54" s="33"/>
      <c r="AQ54" s="33"/>
      <c r="AR54" s="33"/>
      <c r="AS54" s="33"/>
      <c r="AT54" s="33"/>
      <c r="AU54" s="33"/>
      <c r="AV54" s="33"/>
      <c r="AW54" s="33"/>
      <c r="AX54" s="33"/>
      <c r="AY54" s="33"/>
      <c r="AZ54" s="33"/>
      <c r="BA54" s="33"/>
      <c r="BB54" s="33">
        <v>44.8</v>
      </c>
      <c r="BC54" s="33"/>
      <c r="BD54" s="33"/>
      <c r="BE54" s="33">
        <v>19.48</v>
      </c>
      <c r="BF54" s="33"/>
      <c r="BG54" s="33">
        <v>39.6</v>
      </c>
      <c r="BH54" s="33">
        <v>5.2</v>
      </c>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v>5.3</v>
      </c>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v>34</v>
      </c>
      <c r="FJ54" s="33"/>
      <c r="FK54" s="33"/>
      <c r="FL54" s="33"/>
      <c r="FM54" s="33"/>
      <c r="FN54" s="33"/>
      <c r="FO54" s="33"/>
      <c r="FP54" s="33"/>
      <c r="FQ54" s="33"/>
      <c r="FR54" s="33"/>
      <c r="FS54" s="33"/>
      <c r="FT54" s="33"/>
      <c r="FU54" s="33"/>
      <c r="FV54" s="33"/>
      <c r="FW54" s="33"/>
      <c r="FX54" s="33"/>
      <c r="FY54" s="33"/>
      <c r="FZ54" s="33"/>
      <c r="GA54" s="33"/>
      <c r="GB54" s="33"/>
      <c r="GC54" s="33"/>
      <c r="GD54" s="33"/>
      <c r="GE54" s="33"/>
      <c r="GF54" s="33"/>
      <c r="GG54" s="33"/>
      <c r="GH54" s="33"/>
      <c r="GI54" s="33"/>
      <c r="GJ54" s="33"/>
      <c r="GK54" s="33"/>
      <c r="GL54" s="33"/>
      <c r="GM54" s="33"/>
      <c r="GN54" s="33"/>
      <c r="GO54" s="33"/>
      <c r="GP54" s="33"/>
      <c r="GQ54" s="33"/>
      <c r="GR54" s="33"/>
      <c r="GS54" s="33"/>
      <c r="GT54" s="33"/>
      <c r="GU54" s="33"/>
      <c r="GV54" s="33"/>
      <c r="GW54" s="33"/>
      <c r="GX54" s="33"/>
      <c r="GY54" s="33"/>
      <c r="GZ54" s="33"/>
      <c r="HA54" s="33"/>
      <c r="HB54" s="33"/>
      <c r="HC54" s="33"/>
      <c r="HD54" s="33"/>
      <c r="HE54" s="33"/>
      <c r="HF54" s="33"/>
      <c r="HG54" s="33"/>
      <c r="HH54" s="33"/>
      <c r="HI54" s="33"/>
      <c r="HJ54" s="33"/>
      <c r="HK54" s="33"/>
      <c r="HL54" s="33"/>
      <c r="HM54" s="33"/>
      <c r="HN54" s="33"/>
      <c r="HO54" s="33"/>
      <c r="HP54" s="33"/>
      <c r="HQ54" s="33"/>
      <c r="HR54" s="33"/>
      <c r="HS54" s="33"/>
      <c r="HT54" s="33"/>
      <c r="HU54" s="33"/>
      <c r="HV54" s="33"/>
      <c r="HW54" s="33"/>
      <c r="HX54" s="33"/>
      <c r="HY54" s="33"/>
      <c r="HZ54" s="33"/>
      <c r="IA54" s="33"/>
      <c r="IB54" s="33"/>
      <c r="IC54" s="33"/>
      <c r="ID54" s="33"/>
      <c r="IE54" s="33"/>
      <c r="IF54" s="33"/>
      <c r="IG54" s="33"/>
      <c r="IH54" s="33"/>
      <c r="II54" s="33"/>
      <c r="IJ54" s="33"/>
      <c r="IK54" s="33"/>
      <c r="IL54" s="33"/>
      <c r="IM54" s="33"/>
      <c r="IN54" s="33"/>
      <c r="IO54" s="33"/>
      <c r="IP54" s="33"/>
      <c r="IQ54" s="33"/>
      <c r="IR54" s="33"/>
      <c r="IS54" s="33"/>
      <c r="IT54" s="33"/>
      <c r="IU54" s="33"/>
      <c r="IV54" s="33"/>
      <c r="IW54" s="33"/>
      <c r="IX54" s="33"/>
      <c r="IY54" s="33"/>
      <c r="IZ54" s="33"/>
      <c r="JA54" s="33"/>
      <c r="JB54" s="33"/>
      <c r="JC54" s="33"/>
      <c r="JD54" s="33"/>
      <c r="JE54" s="33"/>
      <c r="JF54" s="33"/>
      <c r="JG54" s="33"/>
      <c r="JH54" s="33"/>
      <c r="JI54" s="33"/>
      <c r="JJ54" s="33"/>
      <c r="JK54" s="33"/>
      <c r="JL54" s="33"/>
      <c r="JM54" s="33"/>
      <c r="JN54" s="33"/>
      <c r="JO54" s="33"/>
      <c r="JP54" s="33"/>
      <c r="JQ54" s="33"/>
      <c r="JR54" s="33"/>
      <c r="KZ54" s="33"/>
      <c r="LA54" s="33"/>
      <c r="LB54" s="33"/>
      <c r="LC54" s="33"/>
      <c r="LD54" s="33"/>
      <c r="LE54" s="33"/>
      <c r="LF54" s="33"/>
      <c r="LG54" s="33"/>
      <c r="LH54" s="33"/>
      <c r="LI54" s="33"/>
      <c r="LJ54" s="33"/>
      <c r="LK54" s="33"/>
      <c r="LL54" s="33"/>
      <c r="LM54" s="33"/>
      <c r="LN54" s="33"/>
      <c r="LO54" s="33"/>
      <c r="LP54" s="44"/>
      <c r="LQ54" s="44"/>
      <c r="LR54" s="44"/>
      <c r="LS54" s="44"/>
      <c r="LT54" s="44"/>
      <c r="LU54" s="44"/>
      <c r="LV54" s="44"/>
    </row>
    <row r="55" spans="1:334" x14ac:dyDescent="0.2">
      <c r="A55" s="1" t="s">
        <v>8102</v>
      </c>
      <c r="D55" s="1" t="s">
        <v>8103</v>
      </c>
      <c r="E55" s="1" t="s">
        <v>8099</v>
      </c>
      <c r="F55" s="1" t="s">
        <v>8094</v>
      </c>
      <c r="I55" s="1">
        <v>1</v>
      </c>
      <c r="J55" s="1" t="s">
        <v>8095</v>
      </c>
      <c r="K55" s="1">
        <v>2012</v>
      </c>
      <c r="L55" s="1" t="s">
        <v>8096</v>
      </c>
      <c r="M55" s="1" t="s">
        <v>7657</v>
      </c>
      <c r="N55" s="17" t="s">
        <v>7945</v>
      </c>
      <c r="O55" s="33"/>
      <c r="P55" s="33"/>
      <c r="Q55" s="33"/>
      <c r="R55" s="33"/>
      <c r="S55" s="33">
        <v>10.29</v>
      </c>
      <c r="T55" s="33"/>
      <c r="U55" s="33"/>
      <c r="V55" s="33"/>
      <c r="W55" s="33"/>
      <c r="X55" s="33"/>
      <c r="Y55" s="33"/>
      <c r="Z55" s="33"/>
      <c r="AA55" s="33">
        <v>12.41</v>
      </c>
      <c r="AB55" s="33"/>
      <c r="AC55" s="33"/>
      <c r="AD55" s="33">
        <v>0.93</v>
      </c>
      <c r="AE55" s="33">
        <v>39.78</v>
      </c>
      <c r="AF55" s="33"/>
      <c r="AG55" s="33"/>
      <c r="AH55" s="33"/>
      <c r="AI55" s="33"/>
      <c r="AJ55" s="33"/>
      <c r="AK55" s="33"/>
      <c r="AL55" s="33"/>
      <c r="AM55" s="33"/>
      <c r="AN55" s="33"/>
      <c r="AO55" s="33"/>
      <c r="AP55" s="33"/>
      <c r="AQ55" s="33"/>
      <c r="AR55" s="33"/>
      <c r="AS55" s="33"/>
      <c r="AT55" s="33"/>
      <c r="AU55" s="33"/>
      <c r="AV55" s="33"/>
      <c r="AW55" s="33"/>
      <c r="AX55" s="33"/>
      <c r="AY55" s="33"/>
      <c r="AZ55" s="33"/>
      <c r="BA55" s="33"/>
      <c r="BB55" s="33">
        <v>78.53</v>
      </c>
      <c r="BC55" s="33"/>
      <c r="BD55" s="33"/>
      <c r="BE55" s="33">
        <v>33.72</v>
      </c>
      <c r="BF55" s="33"/>
      <c r="BG55" s="33">
        <v>69.23</v>
      </c>
      <c r="BH55" s="33">
        <v>9.3000000000000007</v>
      </c>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v>3.03</v>
      </c>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v>415</v>
      </c>
      <c r="FJ55" s="33"/>
      <c r="FK55" s="33"/>
      <c r="FL55" s="33"/>
      <c r="FM55" s="33"/>
      <c r="FN55" s="33"/>
      <c r="FO55" s="33"/>
      <c r="FP55" s="33"/>
      <c r="FQ55" s="33"/>
      <c r="FR55" s="33"/>
      <c r="FS55" s="33"/>
      <c r="FT55" s="33"/>
      <c r="FU55" s="33"/>
      <c r="FV55" s="33"/>
      <c r="FW55" s="33"/>
      <c r="FX55" s="33"/>
      <c r="FY55" s="33"/>
      <c r="FZ55" s="33"/>
      <c r="GA55" s="33"/>
      <c r="GB55" s="33"/>
      <c r="GC55" s="33"/>
      <c r="GD55" s="33"/>
      <c r="GE55" s="33"/>
      <c r="GF55" s="33"/>
      <c r="GG55" s="33"/>
      <c r="GH55" s="33"/>
      <c r="GI55" s="33"/>
      <c r="GJ55" s="33"/>
      <c r="GK55" s="33"/>
      <c r="GL55" s="33"/>
      <c r="GM55" s="33"/>
      <c r="GN55" s="33"/>
      <c r="GO55" s="33"/>
      <c r="GP55" s="33"/>
      <c r="GQ55" s="33"/>
      <c r="GR55" s="33"/>
      <c r="GS55" s="33"/>
      <c r="GT55" s="33"/>
      <c r="GU55" s="33"/>
      <c r="GV55" s="33"/>
      <c r="GW55" s="33"/>
      <c r="GX55" s="33"/>
      <c r="GY55" s="33"/>
      <c r="GZ55" s="33"/>
      <c r="HA55" s="33"/>
      <c r="HB55" s="33"/>
      <c r="HC55" s="33"/>
      <c r="HD55" s="33"/>
      <c r="HE55" s="33"/>
      <c r="HF55" s="33"/>
      <c r="HG55" s="33"/>
      <c r="HH55" s="33"/>
      <c r="HI55" s="33"/>
      <c r="HJ55" s="33"/>
      <c r="HK55" s="33"/>
      <c r="HL55" s="33"/>
      <c r="HM55" s="33"/>
      <c r="HN55" s="33"/>
      <c r="HO55" s="33"/>
      <c r="HP55" s="33"/>
      <c r="HQ55" s="33"/>
      <c r="HR55" s="33"/>
      <c r="HS55" s="33"/>
      <c r="HT55" s="33"/>
      <c r="HU55" s="33"/>
      <c r="HV55" s="33"/>
      <c r="HW55" s="33"/>
      <c r="HX55" s="33"/>
      <c r="HY55" s="33"/>
      <c r="HZ55" s="33"/>
      <c r="IA55" s="33"/>
      <c r="IB55" s="33"/>
      <c r="IC55" s="33"/>
      <c r="ID55" s="33"/>
      <c r="IE55" s="33"/>
      <c r="IF55" s="33"/>
      <c r="IG55" s="33"/>
      <c r="IH55" s="33"/>
      <c r="II55" s="33"/>
      <c r="IJ55" s="33"/>
      <c r="IK55" s="33"/>
      <c r="IL55" s="33"/>
      <c r="IM55" s="33"/>
      <c r="IN55" s="33"/>
      <c r="IO55" s="33"/>
      <c r="IP55" s="33"/>
      <c r="IQ55" s="33"/>
      <c r="IR55" s="33"/>
      <c r="IS55" s="33"/>
      <c r="IT55" s="33"/>
      <c r="IU55" s="33"/>
      <c r="IV55" s="33"/>
      <c r="IW55" s="33"/>
      <c r="IX55" s="33"/>
      <c r="IY55" s="33"/>
      <c r="IZ55" s="33"/>
      <c r="JA55" s="33"/>
      <c r="JB55" s="33"/>
      <c r="JC55" s="33"/>
      <c r="JD55" s="33"/>
      <c r="JE55" s="33"/>
      <c r="JF55" s="33"/>
      <c r="JG55" s="33"/>
      <c r="JH55" s="33"/>
      <c r="JI55" s="33"/>
      <c r="JJ55" s="33"/>
      <c r="JK55" s="33"/>
      <c r="JL55" s="33"/>
      <c r="JM55" s="33"/>
      <c r="JN55" s="33"/>
      <c r="JO55" s="33"/>
      <c r="JP55" s="33"/>
      <c r="JQ55" s="33"/>
      <c r="JR55" s="33"/>
      <c r="KZ55" s="33"/>
      <c r="LA55" s="33"/>
      <c r="LB55" s="33"/>
      <c r="LC55" s="33"/>
      <c r="LD55" s="33"/>
      <c r="LE55" s="33"/>
      <c r="LF55" s="33"/>
      <c r="LG55" s="33"/>
      <c r="LH55" s="33"/>
      <c r="LI55" s="33"/>
      <c r="LJ55" s="33"/>
      <c r="LK55" s="33"/>
      <c r="LL55" s="33"/>
      <c r="LM55" s="33"/>
      <c r="LN55" s="33"/>
      <c r="LO55" s="33"/>
      <c r="LP55" s="44"/>
      <c r="LQ55" s="44"/>
      <c r="LR55" s="44"/>
      <c r="LS55" s="44"/>
      <c r="LT55" s="44"/>
      <c r="LU55" s="44"/>
      <c r="LV55" s="44"/>
    </row>
    <row r="56" spans="1:334" x14ac:dyDescent="0.2">
      <c r="A56" s="1" t="s">
        <v>8104</v>
      </c>
      <c r="D56" s="1" t="s">
        <v>8105</v>
      </c>
      <c r="E56" s="1" t="s">
        <v>8099</v>
      </c>
      <c r="F56" s="1" t="s">
        <v>8094</v>
      </c>
      <c r="I56" s="1">
        <v>1</v>
      </c>
      <c r="J56" s="1" t="s">
        <v>8095</v>
      </c>
      <c r="K56" s="1">
        <v>2012</v>
      </c>
      <c r="L56" s="1" t="s">
        <v>8096</v>
      </c>
      <c r="M56" s="1" t="s">
        <v>7657</v>
      </c>
      <c r="N56" s="17" t="s">
        <v>7945</v>
      </c>
      <c r="O56" s="33"/>
      <c r="P56" s="33"/>
      <c r="Q56" s="33"/>
      <c r="R56" s="33"/>
      <c r="S56" s="33">
        <v>11.96</v>
      </c>
      <c r="T56" s="33"/>
      <c r="U56" s="33"/>
      <c r="V56" s="33"/>
      <c r="W56" s="33"/>
      <c r="X56" s="33"/>
      <c r="Y56" s="33"/>
      <c r="Z56" s="33"/>
      <c r="AA56" s="33">
        <v>23</v>
      </c>
      <c r="AB56" s="33"/>
      <c r="AC56" s="33"/>
      <c r="AD56" s="33">
        <v>1.04</v>
      </c>
      <c r="AE56" s="33">
        <v>37.46</v>
      </c>
      <c r="AF56" s="33"/>
      <c r="AG56" s="33"/>
      <c r="AH56" s="33"/>
      <c r="AI56" s="33"/>
      <c r="AJ56" s="33"/>
      <c r="AK56" s="33"/>
      <c r="AL56" s="33"/>
      <c r="AM56" s="33"/>
      <c r="AN56" s="33"/>
      <c r="AO56" s="33"/>
      <c r="AP56" s="33"/>
      <c r="AQ56" s="33"/>
      <c r="AR56" s="33"/>
      <c r="AS56" s="33"/>
      <c r="AT56" s="33"/>
      <c r="AU56" s="33"/>
      <c r="AV56" s="33"/>
      <c r="AW56" s="33"/>
      <c r="AX56" s="33"/>
      <c r="AY56" s="33"/>
      <c r="AZ56" s="33"/>
      <c r="BA56" s="33"/>
      <c r="BB56" s="33">
        <v>67.7</v>
      </c>
      <c r="BC56" s="33"/>
      <c r="BD56" s="33"/>
      <c r="BE56" s="33">
        <v>22.4</v>
      </c>
      <c r="BF56" s="33"/>
      <c r="BG56" s="33">
        <v>59.76</v>
      </c>
      <c r="BH56" s="33">
        <v>7.93</v>
      </c>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v>4.12</v>
      </c>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v>326</v>
      </c>
      <c r="FJ56" s="33"/>
      <c r="FK56" s="33"/>
      <c r="FL56" s="33"/>
      <c r="FM56" s="33"/>
      <c r="FN56" s="33"/>
      <c r="FO56" s="33"/>
      <c r="FP56" s="33"/>
      <c r="FQ56" s="33"/>
      <c r="FR56" s="33"/>
      <c r="FS56" s="33"/>
      <c r="FT56" s="33"/>
      <c r="FU56" s="33"/>
      <c r="FV56" s="33"/>
      <c r="FW56" s="33"/>
      <c r="FX56" s="33"/>
      <c r="FY56" s="33"/>
      <c r="FZ56" s="33"/>
      <c r="GA56" s="33"/>
      <c r="GB56" s="33"/>
      <c r="GC56" s="33"/>
      <c r="GD56" s="33"/>
      <c r="GE56" s="33"/>
      <c r="GF56" s="33"/>
      <c r="GG56" s="33"/>
      <c r="GH56" s="33"/>
      <c r="GI56" s="33"/>
      <c r="GJ56" s="33"/>
      <c r="GK56" s="33"/>
      <c r="GL56" s="33"/>
      <c r="GM56" s="33"/>
      <c r="GN56" s="33"/>
      <c r="GO56" s="33"/>
      <c r="GP56" s="33"/>
      <c r="GQ56" s="33"/>
      <c r="GR56" s="33"/>
      <c r="GS56" s="33"/>
      <c r="GT56" s="33"/>
      <c r="GU56" s="33"/>
      <c r="GV56" s="33"/>
      <c r="GW56" s="33"/>
      <c r="GX56" s="33"/>
      <c r="GY56" s="33"/>
      <c r="GZ56" s="33"/>
      <c r="HA56" s="33"/>
      <c r="HB56" s="33"/>
      <c r="HC56" s="33"/>
      <c r="HD56" s="33"/>
      <c r="HE56" s="33"/>
      <c r="HF56" s="33"/>
      <c r="HG56" s="33"/>
      <c r="HH56" s="33"/>
      <c r="HI56" s="33"/>
      <c r="HJ56" s="33"/>
      <c r="HK56" s="33"/>
      <c r="HL56" s="33"/>
      <c r="HM56" s="33"/>
      <c r="HN56" s="33"/>
      <c r="HO56" s="33"/>
      <c r="HP56" s="33"/>
      <c r="HQ56" s="33"/>
      <c r="HR56" s="33"/>
      <c r="HS56" s="33"/>
      <c r="HT56" s="33"/>
      <c r="HU56" s="33"/>
      <c r="HV56" s="33"/>
      <c r="HW56" s="33"/>
      <c r="HX56" s="33"/>
      <c r="HY56" s="33"/>
      <c r="HZ56" s="33"/>
      <c r="IA56" s="33"/>
      <c r="IB56" s="33"/>
      <c r="IC56" s="33"/>
      <c r="ID56" s="33"/>
      <c r="IE56" s="33"/>
      <c r="IF56" s="33"/>
      <c r="IG56" s="33"/>
      <c r="IH56" s="33"/>
      <c r="II56" s="33"/>
      <c r="IJ56" s="33"/>
      <c r="IK56" s="33"/>
      <c r="IL56" s="33"/>
      <c r="IM56" s="33"/>
      <c r="IN56" s="33"/>
      <c r="IO56" s="33"/>
      <c r="IP56" s="33"/>
      <c r="IQ56" s="33"/>
      <c r="IR56" s="33"/>
      <c r="IS56" s="33"/>
      <c r="IT56" s="33"/>
      <c r="IU56" s="33"/>
      <c r="IV56" s="33"/>
      <c r="IW56" s="33"/>
      <c r="IX56" s="33"/>
      <c r="IY56" s="33"/>
      <c r="IZ56" s="33"/>
      <c r="JA56" s="33"/>
      <c r="JB56" s="33"/>
      <c r="JC56" s="33"/>
      <c r="JD56" s="33"/>
      <c r="JE56" s="33"/>
      <c r="JF56" s="33"/>
      <c r="JG56" s="33"/>
      <c r="JH56" s="33"/>
      <c r="JI56" s="33"/>
      <c r="JJ56" s="33"/>
      <c r="JK56" s="33"/>
      <c r="JL56" s="33"/>
      <c r="JM56" s="33"/>
      <c r="JN56" s="33"/>
      <c r="JO56" s="33"/>
      <c r="JP56" s="33"/>
      <c r="JQ56" s="33"/>
      <c r="JR56" s="33"/>
      <c r="KZ56" s="33"/>
      <c r="LA56" s="33"/>
      <c r="LB56" s="33"/>
      <c r="LC56" s="33"/>
      <c r="LD56" s="33"/>
      <c r="LE56" s="33"/>
      <c r="LF56" s="33"/>
      <c r="LG56" s="33"/>
      <c r="LH56" s="33"/>
      <c r="LI56" s="33"/>
      <c r="LJ56" s="33"/>
      <c r="LK56" s="33"/>
      <c r="LL56" s="33"/>
      <c r="LM56" s="33"/>
      <c r="LN56" s="33"/>
      <c r="LO56" s="33"/>
      <c r="LP56" s="44"/>
      <c r="LQ56" s="44"/>
      <c r="LR56" s="44"/>
      <c r="LS56" s="44"/>
      <c r="LT56" s="44"/>
      <c r="LU56" s="44"/>
      <c r="LV56" s="44"/>
    </row>
    <row r="57" spans="1:334" x14ac:dyDescent="0.2">
      <c r="A57" s="1" t="s">
        <v>8106</v>
      </c>
      <c r="D57" s="1" t="s">
        <v>8107</v>
      </c>
      <c r="E57" s="1" t="s">
        <v>8099</v>
      </c>
      <c r="F57" s="1" t="s">
        <v>8094</v>
      </c>
      <c r="I57" s="1">
        <v>1</v>
      </c>
      <c r="J57" s="1" t="s">
        <v>8095</v>
      </c>
      <c r="K57" s="1">
        <v>2012</v>
      </c>
      <c r="L57" s="1" t="s">
        <v>8096</v>
      </c>
      <c r="M57" s="1" t="s">
        <v>7657</v>
      </c>
      <c r="N57" s="17" t="s">
        <v>7945</v>
      </c>
      <c r="O57" s="33"/>
      <c r="P57" s="33"/>
      <c r="Q57" s="33"/>
      <c r="R57" s="33"/>
      <c r="S57" s="33">
        <v>12.61</v>
      </c>
      <c r="T57" s="33"/>
      <c r="U57" s="33"/>
      <c r="V57" s="33"/>
      <c r="W57" s="33"/>
      <c r="X57" s="33"/>
      <c r="Y57" s="33"/>
      <c r="Z57" s="33"/>
      <c r="AA57" s="33">
        <v>12.25</v>
      </c>
      <c r="AB57" s="33"/>
      <c r="AC57" s="33"/>
      <c r="AD57" s="33">
        <v>0.91</v>
      </c>
      <c r="AE57" s="33">
        <v>47.91</v>
      </c>
      <c r="AF57" s="33"/>
      <c r="AG57" s="33"/>
      <c r="AH57" s="33"/>
      <c r="AI57" s="33"/>
      <c r="AJ57" s="33"/>
      <c r="AK57" s="33"/>
      <c r="AL57" s="33"/>
      <c r="AM57" s="33"/>
      <c r="AN57" s="33"/>
      <c r="AO57" s="33"/>
      <c r="AP57" s="33"/>
      <c r="AQ57" s="33"/>
      <c r="AR57" s="33"/>
      <c r="AS57" s="33"/>
      <c r="AT57" s="33"/>
      <c r="AU57" s="33"/>
      <c r="AV57" s="33"/>
      <c r="AW57" s="33"/>
      <c r="AX57" s="33"/>
      <c r="AY57" s="33"/>
      <c r="AZ57" s="33"/>
      <c r="BA57" s="33"/>
      <c r="BB57" s="33">
        <v>71.86</v>
      </c>
      <c r="BC57" s="33"/>
      <c r="BD57" s="33"/>
      <c r="BE57" s="33">
        <v>23.3</v>
      </c>
      <c r="BF57" s="33"/>
      <c r="BG57" s="33">
        <v>65.930000000000007</v>
      </c>
      <c r="BH57" s="33">
        <v>5.93</v>
      </c>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v>3</v>
      </c>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v>128</v>
      </c>
      <c r="FJ57" s="33"/>
      <c r="FK57" s="33"/>
      <c r="FL57" s="33"/>
      <c r="FM57" s="33"/>
      <c r="FN57" s="33"/>
      <c r="FO57" s="33"/>
      <c r="FP57" s="33"/>
      <c r="FQ57" s="33"/>
      <c r="FR57" s="33"/>
      <c r="FS57" s="33"/>
      <c r="FT57" s="33"/>
      <c r="FU57" s="33"/>
      <c r="FV57" s="33"/>
      <c r="FW57" s="33"/>
      <c r="FX57" s="33"/>
      <c r="FY57" s="33"/>
      <c r="FZ57" s="33"/>
      <c r="GA57" s="33"/>
      <c r="GB57" s="33"/>
      <c r="GC57" s="33"/>
      <c r="GD57" s="33"/>
      <c r="GE57" s="33"/>
      <c r="GF57" s="33"/>
      <c r="GG57" s="33"/>
      <c r="GH57" s="33"/>
      <c r="GI57" s="33"/>
      <c r="GJ57" s="33"/>
      <c r="GK57" s="33"/>
      <c r="GL57" s="33"/>
      <c r="GM57" s="33"/>
      <c r="GN57" s="33"/>
      <c r="GO57" s="33"/>
      <c r="GP57" s="33"/>
      <c r="GQ57" s="33"/>
      <c r="GR57" s="33"/>
      <c r="GS57" s="33"/>
      <c r="GT57" s="33"/>
      <c r="GU57" s="33"/>
      <c r="GV57" s="33"/>
      <c r="GW57" s="33"/>
      <c r="GX57" s="33"/>
      <c r="GY57" s="33"/>
      <c r="GZ57" s="33"/>
      <c r="HA57" s="33"/>
      <c r="HB57" s="33"/>
      <c r="HC57" s="33"/>
      <c r="HD57" s="33"/>
      <c r="HE57" s="33"/>
      <c r="HF57" s="33"/>
      <c r="HG57" s="33"/>
      <c r="HH57" s="33"/>
      <c r="HI57" s="33"/>
      <c r="HJ57" s="33"/>
      <c r="HK57" s="33"/>
      <c r="HL57" s="33"/>
      <c r="HM57" s="33"/>
      <c r="HN57" s="33"/>
      <c r="HO57" s="33"/>
      <c r="HP57" s="33"/>
      <c r="HQ57" s="33"/>
      <c r="HR57" s="33"/>
      <c r="HS57" s="33"/>
      <c r="HT57" s="33"/>
      <c r="HU57" s="33"/>
      <c r="HV57" s="33"/>
      <c r="HW57" s="33"/>
      <c r="HX57" s="33"/>
      <c r="HY57" s="33"/>
      <c r="HZ57" s="33"/>
      <c r="IA57" s="33"/>
      <c r="IB57" s="33"/>
      <c r="IC57" s="33"/>
      <c r="ID57" s="33"/>
      <c r="IE57" s="33"/>
      <c r="IF57" s="33"/>
      <c r="IG57" s="33"/>
      <c r="IH57" s="33"/>
      <c r="II57" s="33"/>
      <c r="IJ57" s="33"/>
      <c r="IK57" s="33"/>
      <c r="IL57" s="33"/>
      <c r="IM57" s="33"/>
      <c r="IN57" s="33"/>
      <c r="IO57" s="33"/>
      <c r="IP57" s="33"/>
      <c r="IQ57" s="33"/>
      <c r="IR57" s="33"/>
      <c r="IS57" s="33"/>
      <c r="IT57" s="33"/>
      <c r="IU57" s="33"/>
      <c r="IV57" s="33"/>
      <c r="IW57" s="33"/>
      <c r="IX57" s="33"/>
      <c r="IY57" s="33"/>
      <c r="IZ57" s="33"/>
      <c r="JA57" s="33"/>
      <c r="JB57" s="33"/>
      <c r="JC57" s="33"/>
      <c r="JD57" s="33"/>
      <c r="JE57" s="33"/>
      <c r="JF57" s="33"/>
      <c r="JG57" s="33"/>
      <c r="JH57" s="33"/>
      <c r="JI57" s="33"/>
      <c r="JJ57" s="33"/>
      <c r="JK57" s="33"/>
      <c r="JL57" s="33"/>
      <c r="JM57" s="33"/>
      <c r="JN57" s="33"/>
      <c r="JO57" s="33"/>
      <c r="JP57" s="33"/>
      <c r="JQ57" s="33"/>
      <c r="JR57" s="33"/>
      <c r="KZ57" s="33"/>
      <c r="LA57" s="33"/>
      <c r="LB57" s="33"/>
      <c r="LC57" s="33"/>
      <c r="LD57" s="33"/>
      <c r="LE57" s="33"/>
      <c r="LF57" s="33"/>
      <c r="LG57" s="33"/>
      <c r="LH57" s="33"/>
      <c r="LI57" s="33"/>
      <c r="LJ57" s="33"/>
      <c r="LK57" s="33"/>
      <c r="LL57" s="33"/>
      <c r="LM57" s="33"/>
      <c r="LN57" s="33"/>
      <c r="LO57" s="33"/>
      <c r="LP57" s="44"/>
      <c r="LQ57" s="44"/>
      <c r="LR57" s="44"/>
      <c r="LS57" s="44"/>
      <c r="LT57" s="44"/>
      <c r="LU57" s="44"/>
      <c r="LV57" s="44"/>
    </row>
    <row r="58" spans="1:334" x14ac:dyDescent="0.2">
      <c r="A58" s="1" t="s">
        <v>8108</v>
      </c>
      <c r="D58" s="1" t="s">
        <v>8109</v>
      </c>
      <c r="E58" s="1" t="s">
        <v>7</v>
      </c>
      <c r="F58" s="1" t="s">
        <v>8110</v>
      </c>
      <c r="J58" s="1" t="s">
        <v>8111</v>
      </c>
      <c r="K58" s="1">
        <v>2011</v>
      </c>
      <c r="L58" s="1" t="s">
        <v>8112</v>
      </c>
      <c r="M58" s="1" t="s">
        <v>7657</v>
      </c>
      <c r="N58" s="17" t="s">
        <v>7945</v>
      </c>
      <c r="O58" s="33"/>
      <c r="P58" s="33"/>
      <c r="Q58" s="33"/>
      <c r="R58" s="33"/>
      <c r="S58" s="33"/>
      <c r="T58" s="33">
        <v>92.33</v>
      </c>
      <c r="U58" s="33"/>
      <c r="V58" s="33"/>
      <c r="W58" s="33"/>
      <c r="X58" s="33"/>
      <c r="Y58" s="33"/>
      <c r="Z58" s="33">
        <v>23.571849000000004</v>
      </c>
      <c r="AA58" s="33"/>
      <c r="AB58" s="33">
        <v>1.4357315000000002</v>
      </c>
      <c r="AC58" s="33"/>
      <c r="AD58" s="33"/>
      <c r="AE58" s="33">
        <v>57.475424999999994</v>
      </c>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v>5.7244599999999997</v>
      </c>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v>4.1271509999999996</v>
      </c>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c r="FS58" s="33"/>
      <c r="FT58" s="33"/>
      <c r="FU58" s="33"/>
      <c r="FV58" s="33"/>
      <c r="FW58" s="33"/>
      <c r="FX58" s="33"/>
      <c r="FY58" s="33"/>
      <c r="FZ58" s="33"/>
      <c r="GA58" s="33"/>
      <c r="GB58" s="33"/>
      <c r="GC58" s="33"/>
      <c r="GD58" s="33"/>
      <c r="GE58" s="33"/>
      <c r="GF58" s="33"/>
      <c r="GG58" s="33"/>
      <c r="GH58" s="33"/>
      <c r="GI58" s="33"/>
      <c r="GJ58" s="33"/>
      <c r="GK58" s="33"/>
      <c r="GL58" s="33"/>
      <c r="GM58" s="33"/>
      <c r="GN58" s="33"/>
      <c r="GO58" s="33"/>
      <c r="GP58" s="33"/>
      <c r="GQ58" s="33"/>
      <c r="GR58" s="33"/>
      <c r="GS58" s="33"/>
      <c r="GT58" s="33"/>
      <c r="GU58" s="33"/>
      <c r="GV58" s="33"/>
      <c r="GW58" s="33"/>
      <c r="GX58" s="33"/>
      <c r="GY58" s="33"/>
      <c r="GZ58" s="33"/>
      <c r="HA58" s="33"/>
      <c r="HB58" s="33"/>
      <c r="HC58" s="33"/>
      <c r="HD58" s="33"/>
      <c r="HE58" s="33"/>
      <c r="HF58" s="33"/>
      <c r="HG58" s="33"/>
      <c r="HH58" s="33"/>
      <c r="HI58" s="33"/>
      <c r="HJ58" s="33"/>
      <c r="HK58" s="33"/>
      <c r="HL58" s="33"/>
      <c r="HM58" s="33"/>
      <c r="HN58" s="33"/>
      <c r="HO58" s="33"/>
      <c r="HP58" s="33"/>
      <c r="HQ58" s="33"/>
      <c r="HR58" s="33"/>
      <c r="HS58" s="33"/>
      <c r="HT58" s="33"/>
      <c r="HU58" s="33"/>
      <c r="HV58" s="33"/>
      <c r="HW58" s="33"/>
      <c r="HX58" s="33"/>
      <c r="HY58" s="33"/>
      <c r="HZ58" s="33"/>
      <c r="IA58" s="33"/>
      <c r="IB58" s="33"/>
      <c r="IC58" s="33"/>
      <c r="ID58" s="33"/>
      <c r="IE58" s="33"/>
      <c r="IF58" s="33"/>
      <c r="IG58" s="33"/>
      <c r="IH58" s="33"/>
      <c r="II58" s="33"/>
      <c r="IJ58" s="33"/>
      <c r="IK58" s="33"/>
      <c r="IL58" s="33"/>
      <c r="IM58" s="33"/>
      <c r="IN58" s="33"/>
      <c r="IO58" s="33"/>
      <c r="IP58" s="33"/>
      <c r="IQ58" s="33"/>
      <c r="IR58" s="33"/>
      <c r="IS58" s="33"/>
      <c r="IT58" s="33"/>
      <c r="IU58" s="33"/>
      <c r="IV58" s="33"/>
      <c r="IW58" s="33"/>
      <c r="IX58" s="33"/>
      <c r="IY58" s="33"/>
      <c r="IZ58" s="33"/>
      <c r="JA58" s="33"/>
      <c r="JB58" s="33"/>
      <c r="JC58" s="33"/>
      <c r="JD58" s="33"/>
      <c r="JE58" s="33"/>
      <c r="JF58" s="33"/>
      <c r="JG58" s="33"/>
      <c r="JH58" s="33"/>
      <c r="JI58" s="33"/>
      <c r="JJ58" s="33"/>
      <c r="JK58" s="33"/>
      <c r="JL58" s="33"/>
      <c r="JM58" s="33"/>
      <c r="JN58" s="33"/>
      <c r="JO58" s="33"/>
      <c r="JP58" s="33"/>
      <c r="JQ58" s="33"/>
      <c r="JR58" s="33"/>
      <c r="KZ58" s="33"/>
      <c r="LA58" s="33"/>
      <c r="LB58" s="33"/>
      <c r="LC58" s="33"/>
      <c r="LD58" s="33"/>
      <c r="LE58" s="33"/>
      <c r="LF58" s="33"/>
      <c r="LG58" s="33"/>
      <c r="LH58" s="33"/>
      <c r="LI58" s="33"/>
      <c r="LJ58" s="33"/>
      <c r="LK58" s="33"/>
      <c r="LL58" s="33"/>
      <c r="LM58" s="33"/>
      <c r="LN58" s="33"/>
      <c r="LO58" s="33"/>
      <c r="LP58" s="44"/>
      <c r="LQ58" s="44"/>
      <c r="LR58" s="44"/>
      <c r="LS58" s="44"/>
      <c r="LT58" s="44"/>
      <c r="LU58" s="44"/>
      <c r="LV58" s="44"/>
    </row>
    <row r="59" spans="1:334" x14ac:dyDescent="0.2">
      <c r="A59" s="1" t="s">
        <v>8113</v>
      </c>
      <c r="D59" s="1" t="s">
        <v>8114</v>
      </c>
      <c r="E59" s="1" t="s">
        <v>8037</v>
      </c>
      <c r="F59" s="1" t="s">
        <v>8110</v>
      </c>
      <c r="H59" s="1" t="s">
        <v>8115</v>
      </c>
      <c r="J59" s="1" t="s">
        <v>8111</v>
      </c>
      <c r="K59" s="1">
        <v>2011</v>
      </c>
      <c r="L59" s="1" t="s">
        <v>8112</v>
      </c>
      <c r="M59" s="1" t="s">
        <v>7657</v>
      </c>
      <c r="N59" s="17" t="s">
        <v>7945</v>
      </c>
      <c r="O59" s="33"/>
      <c r="P59" s="33"/>
      <c r="Q59" s="33"/>
      <c r="R59" s="33"/>
      <c r="S59" s="33"/>
      <c r="T59" s="33">
        <v>92.5</v>
      </c>
      <c r="U59" s="33"/>
      <c r="V59" s="33"/>
      <c r="W59" s="33"/>
      <c r="X59" s="33"/>
      <c r="Y59" s="33"/>
      <c r="Z59" s="33">
        <v>23.61525</v>
      </c>
      <c r="AA59" s="33"/>
      <c r="AB59" s="33">
        <v>1.3042500000000001</v>
      </c>
      <c r="AC59" s="33"/>
      <c r="AD59" s="33"/>
      <c r="AE59" s="33">
        <v>57.89575</v>
      </c>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v>5.6147499999999999</v>
      </c>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v>4.07</v>
      </c>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c r="FP59" s="33"/>
      <c r="FQ59" s="33"/>
      <c r="FR59" s="33"/>
      <c r="FS59" s="33"/>
      <c r="FT59" s="33"/>
      <c r="FU59" s="33"/>
      <c r="FV59" s="33"/>
      <c r="FW59" s="33"/>
      <c r="FX59" s="33"/>
      <c r="FY59" s="33"/>
      <c r="FZ59" s="33"/>
      <c r="GA59" s="33"/>
      <c r="GB59" s="33"/>
      <c r="GC59" s="33"/>
      <c r="GD59" s="33"/>
      <c r="GE59" s="33"/>
      <c r="GF59" s="33"/>
      <c r="GG59" s="33"/>
      <c r="GH59" s="33"/>
      <c r="GI59" s="33"/>
      <c r="GJ59" s="33"/>
      <c r="GK59" s="33"/>
      <c r="GL59" s="33"/>
      <c r="GM59" s="33"/>
      <c r="GN59" s="33"/>
      <c r="GO59" s="33"/>
      <c r="GP59" s="33"/>
      <c r="GQ59" s="33"/>
      <c r="GR59" s="33"/>
      <c r="GS59" s="33"/>
      <c r="GT59" s="33"/>
      <c r="GU59" s="33"/>
      <c r="GV59" s="33"/>
      <c r="GW59" s="33"/>
      <c r="GX59" s="33"/>
      <c r="GY59" s="33"/>
      <c r="GZ59" s="33"/>
      <c r="HA59" s="33"/>
      <c r="HB59" s="33"/>
      <c r="HC59" s="33"/>
      <c r="HD59" s="33"/>
      <c r="HE59" s="33"/>
      <c r="HF59" s="33"/>
      <c r="HG59" s="33"/>
      <c r="HH59" s="33"/>
      <c r="HI59" s="33"/>
      <c r="HJ59" s="33"/>
      <c r="HK59" s="33"/>
      <c r="HL59" s="33"/>
      <c r="HM59" s="33"/>
      <c r="HN59" s="33"/>
      <c r="HO59" s="33"/>
      <c r="HP59" s="33"/>
      <c r="HQ59" s="33"/>
      <c r="HR59" s="33"/>
      <c r="HS59" s="33"/>
      <c r="HT59" s="33"/>
      <c r="HU59" s="33"/>
      <c r="HV59" s="33"/>
      <c r="HW59" s="33"/>
      <c r="HX59" s="33"/>
      <c r="HY59" s="33"/>
      <c r="HZ59" s="33"/>
      <c r="IA59" s="33"/>
      <c r="IB59" s="33"/>
      <c r="IC59" s="33"/>
      <c r="ID59" s="33"/>
      <c r="IE59" s="33"/>
      <c r="IF59" s="33"/>
      <c r="IG59" s="33"/>
      <c r="IH59" s="33"/>
      <c r="II59" s="33"/>
      <c r="IJ59" s="33"/>
      <c r="IK59" s="33"/>
      <c r="IL59" s="33"/>
      <c r="IM59" s="33"/>
      <c r="IN59" s="33"/>
      <c r="IO59" s="33"/>
      <c r="IP59" s="33"/>
      <c r="IQ59" s="33"/>
      <c r="IR59" s="33"/>
      <c r="IS59" s="33"/>
      <c r="IT59" s="33"/>
      <c r="IU59" s="33"/>
      <c r="IV59" s="33"/>
      <c r="IW59" s="33"/>
      <c r="IX59" s="33"/>
      <c r="IY59" s="33"/>
      <c r="IZ59" s="33"/>
      <c r="JA59" s="33"/>
      <c r="JB59" s="33"/>
      <c r="JC59" s="33"/>
      <c r="JD59" s="33"/>
      <c r="JE59" s="33"/>
      <c r="JF59" s="33"/>
      <c r="JG59" s="33"/>
      <c r="JH59" s="33"/>
      <c r="JI59" s="33"/>
      <c r="JJ59" s="33"/>
      <c r="JK59" s="33"/>
      <c r="JL59" s="33"/>
      <c r="JM59" s="33"/>
      <c r="JN59" s="33"/>
      <c r="JO59" s="33"/>
      <c r="JP59" s="33"/>
      <c r="JQ59" s="33"/>
      <c r="JR59" s="33"/>
      <c r="KZ59" s="33"/>
      <c r="LA59" s="33"/>
      <c r="LB59" s="33"/>
      <c r="LC59" s="33"/>
      <c r="LD59" s="33"/>
      <c r="LE59" s="33"/>
      <c r="LF59" s="33"/>
      <c r="LG59" s="33"/>
      <c r="LH59" s="33"/>
      <c r="LI59" s="33"/>
      <c r="LJ59" s="33"/>
      <c r="LK59" s="33"/>
      <c r="LL59" s="33"/>
      <c r="LM59" s="33"/>
      <c r="LN59" s="33"/>
      <c r="LO59" s="33"/>
      <c r="LP59" s="44"/>
      <c r="LQ59" s="44"/>
      <c r="LR59" s="44"/>
      <c r="LS59" s="44"/>
      <c r="LT59" s="44"/>
      <c r="LU59" s="44"/>
      <c r="LV59" s="44"/>
    </row>
    <row r="60" spans="1:334" x14ac:dyDescent="0.2">
      <c r="A60" s="1" t="s">
        <v>8116</v>
      </c>
      <c r="D60" s="1" t="s">
        <v>8117</v>
      </c>
      <c r="E60" s="1" t="s">
        <v>8037</v>
      </c>
      <c r="F60" s="1" t="s">
        <v>8110</v>
      </c>
      <c r="H60" s="1" t="s">
        <v>8118</v>
      </c>
      <c r="J60" s="1" t="s">
        <v>8111</v>
      </c>
      <c r="K60" s="1">
        <v>2011</v>
      </c>
      <c r="L60" s="1" t="s">
        <v>8112</v>
      </c>
      <c r="M60" s="1" t="s">
        <v>7657</v>
      </c>
      <c r="N60" s="17" t="s">
        <v>7945</v>
      </c>
      <c r="O60" s="33"/>
      <c r="P60" s="33"/>
      <c r="Q60" s="33"/>
      <c r="R60" s="33"/>
      <c r="S60" s="33"/>
      <c r="T60" s="33">
        <v>90.17</v>
      </c>
      <c r="U60" s="33"/>
      <c r="V60" s="33"/>
      <c r="W60" s="33"/>
      <c r="X60" s="33"/>
      <c r="Y60" s="33"/>
      <c r="Z60" s="33">
        <v>26.482929000000002</v>
      </c>
      <c r="AA60" s="33"/>
      <c r="AB60" s="33">
        <v>0.96481899999999998</v>
      </c>
      <c r="AC60" s="33"/>
      <c r="AD60" s="33"/>
      <c r="AE60" s="33">
        <v>52.415820999999994</v>
      </c>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v>6.4291210000000003</v>
      </c>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v>3.87731</v>
      </c>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c r="FP60" s="33"/>
      <c r="FQ60" s="33"/>
      <c r="FR60" s="33"/>
      <c r="FS60" s="33"/>
      <c r="FT60" s="33"/>
      <c r="FU60" s="33"/>
      <c r="FV60" s="33"/>
      <c r="FW60" s="33"/>
      <c r="FX60" s="33"/>
      <c r="FY60" s="33"/>
      <c r="FZ60" s="33"/>
      <c r="GA60" s="33"/>
      <c r="GB60" s="33"/>
      <c r="GC60" s="33"/>
      <c r="GD60" s="33"/>
      <c r="GE60" s="33"/>
      <c r="GF60" s="33"/>
      <c r="GG60" s="33"/>
      <c r="GH60" s="33"/>
      <c r="GI60" s="33"/>
      <c r="GJ60" s="33"/>
      <c r="GK60" s="33"/>
      <c r="GL60" s="33"/>
      <c r="GM60" s="33"/>
      <c r="GN60" s="33"/>
      <c r="GO60" s="33"/>
      <c r="GP60" s="33"/>
      <c r="GQ60" s="33"/>
      <c r="GR60" s="33"/>
      <c r="GS60" s="33"/>
      <c r="GT60" s="33"/>
      <c r="GU60" s="33"/>
      <c r="GV60" s="33"/>
      <c r="GW60" s="33"/>
      <c r="GX60" s="33"/>
      <c r="GY60" s="33"/>
      <c r="GZ60" s="33"/>
      <c r="HA60" s="33"/>
      <c r="HB60" s="33"/>
      <c r="HC60" s="33"/>
      <c r="HD60" s="33"/>
      <c r="HE60" s="33"/>
      <c r="HF60" s="33"/>
      <c r="HG60" s="33"/>
      <c r="HH60" s="33"/>
      <c r="HI60" s="33"/>
      <c r="HJ60" s="33"/>
      <c r="HK60" s="33"/>
      <c r="HL60" s="33"/>
      <c r="HM60" s="33"/>
      <c r="HN60" s="33"/>
      <c r="HO60" s="33"/>
      <c r="HP60" s="33"/>
      <c r="HQ60" s="33"/>
      <c r="HR60" s="33"/>
      <c r="HS60" s="33"/>
      <c r="HT60" s="33"/>
      <c r="HU60" s="33"/>
      <c r="HV60" s="33"/>
      <c r="HW60" s="33"/>
      <c r="HX60" s="33"/>
      <c r="HY60" s="33"/>
      <c r="HZ60" s="33"/>
      <c r="IA60" s="33"/>
      <c r="IB60" s="33"/>
      <c r="IC60" s="33"/>
      <c r="ID60" s="33"/>
      <c r="IE60" s="33"/>
      <c r="IF60" s="33"/>
      <c r="IG60" s="33"/>
      <c r="IH60" s="33"/>
      <c r="II60" s="33"/>
      <c r="IJ60" s="33"/>
      <c r="IK60" s="33"/>
      <c r="IL60" s="33"/>
      <c r="IM60" s="33"/>
      <c r="IN60" s="33"/>
      <c r="IO60" s="33"/>
      <c r="IP60" s="33"/>
      <c r="IQ60" s="33"/>
      <c r="IR60" s="33"/>
      <c r="IS60" s="33"/>
      <c r="IT60" s="33"/>
      <c r="IU60" s="33"/>
      <c r="IV60" s="33"/>
      <c r="IW60" s="33"/>
      <c r="IX60" s="33"/>
      <c r="IY60" s="33"/>
      <c r="IZ60" s="33"/>
      <c r="JA60" s="33"/>
      <c r="JB60" s="33"/>
      <c r="JC60" s="33"/>
      <c r="JD60" s="33"/>
      <c r="JE60" s="33"/>
      <c r="JF60" s="33"/>
      <c r="JG60" s="33"/>
      <c r="JH60" s="33"/>
      <c r="JI60" s="33"/>
      <c r="JJ60" s="33"/>
      <c r="JK60" s="33"/>
      <c r="JL60" s="33"/>
      <c r="JM60" s="33"/>
      <c r="JN60" s="33"/>
      <c r="JO60" s="33"/>
      <c r="JP60" s="33"/>
      <c r="JQ60" s="33"/>
      <c r="JR60" s="33"/>
      <c r="KZ60" s="33"/>
      <c r="LA60" s="33"/>
      <c r="LB60" s="33"/>
      <c r="LC60" s="33"/>
      <c r="LD60" s="33"/>
      <c r="LE60" s="33"/>
      <c r="LF60" s="33"/>
      <c r="LG60" s="33"/>
      <c r="LH60" s="33"/>
      <c r="LI60" s="33"/>
      <c r="LJ60" s="33"/>
      <c r="LK60" s="33"/>
      <c r="LL60" s="33"/>
      <c r="LM60" s="33"/>
      <c r="LN60" s="33"/>
      <c r="LO60" s="33"/>
      <c r="LP60" s="44"/>
      <c r="LQ60" s="44"/>
      <c r="LR60" s="44"/>
      <c r="LS60" s="44"/>
      <c r="LT60" s="44"/>
      <c r="LU60" s="44"/>
      <c r="LV60" s="44"/>
    </row>
    <row r="61" spans="1:334" x14ac:dyDescent="0.2">
      <c r="A61" s="1" t="s">
        <v>8119</v>
      </c>
      <c r="D61" s="1" t="s">
        <v>8120</v>
      </c>
      <c r="E61" s="1" t="s">
        <v>8037</v>
      </c>
      <c r="F61" s="1" t="s">
        <v>8110</v>
      </c>
      <c r="H61" s="1" t="s">
        <v>8121</v>
      </c>
      <c r="J61" s="1" t="s">
        <v>8111</v>
      </c>
      <c r="K61" s="1">
        <v>2011</v>
      </c>
      <c r="L61" s="1" t="s">
        <v>8112</v>
      </c>
      <c r="M61" s="1" t="s">
        <v>7657</v>
      </c>
      <c r="N61" s="17" t="s">
        <v>7945</v>
      </c>
      <c r="O61" s="33"/>
      <c r="P61" s="33"/>
      <c r="Q61" s="33"/>
      <c r="R61" s="33"/>
      <c r="S61" s="33"/>
      <c r="T61" s="33">
        <v>90.03</v>
      </c>
      <c r="U61" s="33"/>
      <c r="V61" s="33"/>
      <c r="W61" s="33"/>
      <c r="X61" s="33"/>
      <c r="Y61" s="33"/>
      <c r="Z61" s="33">
        <v>26.351780999999999</v>
      </c>
      <c r="AA61" s="33"/>
      <c r="AB61" s="33">
        <v>1.0101366000000001</v>
      </c>
      <c r="AC61" s="33"/>
      <c r="AD61" s="33"/>
      <c r="AE61" s="33">
        <v>52.640541000000006</v>
      </c>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v>6.1940639999999991</v>
      </c>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v>3.8442810000000001</v>
      </c>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c r="FS61" s="33"/>
      <c r="FT61" s="33"/>
      <c r="FU61" s="33"/>
      <c r="FV61" s="33"/>
      <c r="FW61" s="33"/>
      <c r="FX61" s="33"/>
      <c r="FY61" s="33"/>
      <c r="FZ61" s="33"/>
      <c r="GA61" s="33"/>
      <c r="GB61" s="33"/>
      <c r="GC61" s="33"/>
      <c r="GD61" s="33"/>
      <c r="GE61" s="33"/>
      <c r="GF61" s="33"/>
      <c r="GG61" s="33"/>
      <c r="GH61" s="33"/>
      <c r="GI61" s="33"/>
      <c r="GJ61" s="33"/>
      <c r="GK61" s="33"/>
      <c r="GL61" s="33"/>
      <c r="GM61" s="33"/>
      <c r="GN61" s="33"/>
      <c r="GO61" s="33"/>
      <c r="GP61" s="33"/>
      <c r="GQ61" s="33"/>
      <c r="GR61" s="33"/>
      <c r="GS61" s="33"/>
      <c r="GT61" s="33"/>
      <c r="GU61" s="33"/>
      <c r="GV61" s="33"/>
      <c r="GW61" s="33"/>
      <c r="GX61" s="33"/>
      <c r="GY61" s="33"/>
      <c r="GZ61" s="33"/>
      <c r="HA61" s="33"/>
      <c r="HB61" s="33"/>
      <c r="HC61" s="33"/>
      <c r="HD61" s="33"/>
      <c r="HE61" s="33"/>
      <c r="HF61" s="33"/>
      <c r="HG61" s="33"/>
      <c r="HH61" s="33"/>
      <c r="HI61" s="33"/>
      <c r="HJ61" s="33"/>
      <c r="HK61" s="33"/>
      <c r="HL61" s="33"/>
      <c r="HM61" s="33"/>
      <c r="HN61" s="33"/>
      <c r="HO61" s="33"/>
      <c r="HP61" s="33"/>
      <c r="HQ61" s="33"/>
      <c r="HR61" s="33"/>
      <c r="HS61" s="33"/>
      <c r="HT61" s="33"/>
      <c r="HU61" s="33"/>
      <c r="HV61" s="33"/>
      <c r="HW61" s="33"/>
      <c r="HX61" s="33"/>
      <c r="HY61" s="33"/>
      <c r="HZ61" s="33"/>
      <c r="IA61" s="33"/>
      <c r="IB61" s="33"/>
      <c r="IC61" s="33"/>
      <c r="ID61" s="33"/>
      <c r="IE61" s="33"/>
      <c r="IF61" s="33"/>
      <c r="IG61" s="33"/>
      <c r="IH61" s="33"/>
      <c r="II61" s="33"/>
      <c r="IJ61" s="33"/>
      <c r="IK61" s="33"/>
      <c r="IL61" s="33"/>
      <c r="IM61" s="33"/>
      <c r="IN61" s="33"/>
      <c r="IO61" s="33"/>
      <c r="IP61" s="33"/>
      <c r="IQ61" s="33"/>
      <c r="IR61" s="33"/>
      <c r="IS61" s="33"/>
      <c r="IT61" s="33"/>
      <c r="IU61" s="33"/>
      <c r="IV61" s="33"/>
      <c r="IW61" s="33"/>
      <c r="IX61" s="33"/>
      <c r="IY61" s="33"/>
      <c r="IZ61" s="33"/>
      <c r="JA61" s="33"/>
      <c r="JB61" s="33"/>
      <c r="JC61" s="33"/>
      <c r="JD61" s="33"/>
      <c r="JE61" s="33"/>
      <c r="JF61" s="33"/>
      <c r="JG61" s="33"/>
      <c r="JH61" s="33"/>
      <c r="JI61" s="33"/>
      <c r="JJ61" s="33"/>
      <c r="JK61" s="33"/>
      <c r="JL61" s="33"/>
      <c r="JM61" s="33"/>
      <c r="JN61" s="33"/>
      <c r="JO61" s="33"/>
      <c r="JP61" s="33"/>
      <c r="JQ61" s="33"/>
      <c r="JR61" s="33"/>
      <c r="KZ61" s="33"/>
      <c r="LA61" s="33"/>
      <c r="LB61" s="33"/>
      <c r="LC61" s="33"/>
      <c r="LD61" s="33"/>
      <c r="LE61" s="33"/>
      <c r="LF61" s="33"/>
      <c r="LG61" s="33"/>
      <c r="LH61" s="33"/>
      <c r="LI61" s="33"/>
      <c r="LJ61" s="33"/>
      <c r="LK61" s="33"/>
      <c r="LL61" s="33"/>
      <c r="LM61" s="33"/>
      <c r="LN61" s="33"/>
      <c r="LO61" s="33"/>
      <c r="LP61" s="44"/>
      <c r="LQ61" s="44"/>
      <c r="LR61" s="44"/>
      <c r="LS61" s="44"/>
      <c r="LT61" s="44"/>
      <c r="LU61" s="44"/>
      <c r="LV61" s="44"/>
    </row>
    <row r="62" spans="1:334" x14ac:dyDescent="0.2">
      <c r="A62" s="1" t="s">
        <v>8122</v>
      </c>
      <c r="D62" s="1" t="s">
        <v>8123</v>
      </c>
      <c r="E62" s="1" t="s">
        <v>7</v>
      </c>
      <c r="F62" s="1" t="s">
        <v>688</v>
      </c>
      <c r="H62" s="1" t="s">
        <v>8121</v>
      </c>
      <c r="J62" s="1" t="s">
        <v>8111</v>
      </c>
      <c r="K62" s="1">
        <v>2011</v>
      </c>
      <c r="L62" s="1" t="s">
        <v>8112</v>
      </c>
      <c r="M62" s="1" t="s">
        <v>7657</v>
      </c>
      <c r="N62" s="17" t="s">
        <v>7945</v>
      </c>
      <c r="O62" s="33"/>
      <c r="P62" s="33"/>
      <c r="Q62" s="33"/>
      <c r="R62" s="33"/>
      <c r="S62" s="33"/>
      <c r="T62" s="33">
        <v>92.83</v>
      </c>
      <c r="U62" s="33"/>
      <c r="V62" s="33"/>
      <c r="W62" s="33"/>
      <c r="X62" s="33"/>
      <c r="Y62" s="33"/>
      <c r="Z62" s="33">
        <v>22.028559000000001</v>
      </c>
      <c r="AA62" s="33"/>
      <c r="AB62" s="33">
        <v>3.8338789999999996</v>
      </c>
      <c r="AC62" s="33"/>
      <c r="AD62" s="33"/>
      <c r="AE62" s="33">
        <v>54.973926000000006</v>
      </c>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v>8.6517559999999989</v>
      </c>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v>3.3418800000000006</v>
      </c>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c r="FS62" s="33"/>
      <c r="FT62" s="33"/>
      <c r="FU62" s="33"/>
      <c r="FV62" s="33"/>
      <c r="FW62" s="33"/>
      <c r="FX62" s="33"/>
      <c r="FY62" s="33"/>
      <c r="FZ62" s="33"/>
      <c r="GA62" s="33"/>
      <c r="GB62" s="33"/>
      <c r="GC62" s="33"/>
      <c r="GD62" s="33"/>
      <c r="GE62" s="33"/>
      <c r="GF62" s="33"/>
      <c r="GG62" s="33"/>
      <c r="GH62" s="33"/>
      <c r="GI62" s="33"/>
      <c r="GJ62" s="33"/>
      <c r="GK62" s="33"/>
      <c r="GL62" s="33"/>
      <c r="GM62" s="33"/>
      <c r="GN62" s="33"/>
      <c r="GO62" s="33"/>
      <c r="GP62" s="33"/>
      <c r="GQ62" s="33"/>
      <c r="GR62" s="33"/>
      <c r="GS62" s="33"/>
      <c r="GT62" s="33"/>
      <c r="GU62" s="33"/>
      <c r="GV62" s="33"/>
      <c r="GW62" s="33"/>
      <c r="GX62" s="33"/>
      <c r="GY62" s="33"/>
      <c r="GZ62" s="33"/>
      <c r="HA62" s="33"/>
      <c r="HB62" s="33"/>
      <c r="HC62" s="33"/>
      <c r="HD62" s="33"/>
      <c r="HE62" s="33"/>
      <c r="HF62" s="33"/>
      <c r="HG62" s="33"/>
      <c r="HH62" s="33"/>
      <c r="HI62" s="33"/>
      <c r="HJ62" s="33"/>
      <c r="HK62" s="33"/>
      <c r="HL62" s="33"/>
      <c r="HM62" s="33"/>
      <c r="HN62" s="33"/>
      <c r="HO62" s="33"/>
      <c r="HP62" s="33"/>
      <c r="HQ62" s="33"/>
      <c r="HR62" s="33"/>
      <c r="HS62" s="33"/>
      <c r="HT62" s="33"/>
      <c r="HU62" s="33"/>
      <c r="HV62" s="33"/>
      <c r="HW62" s="33"/>
      <c r="HX62" s="33"/>
      <c r="HY62" s="33"/>
      <c r="HZ62" s="33"/>
      <c r="IA62" s="33"/>
      <c r="IB62" s="33"/>
      <c r="IC62" s="33"/>
      <c r="ID62" s="33"/>
      <c r="IE62" s="33"/>
      <c r="IF62" s="33"/>
      <c r="IG62" s="33"/>
      <c r="IH62" s="33"/>
      <c r="II62" s="33"/>
      <c r="IJ62" s="33"/>
      <c r="IK62" s="33"/>
      <c r="IL62" s="33"/>
      <c r="IM62" s="33"/>
      <c r="IN62" s="33"/>
      <c r="IO62" s="33"/>
      <c r="IP62" s="33"/>
      <c r="IQ62" s="33"/>
      <c r="IR62" s="33"/>
      <c r="IS62" s="33"/>
      <c r="IT62" s="33"/>
      <c r="IU62" s="33"/>
      <c r="IV62" s="33"/>
      <c r="IW62" s="33"/>
      <c r="IX62" s="33"/>
      <c r="IY62" s="33"/>
      <c r="IZ62" s="33"/>
      <c r="JA62" s="33"/>
      <c r="JB62" s="33"/>
      <c r="JC62" s="33"/>
      <c r="JD62" s="33"/>
      <c r="JE62" s="33"/>
      <c r="JF62" s="33"/>
      <c r="JG62" s="33"/>
      <c r="JH62" s="33"/>
      <c r="JI62" s="33"/>
      <c r="JJ62" s="33"/>
      <c r="JK62" s="33"/>
      <c r="JL62" s="33"/>
      <c r="JM62" s="33"/>
      <c r="JN62" s="33"/>
      <c r="JO62" s="33"/>
      <c r="JP62" s="33"/>
      <c r="JQ62" s="33"/>
      <c r="JR62" s="33"/>
      <c r="KZ62" s="33"/>
      <c r="LA62" s="33"/>
      <c r="LB62" s="33"/>
      <c r="LC62" s="33"/>
      <c r="LD62" s="33"/>
      <c r="LE62" s="33"/>
      <c r="LF62" s="33"/>
      <c r="LG62" s="33"/>
      <c r="LH62" s="33"/>
      <c r="LI62" s="33"/>
      <c r="LJ62" s="33"/>
      <c r="LK62" s="33"/>
      <c r="LL62" s="33"/>
      <c r="LM62" s="33"/>
      <c r="LN62" s="33"/>
      <c r="LO62" s="33"/>
      <c r="LP62" s="44"/>
      <c r="LQ62" s="44"/>
      <c r="LR62" s="44"/>
      <c r="LS62" s="44"/>
      <c r="LT62" s="44"/>
      <c r="LU62" s="44"/>
      <c r="LV62" s="44"/>
    </row>
    <row r="63" spans="1:334" x14ac:dyDescent="0.2">
      <c r="A63" s="1" t="s">
        <v>8124</v>
      </c>
      <c r="D63" s="1" t="s">
        <v>8125</v>
      </c>
      <c r="E63" s="1" t="s">
        <v>8037</v>
      </c>
      <c r="F63" s="1" t="s">
        <v>688</v>
      </c>
      <c r="H63" s="1" t="s">
        <v>8115</v>
      </c>
      <c r="J63" s="1" t="s">
        <v>8111</v>
      </c>
      <c r="K63" s="1">
        <v>2011</v>
      </c>
      <c r="L63" s="1" t="s">
        <v>8112</v>
      </c>
      <c r="M63" s="1" t="s">
        <v>7657</v>
      </c>
      <c r="N63" s="17" t="s">
        <v>7945</v>
      </c>
      <c r="O63" s="33"/>
      <c r="P63" s="33"/>
      <c r="Q63" s="33"/>
      <c r="R63" s="33"/>
      <c r="S63" s="33"/>
      <c r="T63" s="33">
        <v>90</v>
      </c>
      <c r="U63" s="33"/>
      <c r="V63" s="33"/>
      <c r="W63" s="33"/>
      <c r="X63" s="33"/>
      <c r="Y63" s="33"/>
      <c r="Z63" s="33">
        <v>21.087</v>
      </c>
      <c r="AA63" s="33"/>
      <c r="AB63" s="33">
        <v>3.5100000000000002</v>
      </c>
      <c r="AC63" s="33"/>
      <c r="AD63" s="33"/>
      <c r="AE63" s="33">
        <v>53.946000000000005</v>
      </c>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v>8.2530000000000001</v>
      </c>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v>3.2039999999999997</v>
      </c>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c r="FS63" s="33"/>
      <c r="FT63" s="33"/>
      <c r="FU63" s="33"/>
      <c r="FV63" s="33"/>
      <c r="FW63" s="33"/>
      <c r="FX63" s="33"/>
      <c r="FY63" s="33"/>
      <c r="FZ63" s="33"/>
      <c r="GA63" s="33"/>
      <c r="GB63" s="33"/>
      <c r="GC63" s="33"/>
      <c r="GD63" s="33"/>
      <c r="GE63" s="33"/>
      <c r="GF63" s="33"/>
      <c r="GG63" s="33"/>
      <c r="GH63" s="33"/>
      <c r="GI63" s="33"/>
      <c r="GJ63" s="33"/>
      <c r="GK63" s="33"/>
      <c r="GL63" s="33"/>
      <c r="GM63" s="33"/>
      <c r="GN63" s="33"/>
      <c r="GO63" s="33"/>
      <c r="GP63" s="33"/>
      <c r="GQ63" s="33"/>
      <c r="GR63" s="33"/>
      <c r="GS63" s="33"/>
      <c r="GT63" s="33"/>
      <c r="GU63" s="33"/>
      <c r="GV63" s="33"/>
      <c r="GW63" s="33"/>
      <c r="GX63" s="33"/>
      <c r="GY63" s="33"/>
      <c r="GZ63" s="33"/>
      <c r="HA63" s="33"/>
      <c r="HB63" s="33"/>
      <c r="HC63" s="33"/>
      <c r="HD63" s="33"/>
      <c r="HE63" s="33"/>
      <c r="HF63" s="33"/>
      <c r="HG63" s="33"/>
      <c r="HH63" s="33"/>
      <c r="HI63" s="33"/>
      <c r="HJ63" s="33"/>
      <c r="HK63" s="33"/>
      <c r="HL63" s="33"/>
      <c r="HM63" s="33"/>
      <c r="HN63" s="33"/>
      <c r="HO63" s="33"/>
      <c r="HP63" s="33"/>
      <c r="HQ63" s="33"/>
      <c r="HR63" s="33"/>
      <c r="HS63" s="33"/>
      <c r="HT63" s="33"/>
      <c r="HU63" s="33"/>
      <c r="HV63" s="33"/>
      <c r="HW63" s="33"/>
      <c r="HX63" s="33"/>
      <c r="HY63" s="33"/>
      <c r="HZ63" s="33"/>
      <c r="IA63" s="33"/>
      <c r="IB63" s="33"/>
      <c r="IC63" s="33"/>
      <c r="ID63" s="33"/>
      <c r="IE63" s="33"/>
      <c r="IF63" s="33"/>
      <c r="IG63" s="33"/>
      <c r="IH63" s="33"/>
      <c r="II63" s="33"/>
      <c r="IJ63" s="33"/>
      <c r="IK63" s="33"/>
      <c r="IL63" s="33"/>
      <c r="IM63" s="33"/>
      <c r="IN63" s="33"/>
      <c r="IO63" s="33"/>
      <c r="IP63" s="33"/>
      <c r="IQ63" s="33"/>
      <c r="IR63" s="33"/>
      <c r="IS63" s="33"/>
      <c r="IT63" s="33"/>
      <c r="IU63" s="33"/>
      <c r="IV63" s="33"/>
      <c r="IW63" s="33"/>
      <c r="IX63" s="33"/>
      <c r="IY63" s="33"/>
      <c r="IZ63" s="33"/>
      <c r="JA63" s="33"/>
      <c r="JB63" s="33"/>
      <c r="JC63" s="33"/>
      <c r="JD63" s="33"/>
      <c r="JE63" s="33"/>
      <c r="JF63" s="33"/>
      <c r="JG63" s="33"/>
      <c r="JH63" s="33"/>
      <c r="JI63" s="33"/>
      <c r="JJ63" s="33"/>
      <c r="JK63" s="33"/>
      <c r="JL63" s="33"/>
      <c r="JM63" s="33"/>
      <c r="JN63" s="33"/>
      <c r="JO63" s="33"/>
      <c r="JP63" s="33"/>
      <c r="JQ63" s="33"/>
      <c r="JR63" s="33"/>
      <c r="KZ63" s="33"/>
      <c r="LA63" s="33"/>
      <c r="LB63" s="33"/>
      <c r="LC63" s="33"/>
      <c r="LD63" s="33"/>
      <c r="LE63" s="33"/>
      <c r="LF63" s="33"/>
      <c r="LG63" s="33"/>
      <c r="LH63" s="33"/>
      <c r="LI63" s="33"/>
      <c r="LJ63" s="33"/>
      <c r="LK63" s="33"/>
      <c r="LL63" s="33"/>
      <c r="LM63" s="33"/>
      <c r="LN63" s="33"/>
      <c r="LO63" s="33"/>
      <c r="LP63" s="44"/>
      <c r="LQ63" s="44"/>
      <c r="LR63" s="44"/>
      <c r="LS63" s="44"/>
      <c r="LT63" s="44"/>
      <c r="LU63" s="44"/>
      <c r="LV63" s="44"/>
    </row>
    <row r="64" spans="1:334" x14ac:dyDescent="0.2">
      <c r="A64" s="1" t="s">
        <v>8126</v>
      </c>
      <c r="D64" s="1" t="s">
        <v>8127</v>
      </c>
      <c r="E64" s="1" t="s">
        <v>8037</v>
      </c>
      <c r="F64" s="1" t="s">
        <v>688</v>
      </c>
      <c r="H64" s="1" t="s">
        <v>8118</v>
      </c>
      <c r="J64" s="1" t="s">
        <v>8111</v>
      </c>
      <c r="K64" s="1">
        <v>2011</v>
      </c>
      <c r="L64" s="1" t="s">
        <v>8112</v>
      </c>
      <c r="M64" s="1" t="s">
        <v>7657</v>
      </c>
      <c r="N64" s="17" t="s">
        <v>7945</v>
      </c>
      <c r="O64" s="33"/>
      <c r="P64" s="33"/>
      <c r="Q64" s="33"/>
      <c r="R64" s="33"/>
      <c r="S64" s="33"/>
      <c r="T64" s="33">
        <v>90</v>
      </c>
      <c r="U64" s="33"/>
      <c r="V64" s="33"/>
      <c r="W64" s="33"/>
      <c r="X64" s="33"/>
      <c r="Y64" s="33"/>
      <c r="Z64" s="33">
        <v>23.733000000000001</v>
      </c>
      <c r="AA64" s="33"/>
      <c r="AB64" s="33">
        <v>2.5469999999999997</v>
      </c>
      <c r="AC64" s="33"/>
      <c r="AD64" s="33"/>
      <c r="AE64" s="33">
        <v>50.868000000000009</v>
      </c>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v>9.657</v>
      </c>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v>3.1859999999999999</v>
      </c>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c r="FS64" s="33"/>
      <c r="FT64" s="33"/>
      <c r="FU64" s="33"/>
      <c r="FV64" s="33"/>
      <c r="FW64" s="33"/>
      <c r="FX64" s="33"/>
      <c r="FY64" s="33"/>
      <c r="FZ64" s="33"/>
      <c r="GA64" s="33"/>
      <c r="GB64" s="33"/>
      <c r="GC64" s="33"/>
      <c r="GD64" s="33"/>
      <c r="GE64" s="33"/>
      <c r="GF64" s="33"/>
      <c r="GG64" s="33"/>
      <c r="GH64" s="33"/>
      <c r="GI64" s="33"/>
      <c r="GJ64" s="33"/>
      <c r="GK64" s="33"/>
      <c r="GL64" s="33"/>
      <c r="GM64" s="33"/>
      <c r="GN64" s="33"/>
      <c r="GO64" s="33"/>
      <c r="GP64" s="33"/>
      <c r="GQ64" s="33"/>
      <c r="GR64" s="33"/>
      <c r="GS64" s="33"/>
      <c r="GT64" s="33"/>
      <c r="GU64" s="33"/>
      <c r="GV64" s="33"/>
      <c r="GW64" s="33"/>
      <c r="GX64" s="33"/>
      <c r="GY64" s="33"/>
      <c r="GZ64" s="33"/>
      <c r="HA64" s="33"/>
      <c r="HB64" s="33"/>
      <c r="HC64" s="33"/>
      <c r="HD64" s="33"/>
      <c r="HE64" s="33"/>
      <c r="HF64" s="33"/>
      <c r="HG64" s="33"/>
      <c r="HH64" s="33"/>
      <c r="HI64" s="33"/>
      <c r="HJ64" s="33"/>
      <c r="HK64" s="33"/>
      <c r="HL64" s="33"/>
      <c r="HM64" s="33"/>
      <c r="HN64" s="33"/>
      <c r="HO64" s="33"/>
      <c r="HP64" s="33"/>
      <c r="HQ64" s="33"/>
      <c r="HR64" s="33"/>
      <c r="HS64" s="33"/>
      <c r="HT64" s="33"/>
      <c r="HU64" s="33"/>
      <c r="HV64" s="33"/>
      <c r="HW64" s="33"/>
      <c r="HX64" s="33"/>
      <c r="HY64" s="33"/>
      <c r="HZ64" s="33"/>
      <c r="IA64" s="33"/>
      <c r="IB64" s="33"/>
      <c r="IC64" s="33"/>
      <c r="ID64" s="33"/>
      <c r="IE64" s="33"/>
      <c r="IF64" s="33"/>
      <c r="IG64" s="33"/>
      <c r="IH64" s="33"/>
      <c r="II64" s="33"/>
      <c r="IJ64" s="33"/>
      <c r="IK64" s="33"/>
      <c r="IL64" s="33"/>
      <c r="IM64" s="33"/>
      <c r="IN64" s="33"/>
      <c r="IO64" s="33"/>
      <c r="IP64" s="33"/>
      <c r="IQ64" s="33"/>
      <c r="IR64" s="33"/>
      <c r="IS64" s="33"/>
      <c r="IT64" s="33"/>
      <c r="IU64" s="33"/>
      <c r="IV64" s="33"/>
      <c r="IW64" s="33"/>
      <c r="IX64" s="33"/>
      <c r="IY64" s="33"/>
      <c r="IZ64" s="33"/>
      <c r="JA64" s="33"/>
      <c r="JB64" s="33"/>
      <c r="JC64" s="33"/>
      <c r="JD64" s="33"/>
      <c r="JE64" s="33"/>
      <c r="JF64" s="33"/>
      <c r="JG64" s="33"/>
      <c r="JH64" s="33"/>
      <c r="JI64" s="33"/>
      <c r="JJ64" s="33"/>
      <c r="JK64" s="33"/>
      <c r="JL64" s="33"/>
      <c r="JM64" s="33"/>
      <c r="JN64" s="33"/>
      <c r="JO64" s="33"/>
      <c r="JP64" s="33"/>
      <c r="JQ64" s="33"/>
      <c r="JR64" s="33"/>
      <c r="KZ64" s="33"/>
      <c r="LA64" s="33"/>
      <c r="LB64" s="33"/>
      <c r="LC64" s="33"/>
      <c r="LD64" s="33"/>
      <c r="LE64" s="33"/>
      <c r="LF64" s="33"/>
      <c r="LG64" s="33"/>
      <c r="LH64" s="33"/>
      <c r="LI64" s="33"/>
      <c r="LJ64" s="33"/>
      <c r="LK64" s="33"/>
      <c r="LL64" s="33"/>
      <c r="LM64" s="33"/>
      <c r="LN64" s="33"/>
      <c r="LO64" s="33"/>
      <c r="LP64" s="44"/>
      <c r="LQ64" s="44"/>
      <c r="LR64" s="44"/>
      <c r="LS64" s="44"/>
      <c r="LT64" s="44"/>
      <c r="LU64" s="44"/>
      <c r="LV64" s="44"/>
    </row>
    <row r="65" spans="1:334" x14ac:dyDescent="0.2">
      <c r="A65" s="1" t="s">
        <v>8128</v>
      </c>
      <c r="D65" s="1" t="s">
        <v>8129</v>
      </c>
      <c r="E65" s="1" t="s">
        <v>8037</v>
      </c>
      <c r="F65" s="1" t="s">
        <v>688</v>
      </c>
      <c r="H65" s="1" t="s">
        <v>8121</v>
      </c>
      <c r="J65" s="1" t="s">
        <v>8111</v>
      </c>
      <c r="K65" s="1">
        <v>2011</v>
      </c>
      <c r="L65" s="1" t="s">
        <v>8112</v>
      </c>
      <c r="M65" s="1" t="s">
        <v>7657</v>
      </c>
      <c r="N65" s="17" t="s">
        <v>7945</v>
      </c>
      <c r="O65" s="33"/>
      <c r="P65" s="33"/>
      <c r="Q65" s="33"/>
      <c r="R65" s="33"/>
      <c r="S65" s="33"/>
      <c r="T65" s="33">
        <v>89.77000000000001</v>
      </c>
      <c r="U65" s="33"/>
      <c r="V65" s="33"/>
      <c r="W65" s="33"/>
      <c r="X65" s="33"/>
      <c r="Y65" s="33"/>
      <c r="Z65" s="33">
        <v>23.699280000000002</v>
      </c>
      <c r="AA65" s="33"/>
      <c r="AB65" s="33">
        <v>2.3968590000000001</v>
      </c>
      <c r="AC65" s="33"/>
      <c r="AD65" s="33"/>
      <c r="AE65" s="33">
        <v>50.872659000000006</v>
      </c>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v>9.632321000000001</v>
      </c>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v>3.1688810000000003</v>
      </c>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c r="FP65" s="33"/>
      <c r="FQ65" s="33"/>
      <c r="FR65" s="33"/>
      <c r="FS65" s="33"/>
      <c r="FT65" s="33"/>
      <c r="FU65" s="33"/>
      <c r="FV65" s="33"/>
      <c r="FW65" s="33"/>
      <c r="FX65" s="33"/>
      <c r="FY65" s="33"/>
      <c r="FZ65" s="33"/>
      <c r="GA65" s="33"/>
      <c r="GB65" s="33"/>
      <c r="GC65" s="33"/>
      <c r="GD65" s="33"/>
      <c r="GE65" s="33"/>
      <c r="GF65" s="33"/>
      <c r="GG65" s="33"/>
      <c r="GH65" s="33"/>
      <c r="GI65" s="33"/>
      <c r="GJ65" s="33"/>
      <c r="GK65" s="33"/>
      <c r="GL65" s="33"/>
      <c r="GM65" s="33"/>
      <c r="GN65" s="33"/>
      <c r="GO65" s="33"/>
      <c r="GP65" s="33"/>
      <c r="GQ65" s="33"/>
      <c r="GR65" s="33"/>
      <c r="GS65" s="33"/>
      <c r="GT65" s="33"/>
      <c r="GU65" s="33"/>
      <c r="GV65" s="33"/>
      <c r="GW65" s="33"/>
      <c r="GX65" s="33"/>
      <c r="GY65" s="33"/>
      <c r="GZ65" s="33"/>
      <c r="HA65" s="33"/>
      <c r="HB65" s="33"/>
      <c r="HC65" s="33"/>
      <c r="HD65" s="33"/>
      <c r="HE65" s="33"/>
      <c r="HF65" s="33"/>
      <c r="HG65" s="33"/>
      <c r="HH65" s="33"/>
      <c r="HI65" s="33"/>
      <c r="HJ65" s="33"/>
      <c r="HK65" s="33"/>
      <c r="HL65" s="33"/>
      <c r="HM65" s="33"/>
      <c r="HN65" s="33"/>
      <c r="HO65" s="33"/>
      <c r="HP65" s="33"/>
      <c r="HQ65" s="33"/>
      <c r="HR65" s="33"/>
      <c r="HS65" s="33"/>
      <c r="HT65" s="33"/>
      <c r="HU65" s="33"/>
      <c r="HV65" s="33"/>
      <c r="HW65" s="33"/>
      <c r="HX65" s="33"/>
      <c r="HY65" s="33"/>
      <c r="HZ65" s="33"/>
      <c r="IA65" s="33"/>
      <c r="IB65" s="33"/>
      <c r="IC65" s="33"/>
      <c r="ID65" s="33"/>
      <c r="IE65" s="33"/>
      <c r="IF65" s="33"/>
      <c r="IG65" s="33"/>
      <c r="IH65" s="33"/>
      <c r="II65" s="33"/>
      <c r="IJ65" s="33"/>
      <c r="IK65" s="33"/>
      <c r="IL65" s="33"/>
      <c r="IM65" s="33"/>
      <c r="IN65" s="33"/>
      <c r="IO65" s="33"/>
      <c r="IP65" s="33"/>
      <c r="IQ65" s="33"/>
      <c r="IR65" s="33"/>
      <c r="IS65" s="33"/>
      <c r="IT65" s="33"/>
      <c r="IU65" s="33"/>
      <c r="IV65" s="33"/>
      <c r="IW65" s="33"/>
      <c r="IX65" s="33"/>
      <c r="IY65" s="33"/>
      <c r="IZ65" s="33"/>
      <c r="JA65" s="33"/>
      <c r="JB65" s="33"/>
      <c r="JC65" s="33"/>
      <c r="JD65" s="33"/>
      <c r="JE65" s="33"/>
      <c r="JF65" s="33"/>
      <c r="JG65" s="33"/>
      <c r="JH65" s="33"/>
      <c r="JI65" s="33"/>
      <c r="JJ65" s="33"/>
      <c r="JK65" s="33"/>
      <c r="JL65" s="33"/>
      <c r="JM65" s="33"/>
      <c r="JN65" s="33"/>
      <c r="JO65" s="33"/>
      <c r="JP65" s="33"/>
      <c r="JQ65" s="33"/>
      <c r="JR65" s="33"/>
      <c r="KZ65" s="33"/>
      <c r="LA65" s="33"/>
      <c r="LB65" s="33"/>
      <c r="LC65" s="33"/>
      <c r="LD65" s="33"/>
      <c r="LE65" s="33"/>
      <c r="LF65" s="33"/>
      <c r="LG65" s="33"/>
      <c r="LH65" s="33"/>
      <c r="LI65" s="33"/>
      <c r="LJ65" s="33"/>
      <c r="LK65" s="33"/>
      <c r="LL65" s="33"/>
      <c r="LM65" s="33"/>
      <c r="LN65" s="33"/>
      <c r="LO65" s="33"/>
      <c r="LP65" s="44"/>
      <c r="LQ65" s="44"/>
      <c r="LR65" s="44"/>
      <c r="LS65" s="44"/>
      <c r="LT65" s="44"/>
      <c r="LU65" s="44"/>
      <c r="LV65" s="44"/>
    </row>
    <row r="66" spans="1:334" x14ac:dyDescent="0.2">
      <c r="A66" s="1" t="s">
        <v>8130</v>
      </c>
      <c r="D66" s="1" t="s">
        <v>8131</v>
      </c>
      <c r="E66" s="1" t="s">
        <v>7</v>
      </c>
      <c r="F66" s="1" t="s">
        <v>8132</v>
      </c>
      <c r="J66" s="1" t="s">
        <v>8111</v>
      </c>
      <c r="K66" s="1">
        <v>2011</v>
      </c>
      <c r="L66" s="1" t="s">
        <v>8112</v>
      </c>
      <c r="M66" s="1" t="s">
        <v>7657</v>
      </c>
      <c r="N66" s="17" t="s">
        <v>7945</v>
      </c>
      <c r="O66" s="33"/>
      <c r="P66" s="33"/>
      <c r="Q66" s="33"/>
      <c r="R66" s="33"/>
      <c r="S66" s="33"/>
      <c r="T66" s="33">
        <v>92.97</v>
      </c>
      <c r="U66" s="33"/>
      <c r="V66" s="33"/>
      <c r="W66" s="33"/>
      <c r="X66" s="33"/>
      <c r="Y66" s="33"/>
      <c r="Z66" s="33">
        <v>24.795099</v>
      </c>
      <c r="AA66" s="33"/>
      <c r="AB66" s="33">
        <v>1.5154110000000001</v>
      </c>
      <c r="AC66" s="33"/>
      <c r="AD66" s="33"/>
      <c r="AE66" s="33">
        <v>58.292190000000005</v>
      </c>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v>4.7879550000000002</v>
      </c>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v>3.5700479999999999</v>
      </c>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c r="FS66" s="33"/>
      <c r="FT66" s="33"/>
      <c r="FU66" s="33"/>
      <c r="FV66" s="33"/>
      <c r="FW66" s="33"/>
      <c r="FX66" s="33"/>
      <c r="FY66" s="33"/>
      <c r="FZ66" s="33"/>
      <c r="GA66" s="33"/>
      <c r="GB66" s="33"/>
      <c r="GC66" s="33"/>
      <c r="GD66" s="33"/>
      <c r="GE66" s="33"/>
      <c r="GF66" s="33"/>
      <c r="GG66" s="33"/>
      <c r="GH66" s="33"/>
      <c r="GI66" s="33"/>
      <c r="GJ66" s="33"/>
      <c r="GK66" s="33"/>
      <c r="GL66" s="33"/>
      <c r="GM66" s="33"/>
      <c r="GN66" s="33"/>
      <c r="GO66" s="33"/>
      <c r="GP66" s="33"/>
      <c r="GQ66" s="33"/>
      <c r="GR66" s="33"/>
      <c r="GS66" s="33"/>
      <c r="GT66" s="33"/>
      <c r="GU66" s="33"/>
      <c r="GV66" s="33"/>
      <c r="GW66" s="33"/>
      <c r="GX66" s="33"/>
      <c r="GY66" s="33"/>
      <c r="GZ66" s="33"/>
      <c r="HA66" s="33"/>
      <c r="HB66" s="33"/>
      <c r="HC66" s="33"/>
      <c r="HD66" s="33"/>
      <c r="HE66" s="33"/>
      <c r="HF66" s="33"/>
      <c r="HG66" s="33"/>
      <c r="HH66" s="33"/>
      <c r="HI66" s="33"/>
      <c r="HJ66" s="33"/>
      <c r="HK66" s="33"/>
      <c r="HL66" s="33"/>
      <c r="HM66" s="33"/>
      <c r="HN66" s="33"/>
      <c r="HO66" s="33"/>
      <c r="HP66" s="33"/>
      <c r="HQ66" s="33"/>
      <c r="HR66" s="33"/>
      <c r="HS66" s="33"/>
      <c r="HT66" s="33"/>
      <c r="HU66" s="33"/>
      <c r="HV66" s="33"/>
      <c r="HW66" s="33"/>
      <c r="HX66" s="33"/>
      <c r="HY66" s="33"/>
      <c r="HZ66" s="33"/>
      <c r="IA66" s="33"/>
      <c r="IB66" s="33"/>
      <c r="IC66" s="33"/>
      <c r="ID66" s="33"/>
      <c r="IE66" s="33"/>
      <c r="IF66" s="33"/>
      <c r="IG66" s="33"/>
      <c r="IH66" s="33"/>
      <c r="II66" s="33"/>
      <c r="IJ66" s="33"/>
      <c r="IK66" s="33"/>
      <c r="IL66" s="33"/>
      <c r="IM66" s="33"/>
      <c r="IN66" s="33"/>
      <c r="IO66" s="33"/>
      <c r="IP66" s="33"/>
      <c r="IQ66" s="33"/>
      <c r="IR66" s="33"/>
      <c r="IS66" s="33"/>
      <c r="IT66" s="33"/>
      <c r="IU66" s="33"/>
      <c r="IV66" s="33"/>
      <c r="IW66" s="33"/>
      <c r="IX66" s="33"/>
      <c r="IY66" s="33"/>
      <c r="IZ66" s="33"/>
      <c r="JA66" s="33"/>
      <c r="JB66" s="33"/>
      <c r="JC66" s="33"/>
      <c r="JD66" s="33"/>
      <c r="JE66" s="33"/>
      <c r="JF66" s="33"/>
      <c r="JG66" s="33"/>
      <c r="JH66" s="33"/>
      <c r="JI66" s="33"/>
      <c r="JJ66" s="33"/>
      <c r="JK66" s="33"/>
      <c r="JL66" s="33"/>
      <c r="JM66" s="33"/>
      <c r="JN66" s="33"/>
      <c r="JO66" s="33"/>
      <c r="JP66" s="33"/>
      <c r="JQ66" s="33"/>
      <c r="JR66" s="33"/>
      <c r="KZ66" s="33"/>
      <c r="LA66" s="33"/>
      <c r="LB66" s="33"/>
      <c r="LC66" s="33"/>
      <c r="LD66" s="33"/>
      <c r="LE66" s="33"/>
      <c r="LF66" s="33"/>
      <c r="LG66" s="33"/>
      <c r="LH66" s="33"/>
      <c r="LI66" s="33"/>
      <c r="LJ66" s="33"/>
      <c r="LK66" s="33"/>
      <c r="LL66" s="33"/>
      <c r="LM66" s="33"/>
      <c r="LN66" s="33"/>
      <c r="LO66" s="33"/>
      <c r="LP66" s="44"/>
      <c r="LQ66" s="44"/>
      <c r="LR66" s="44"/>
      <c r="LS66" s="44"/>
      <c r="LT66" s="44"/>
      <c r="LU66" s="44"/>
      <c r="LV66" s="44"/>
    </row>
    <row r="67" spans="1:334" x14ac:dyDescent="0.2">
      <c r="A67" s="1" t="s">
        <v>8133</v>
      </c>
      <c r="D67" s="1" t="s">
        <v>8134</v>
      </c>
      <c r="E67" s="1" t="s">
        <v>8037</v>
      </c>
      <c r="F67" s="1" t="s">
        <v>8132</v>
      </c>
      <c r="H67" s="1" t="s">
        <v>8115</v>
      </c>
      <c r="J67" s="1" t="s">
        <v>8111</v>
      </c>
      <c r="K67" s="1">
        <v>2011</v>
      </c>
      <c r="L67" s="1" t="s">
        <v>8112</v>
      </c>
      <c r="M67" s="1" t="s">
        <v>7657</v>
      </c>
      <c r="N67" s="17" t="s">
        <v>7945</v>
      </c>
      <c r="O67" s="33"/>
      <c r="P67" s="33"/>
      <c r="Q67" s="33"/>
      <c r="R67" s="33"/>
      <c r="S67" s="33"/>
      <c r="T67" s="33">
        <v>90.13</v>
      </c>
      <c r="U67" s="33"/>
      <c r="V67" s="33"/>
      <c r="W67" s="33"/>
      <c r="X67" s="33"/>
      <c r="Y67" s="33"/>
      <c r="Z67" s="33">
        <v>23.857410999999995</v>
      </c>
      <c r="AA67" s="33"/>
      <c r="AB67" s="33">
        <v>1.1356379999999999</v>
      </c>
      <c r="AC67" s="33"/>
      <c r="AD67" s="33"/>
      <c r="AE67" s="33">
        <v>57.160446</v>
      </c>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v>4.7678769999999995</v>
      </c>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v>3.208628</v>
      </c>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c r="FS67" s="33"/>
      <c r="FT67" s="33"/>
      <c r="FU67" s="33"/>
      <c r="FV67" s="33"/>
      <c r="FW67" s="33"/>
      <c r="FX67" s="33"/>
      <c r="FY67" s="33"/>
      <c r="FZ67" s="33"/>
      <c r="GA67" s="33"/>
      <c r="GB67" s="33"/>
      <c r="GC67" s="33"/>
      <c r="GD67" s="33"/>
      <c r="GE67" s="33"/>
      <c r="GF67" s="33"/>
      <c r="GG67" s="33"/>
      <c r="GH67" s="33"/>
      <c r="GI67" s="33"/>
      <c r="GJ67" s="33"/>
      <c r="GK67" s="33"/>
      <c r="GL67" s="33"/>
      <c r="GM67" s="33"/>
      <c r="GN67" s="33"/>
      <c r="GO67" s="33"/>
      <c r="GP67" s="33"/>
      <c r="GQ67" s="33"/>
      <c r="GR67" s="33"/>
      <c r="GS67" s="33"/>
      <c r="GT67" s="33"/>
      <c r="GU67" s="33"/>
      <c r="GV67" s="33"/>
      <c r="GW67" s="33"/>
      <c r="GX67" s="33"/>
      <c r="GY67" s="33"/>
      <c r="GZ67" s="33"/>
      <c r="HA67" s="33"/>
      <c r="HB67" s="33"/>
      <c r="HC67" s="33"/>
      <c r="HD67" s="33"/>
      <c r="HE67" s="33"/>
      <c r="HF67" s="33"/>
      <c r="HG67" s="33"/>
      <c r="HH67" s="33"/>
      <c r="HI67" s="33"/>
      <c r="HJ67" s="33"/>
      <c r="HK67" s="33"/>
      <c r="HL67" s="33"/>
      <c r="HM67" s="33"/>
      <c r="HN67" s="33"/>
      <c r="HO67" s="33"/>
      <c r="HP67" s="33"/>
      <c r="HQ67" s="33"/>
      <c r="HR67" s="33"/>
      <c r="HS67" s="33"/>
      <c r="HT67" s="33"/>
      <c r="HU67" s="33"/>
      <c r="HV67" s="33"/>
      <c r="HW67" s="33"/>
      <c r="HX67" s="33"/>
      <c r="HY67" s="33"/>
      <c r="HZ67" s="33"/>
      <c r="IA67" s="33"/>
      <c r="IB67" s="33"/>
      <c r="IC67" s="33"/>
      <c r="ID67" s="33"/>
      <c r="IE67" s="33"/>
      <c r="IF67" s="33"/>
      <c r="IG67" s="33"/>
      <c r="IH67" s="33"/>
      <c r="II67" s="33"/>
      <c r="IJ67" s="33"/>
      <c r="IK67" s="33"/>
      <c r="IL67" s="33"/>
      <c r="IM67" s="33"/>
      <c r="IN67" s="33"/>
      <c r="IO67" s="33"/>
      <c r="IP67" s="33"/>
      <c r="IQ67" s="33"/>
      <c r="IR67" s="33"/>
      <c r="IS67" s="33"/>
      <c r="IT67" s="33"/>
      <c r="IU67" s="33"/>
      <c r="IV67" s="33"/>
      <c r="IW67" s="33"/>
      <c r="IX67" s="33"/>
      <c r="IY67" s="33"/>
      <c r="IZ67" s="33"/>
      <c r="JA67" s="33"/>
      <c r="JB67" s="33"/>
      <c r="JC67" s="33"/>
      <c r="JD67" s="33"/>
      <c r="JE67" s="33"/>
      <c r="JF67" s="33"/>
      <c r="JG67" s="33"/>
      <c r="JH67" s="33"/>
      <c r="JI67" s="33"/>
      <c r="JJ67" s="33"/>
      <c r="JK67" s="33"/>
      <c r="JL67" s="33"/>
      <c r="JM67" s="33"/>
      <c r="JN67" s="33"/>
      <c r="JO67" s="33"/>
      <c r="JP67" s="33"/>
      <c r="JQ67" s="33"/>
      <c r="JR67" s="33"/>
      <c r="KZ67" s="33"/>
      <c r="LA67" s="33"/>
      <c r="LB67" s="33"/>
      <c r="LC67" s="33"/>
      <c r="LD67" s="33"/>
      <c r="LE67" s="33"/>
      <c r="LF67" s="33"/>
      <c r="LG67" s="33"/>
      <c r="LH67" s="33"/>
      <c r="LI67" s="33"/>
      <c r="LJ67" s="33"/>
      <c r="LK67" s="33"/>
      <c r="LL67" s="33"/>
      <c r="LM67" s="33"/>
      <c r="LN67" s="33"/>
      <c r="LO67" s="33"/>
      <c r="LP67" s="44"/>
      <c r="LQ67" s="44"/>
      <c r="LR67" s="44"/>
      <c r="LS67" s="44"/>
      <c r="LT67" s="44"/>
      <c r="LU67" s="44"/>
      <c r="LV67" s="44"/>
    </row>
    <row r="68" spans="1:334" x14ac:dyDescent="0.2">
      <c r="A68" s="1" t="s">
        <v>8135</v>
      </c>
      <c r="D68" s="1" t="s">
        <v>8136</v>
      </c>
      <c r="E68" s="1" t="s">
        <v>8037</v>
      </c>
      <c r="F68" s="1" t="s">
        <v>8132</v>
      </c>
      <c r="H68" s="1" t="s">
        <v>8118</v>
      </c>
      <c r="J68" s="1" t="s">
        <v>8111</v>
      </c>
      <c r="K68" s="1">
        <v>2011</v>
      </c>
      <c r="L68" s="1" t="s">
        <v>8112</v>
      </c>
      <c r="M68" s="1" t="s">
        <v>7657</v>
      </c>
      <c r="N68" s="17" t="s">
        <v>7945</v>
      </c>
      <c r="O68" s="33"/>
      <c r="P68" s="33"/>
      <c r="Q68" s="33"/>
      <c r="R68" s="33"/>
      <c r="S68" s="33"/>
      <c r="T68" s="33">
        <v>89.929999999999993</v>
      </c>
      <c r="U68" s="33"/>
      <c r="V68" s="33"/>
      <c r="W68" s="33"/>
      <c r="X68" s="33"/>
      <c r="Y68" s="33"/>
      <c r="Z68" s="33">
        <v>26.196609000000002</v>
      </c>
      <c r="AA68" s="33"/>
      <c r="AB68" s="33">
        <v>0.96225099999999986</v>
      </c>
      <c r="AC68" s="33"/>
      <c r="AD68" s="33"/>
      <c r="AE68" s="33">
        <v>53.823104999999998</v>
      </c>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v>5.7555199999999989</v>
      </c>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v>3.1835219999999995</v>
      </c>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c r="FS68" s="33"/>
      <c r="FT68" s="33"/>
      <c r="FU68" s="33"/>
      <c r="FV68" s="33"/>
      <c r="FW68" s="33"/>
      <c r="FX68" s="33"/>
      <c r="FY68" s="33"/>
      <c r="FZ68" s="33"/>
      <c r="GA68" s="33"/>
      <c r="GB68" s="33"/>
      <c r="GC68" s="33"/>
      <c r="GD68" s="33"/>
      <c r="GE68" s="33"/>
      <c r="GF68" s="33"/>
      <c r="GG68" s="33"/>
      <c r="GH68" s="33"/>
      <c r="GI68" s="33"/>
      <c r="GJ68" s="33"/>
      <c r="GK68" s="33"/>
      <c r="GL68" s="33"/>
      <c r="GM68" s="33"/>
      <c r="GN68" s="33"/>
      <c r="GO68" s="33"/>
      <c r="GP68" s="33"/>
      <c r="GQ68" s="33"/>
      <c r="GR68" s="33"/>
      <c r="GS68" s="33"/>
      <c r="GT68" s="33"/>
      <c r="GU68" s="33"/>
      <c r="GV68" s="33"/>
      <c r="GW68" s="33"/>
      <c r="GX68" s="33"/>
      <c r="GY68" s="33"/>
      <c r="GZ68" s="33"/>
      <c r="HA68" s="33"/>
      <c r="HB68" s="33"/>
      <c r="HC68" s="33"/>
      <c r="HD68" s="33"/>
      <c r="HE68" s="33"/>
      <c r="HF68" s="33"/>
      <c r="HG68" s="33"/>
      <c r="HH68" s="33"/>
      <c r="HI68" s="33"/>
      <c r="HJ68" s="33"/>
      <c r="HK68" s="33"/>
      <c r="HL68" s="33"/>
      <c r="HM68" s="33"/>
      <c r="HN68" s="33"/>
      <c r="HO68" s="33"/>
      <c r="HP68" s="33"/>
      <c r="HQ68" s="33"/>
      <c r="HR68" s="33"/>
      <c r="HS68" s="33"/>
      <c r="HT68" s="33"/>
      <c r="HU68" s="33"/>
      <c r="HV68" s="33"/>
      <c r="HW68" s="33"/>
      <c r="HX68" s="33"/>
      <c r="HY68" s="33"/>
      <c r="HZ68" s="33"/>
      <c r="IA68" s="33"/>
      <c r="IB68" s="33"/>
      <c r="IC68" s="33"/>
      <c r="ID68" s="33"/>
      <c r="IE68" s="33"/>
      <c r="IF68" s="33"/>
      <c r="IG68" s="33"/>
      <c r="IH68" s="33"/>
      <c r="II68" s="33"/>
      <c r="IJ68" s="33"/>
      <c r="IK68" s="33"/>
      <c r="IL68" s="33"/>
      <c r="IM68" s="33"/>
      <c r="IN68" s="33"/>
      <c r="IO68" s="33"/>
      <c r="IP68" s="33"/>
      <c r="IQ68" s="33"/>
      <c r="IR68" s="33"/>
      <c r="IS68" s="33"/>
      <c r="IT68" s="33"/>
      <c r="IU68" s="33"/>
      <c r="IV68" s="33"/>
      <c r="IW68" s="33"/>
      <c r="IX68" s="33"/>
      <c r="IY68" s="33"/>
      <c r="IZ68" s="33"/>
      <c r="JA68" s="33"/>
      <c r="JB68" s="33"/>
      <c r="JC68" s="33"/>
      <c r="JD68" s="33"/>
      <c r="JE68" s="33"/>
      <c r="JF68" s="33"/>
      <c r="JG68" s="33"/>
      <c r="JH68" s="33"/>
      <c r="JI68" s="33"/>
      <c r="JJ68" s="33"/>
      <c r="JK68" s="33"/>
      <c r="JL68" s="33"/>
      <c r="JM68" s="33"/>
      <c r="JN68" s="33"/>
      <c r="JO68" s="33"/>
      <c r="JP68" s="33"/>
      <c r="JQ68" s="33"/>
      <c r="JR68" s="33"/>
      <c r="KZ68" s="33"/>
      <c r="LA68" s="33"/>
      <c r="LB68" s="33"/>
      <c r="LC68" s="33"/>
      <c r="LD68" s="33"/>
      <c r="LE68" s="33"/>
      <c r="LF68" s="33"/>
      <c r="LG68" s="33"/>
      <c r="LH68" s="33"/>
      <c r="LI68" s="33"/>
      <c r="LJ68" s="33"/>
      <c r="LK68" s="33"/>
      <c r="LL68" s="33"/>
      <c r="LM68" s="33"/>
      <c r="LN68" s="33"/>
      <c r="LO68" s="33"/>
      <c r="LP68" s="44"/>
      <c r="LQ68" s="44"/>
      <c r="LR68" s="44"/>
      <c r="LS68" s="44"/>
      <c r="LT68" s="44"/>
      <c r="LU68" s="44"/>
      <c r="LV68" s="44"/>
    </row>
    <row r="69" spans="1:334" x14ac:dyDescent="0.2">
      <c r="A69" s="1" t="s">
        <v>8137</v>
      </c>
      <c r="D69" s="1" t="s">
        <v>8138</v>
      </c>
      <c r="E69" s="1" t="s">
        <v>8037</v>
      </c>
      <c r="F69" s="1" t="s">
        <v>8132</v>
      </c>
      <c r="H69" s="1" t="s">
        <v>8121</v>
      </c>
      <c r="J69" s="1" t="s">
        <v>8111</v>
      </c>
      <c r="K69" s="1">
        <v>2011</v>
      </c>
      <c r="L69" s="1" t="s">
        <v>8112</v>
      </c>
      <c r="M69" s="1" t="s">
        <v>7657</v>
      </c>
      <c r="N69" s="17" t="s">
        <v>7945</v>
      </c>
      <c r="O69" s="33"/>
      <c r="P69" s="33"/>
      <c r="Q69" s="33"/>
      <c r="R69" s="33"/>
      <c r="S69" s="33"/>
      <c r="T69" s="33">
        <v>89.929999999999993</v>
      </c>
      <c r="U69" s="33"/>
      <c r="V69" s="33"/>
      <c r="W69" s="33"/>
      <c r="X69" s="33"/>
      <c r="Y69" s="33"/>
      <c r="Z69" s="33">
        <v>25.872860999999993</v>
      </c>
      <c r="AA69" s="33"/>
      <c r="AB69" s="33">
        <v>1.0090146</v>
      </c>
      <c r="AC69" s="33"/>
      <c r="AD69" s="33"/>
      <c r="AE69" s="33">
        <v>54.227789999999992</v>
      </c>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v>5.6476039999999994</v>
      </c>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v>3.1745289999999997</v>
      </c>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c r="FP69" s="33"/>
      <c r="FQ69" s="33"/>
      <c r="FR69" s="33"/>
      <c r="FS69" s="33"/>
      <c r="FT69" s="33"/>
      <c r="FU69" s="33"/>
      <c r="FV69" s="33"/>
      <c r="FW69" s="33"/>
      <c r="FX69" s="33"/>
      <c r="FY69" s="33"/>
      <c r="FZ69" s="33"/>
      <c r="GA69" s="33"/>
      <c r="GB69" s="33"/>
      <c r="GC69" s="33"/>
      <c r="GD69" s="33"/>
      <c r="GE69" s="33"/>
      <c r="GF69" s="33"/>
      <c r="GG69" s="33"/>
      <c r="GH69" s="33"/>
      <c r="GI69" s="33"/>
      <c r="GJ69" s="33"/>
      <c r="GK69" s="33"/>
      <c r="GL69" s="33"/>
      <c r="GM69" s="33"/>
      <c r="GN69" s="33"/>
      <c r="GO69" s="33"/>
      <c r="GP69" s="33"/>
      <c r="GQ69" s="33"/>
      <c r="GR69" s="33"/>
      <c r="GS69" s="33"/>
      <c r="GT69" s="33"/>
      <c r="GU69" s="33"/>
      <c r="GV69" s="33"/>
      <c r="GW69" s="33"/>
      <c r="GX69" s="33"/>
      <c r="GY69" s="33"/>
      <c r="GZ69" s="33"/>
      <c r="HA69" s="33"/>
      <c r="HB69" s="33"/>
      <c r="HC69" s="33"/>
      <c r="HD69" s="33"/>
      <c r="HE69" s="33"/>
      <c r="HF69" s="33"/>
      <c r="HG69" s="33"/>
      <c r="HH69" s="33"/>
      <c r="HI69" s="33"/>
      <c r="HJ69" s="33"/>
      <c r="HK69" s="33"/>
      <c r="HL69" s="33"/>
      <c r="HM69" s="33"/>
      <c r="HN69" s="33"/>
      <c r="HO69" s="33"/>
      <c r="HP69" s="33"/>
      <c r="HQ69" s="33"/>
      <c r="HR69" s="33"/>
      <c r="HS69" s="33"/>
      <c r="HT69" s="33"/>
      <c r="HU69" s="33"/>
      <c r="HV69" s="33"/>
      <c r="HW69" s="33"/>
      <c r="HX69" s="33"/>
      <c r="HY69" s="33"/>
      <c r="HZ69" s="33"/>
      <c r="IA69" s="33"/>
      <c r="IB69" s="33"/>
      <c r="IC69" s="33"/>
      <c r="ID69" s="33"/>
      <c r="IE69" s="33"/>
      <c r="IF69" s="33"/>
      <c r="IG69" s="33"/>
      <c r="IH69" s="33"/>
      <c r="II69" s="33"/>
      <c r="IJ69" s="33"/>
      <c r="IK69" s="33"/>
      <c r="IL69" s="33"/>
      <c r="IM69" s="33"/>
      <c r="IN69" s="33"/>
      <c r="IO69" s="33"/>
      <c r="IP69" s="33"/>
      <c r="IQ69" s="33"/>
      <c r="IR69" s="33"/>
      <c r="IS69" s="33"/>
      <c r="IT69" s="33"/>
      <c r="IU69" s="33"/>
      <c r="IV69" s="33"/>
      <c r="IW69" s="33"/>
      <c r="IX69" s="33"/>
      <c r="IY69" s="33"/>
      <c r="IZ69" s="33"/>
      <c r="JA69" s="33"/>
      <c r="JB69" s="33"/>
      <c r="JC69" s="33"/>
      <c r="JD69" s="33"/>
      <c r="JE69" s="33"/>
      <c r="JF69" s="33"/>
      <c r="JG69" s="33"/>
      <c r="JH69" s="33"/>
      <c r="JI69" s="33"/>
      <c r="JJ69" s="33"/>
      <c r="JK69" s="33"/>
      <c r="JL69" s="33"/>
      <c r="JM69" s="33"/>
      <c r="JN69" s="33"/>
      <c r="JO69" s="33"/>
      <c r="JP69" s="33"/>
      <c r="JQ69" s="33"/>
      <c r="JR69" s="33"/>
      <c r="KZ69" s="33"/>
      <c r="LA69" s="33"/>
      <c r="LB69" s="33"/>
      <c r="LC69" s="33"/>
      <c r="LD69" s="33"/>
      <c r="LE69" s="33"/>
      <c r="LF69" s="33"/>
      <c r="LG69" s="33"/>
      <c r="LH69" s="33"/>
      <c r="LI69" s="33"/>
      <c r="LJ69" s="33"/>
      <c r="LK69" s="33"/>
      <c r="LL69" s="33"/>
      <c r="LM69" s="33"/>
      <c r="LN69" s="33"/>
      <c r="LO69" s="33"/>
      <c r="LP69" s="44"/>
      <c r="LQ69" s="44"/>
      <c r="LR69" s="44"/>
      <c r="LS69" s="44"/>
      <c r="LT69" s="44"/>
      <c r="LU69" s="44"/>
      <c r="LV69" s="44"/>
    </row>
    <row r="70" spans="1:334" x14ac:dyDescent="0.2">
      <c r="A70" s="1" t="s">
        <v>8139</v>
      </c>
      <c r="D70" s="1" t="s">
        <v>8140</v>
      </c>
      <c r="E70" s="1" t="s">
        <v>7</v>
      </c>
      <c r="F70" s="1" t="s">
        <v>8024</v>
      </c>
      <c r="J70" s="1" t="s">
        <v>8111</v>
      </c>
      <c r="K70" s="1">
        <v>2011</v>
      </c>
      <c r="L70" s="1" t="s">
        <v>8112</v>
      </c>
      <c r="M70" s="1" t="s">
        <v>7657</v>
      </c>
      <c r="N70" s="17" t="s">
        <v>7945</v>
      </c>
      <c r="O70" s="33"/>
      <c r="P70" s="33"/>
      <c r="Q70" s="33"/>
      <c r="R70" s="33"/>
      <c r="S70" s="33"/>
      <c r="T70" s="33">
        <v>90.42</v>
      </c>
      <c r="U70" s="33"/>
      <c r="V70" s="33"/>
      <c r="W70" s="33"/>
      <c r="X70" s="33"/>
      <c r="Y70" s="33"/>
      <c r="Z70" s="33">
        <v>23.120393999999997</v>
      </c>
      <c r="AA70" s="33"/>
      <c r="AB70" s="33">
        <v>2.8030200000000001</v>
      </c>
      <c r="AC70" s="33"/>
      <c r="AD70" s="33"/>
      <c r="AE70" s="33">
        <v>58.944798000000006</v>
      </c>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v>1.89882</v>
      </c>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v>3.652968</v>
      </c>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c r="FP70" s="33"/>
      <c r="FQ70" s="33"/>
      <c r="FR70" s="33"/>
      <c r="FS70" s="33"/>
      <c r="FT70" s="33"/>
      <c r="FU70" s="33"/>
      <c r="FV70" s="33"/>
      <c r="FW70" s="33"/>
      <c r="FX70" s="33"/>
      <c r="FY70" s="33"/>
      <c r="FZ70" s="33"/>
      <c r="GA70" s="33"/>
      <c r="GB70" s="33"/>
      <c r="GC70" s="33"/>
      <c r="GD70" s="33"/>
      <c r="GE70" s="33"/>
      <c r="GF70" s="33"/>
      <c r="GG70" s="33"/>
      <c r="GH70" s="33"/>
      <c r="GI70" s="33"/>
      <c r="GJ70" s="33"/>
      <c r="GK70" s="33"/>
      <c r="GL70" s="33"/>
      <c r="GM70" s="33"/>
      <c r="GN70" s="33"/>
      <c r="GO70" s="33"/>
      <c r="GP70" s="33"/>
      <c r="GQ70" s="33"/>
      <c r="GR70" s="33"/>
      <c r="GS70" s="33"/>
      <c r="GT70" s="33"/>
      <c r="GU70" s="33"/>
      <c r="GV70" s="33"/>
      <c r="GW70" s="33"/>
      <c r="GX70" s="33"/>
      <c r="GY70" s="33"/>
      <c r="GZ70" s="33"/>
      <c r="HA70" s="33"/>
      <c r="HB70" s="33"/>
      <c r="HC70" s="33"/>
      <c r="HD70" s="33"/>
      <c r="HE70" s="33"/>
      <c r="HF70" s="33"/>
      <c r="HG70" s="33"/>
      <c r="HH70" s="33"/>
      <c r="HI70" s="33"/>
      <c r="HJ70" s="33"/>
      <c r="HK70" s="33"/>
      <c r="HL70" s="33"/>
      <c r="HM70" s="33"/>
      <c r="HN70" s="33"/>
      <c r="HO70" s="33"/>
      <c r="HP70" s="33"/>
      <c r="HQ70" s="33"/>
      <c r="HR70" s="33"/>
      <c r="HS70" s="33"/>
      <c r="HT70" s="33"/>
      <c r="HU70" s="33"/>
      <c r="HV70" s="33"/>
      <c r="HW70" s="33"/>
      <c r="HX70" s="33"/>
      <c r="HY70" s="33"/>
      <c r="HZ70" s="33"/>
      <c r="IA70" s="33"/>
      <c r="IB70" s="33"/>
      <c r="IC70" s="33"/>
      <c r="ID70" s="33"/>
      <c r="IE70" s="33"/>
      <c r="IF70" s="33"/>
      <c r="IG70" s="33"/>
      <c r="IH70" s="33"/>
      <c r="II70" s="33"/>
      <c r="IJ70" s="33"/>
      <c r="IK70" s="33"/>
      <c r="IL70" s="33"/>
      <c r="IM70" s="33"/>
      <c r="IN70" s="33"/>
      <c r="IO70" s="33"/>
      <c r="IP70" s="33"/>
      <c r="IQ70" s="33"/>
      <c r="IR70" s="33"/>
      <c r="IS70" s="33"/>
      <c r="IT70" s="33"/>
      <c r="IU70" s="33"/>
      <c r="IV70" s="33"/>
      <c r="IW70" s="33"/>
      <c r="IX70" s="33"/>
      <c r="IY70" s="33"/>
      <c r="IZ70" s="33"/>
      <c r="JA70" s="33"/>
      <c r="JB70" s="33"/>
      <c r="JC70" s="33"/>
      <c r="JD70" s="33"/>
      <c r="JE70" s="33"/>
      <c r="JF70" s="33"/>
      <c r="JG70" s="33"/>
      <c r="JH70" s="33"/>
      <c r="JI70" s="33"/>
      <c r="JJ70" s="33"/>
      <c r="JK70" s="33"/>
      <c r="JL70" s="33"/>
      <c r="JM70" s="33"/>
      <c r="JN70" s="33"/>
      <c r="JO70" s="33"/>
      <c r="JP70" s="33"/>
      <c r="JQ70" s="33"/>
      <c r="JR70" s="33"/>
      <c r="KZ70" s="33"/>
      <c r="LA70" s="33"/>
      <c r="LB70" s="33"/>
      <c r="LC70" s="33"/>
      <c r="LD70" s="33"/>
      <c r="LE70" s="33"/>
      <c r="LF70" s="33"/>
      <c r="LG70" s="33"/>
      <c r="LH70" s="33"/>
      <c r="LI70" s="33"/>
      <c r="LJ70" s="33"/>
      <c r="LK70" s="33"/>
      <c r="LL70" s="33"/>
      <c r="LM70" s="33"/>
      <c r="LN70" s="33"/>
      <c r="LO70" s="33"/>
      <c r="LP70" s="44"/>
      <c r="LQ70" s="44"/>
      <c r="LR70" s="44"/>
      <c r="LS70" s="44"/>
      <c r="LT70" s="44"/>
      <c r="LU70" s="44"/>
      <c r="LV70" s="44"/>
    </row>
    <row r="71" spans="1:334" x14ac:dyDescent="0.2">
      <c r="A71" s="1" t="s">
        <v>8141</v>
      </c>
      <c r="D71" s="1" t="s">
        <v>8142</v>
      </c>
      <c r="E71" s="1" t="s">
        <v>11</v>
      </c>
      <c r="F71" s="1" t="s">
        <v>8024</v>
      </c>
      <c r="H71" s="1" t="s">
        <v>8115</v>
      </c>
      <c r="J71" s="1" t="s">
        <v>8111</v>
      </c>
      <c r="K71" s="1">
        <v>2011</v>
      </c>
      <c r="L71" s="1" t="s">
        <v>8112</v>
      </c>
      <c r="M71" s="1" t="s">
        <v>7657</v>
      </c>
      <c r="N71" s="17" t="s">
        <v>7945</v>
      </c>
      <c r="O71" s="33"/>
      <c r="P71" s="33"/>
      <c r="Q71" s="33"/>
      <c r="R71" s="33"/>
      <c r="S71" s="33"/>
      <c r="T71" s="33">
        <v>90.77000000000001</v>
      </c>
      <c r="U71" s="33"/>
      <c r="V71" s="33"/>
      <c r="W71" s="33"/>
      <c r="X71" s="33"/>
      <c r="Y71" s="33"/>
      <c r="Z71" s="33">
        <v>22.783270000000005</v>
      </c>
      <c r="AA71" s="33"/>
      <c r="AB71" s="33">
        <v>2.6050990000000001</v>
      </c>
      <c r="AC71" s="33"/>
      <c r="AD71" s="33"/>
      <c r="AE71" s="33">
        <v>60.080663000000001</v>
      </c>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v>1.8880160000000004</v>
      </c>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v>3.4129520000000007</v>
      </c>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c r="GL71" s="33"/>
      <c r="GM71" s="33"/>
      <c r="GN71" s="33"/>
      <c r="GO71" s="33"/>
      <c r="GP71" s="33"/>
      <c r="GQ71" s="33"/>
      <c r="GR71" s="33"/>
      <c r="GS71" s="33"/>
      <c r="GT71" s="33"/>
      <c r="GU71" s="33"/>
      <c r="GV71" s="33"/>
      <c r="GW71" s="33"/>
      <c r="GX71" s="33"/>
      <c r="GY71" s="33"/>
      <c r="GZ71" s="33"/>
      <c r="HA71" s="33"/>
      <c r="HB71" s="33"/>
      <c r="HC71" s="33"/>
      <c r="HD71" s="33"/>
      <c r="HE71" s="33"/>
      <c r="HF71" s="33"/>
      <c r="HG71" s="33"/>
      <c r="HH71" s="33"/>
      <c r="HI71" s="33"/>
      <c r="HJ71" s="33"/>
      <c r="HK71" s="33"/>
      <c r="HL71" s="33"/>
      <c r="HM71" s="33"/>
      <c r="HN71" s="33"/>
      <c r="HO71" s="33"/>
      <c r="HP71" s="33"/>
      <c r="HQ71" s="33"/>
      <c r="HR71" s="33"/>
      <c r="HS71" s="33"/>
      <c r="HT71" s="33"/>
      <c r="HU71" s="33"/>
      <c r="HV71" s="33"/>
      <c r="HW71" s="33"/>
      <c r="HX71" s="33"/>
      <c r="HY71" s="33"/>
      <c r="HZ71" s="33"/>
      <c r="IA71" s="33"/>
      <c r="IB71" s="33"/>
      <c r="IC71" s="33"/>
      <c r="ID71" s="33"/>
      <c r="IE71" s="33"/>
      <c r="IF71" s="33"/>
      <c r="IG71" s="33"/>
      <c r="IH71" s="33"/>
      <c r="II71" s="33"/>
      <c r="IJ71" s="33"/>
      <c r="IK71" s="33"/>
      <c r="IL71" s="33"/>
      <c r="IM71" s="33"/>
      <c r="IN71" s="33"/>
      <c r="IO71" s="33"/>
      <c r="IP71" s="33"/>
      <c r="IQ71" s="33"/>
      <c r="IR71" s="33"/>
      <c r="IS71" s="33"/>
      <c r="IT71" s="33"/>
      <c r="IU71" s="33"/>
      <c r="IV71" s="33"/>
      <c r="IW71" s="33"/>
      <c r="IX71" s="33"/>
      <c r="IY71" s="33"/>
      <c r="IZ71" s="33"/>
      <c r="JA71" s="33"/>
      <c r="JB71" s="33"/>
      <c r="JC71" s="33"/>
      <c r="JD71" s="33"/>
      <c r="JE71" s="33"/>
      <c r="JF71" s="33"/>
      <c r="JG71" s="33"/>
      <c r="JH71" s="33"/>
      <c r="JI71" s="33"/>
      <c r="JJ71" s="33"/>
      <c r="JK71" s="33"/>
      <c r="JL71" s="33"/>
      <c r="JM71" s="33"/>
      <c r="JN71" s="33"/>
      <c r="JO71" s="33"/>
      <c r="JP71" s="33"/>
      <c r="JQ71" s="33"/>
      <c r="JR71" s="33"/>
      <c r="KZ71" s="33"/>
      <c r="LA71" s="33"/>
      <c r="LB71" s="33"/>
      <c r="LC71" s="33"/>
      <c r="LD71" s="33"/>
      <c r="LE71" s="33"/>
      <c r="LF71" s="33"/>
      <c r="LG71" s="33"/>
      <c r="LH71" s="33"/>
      <c r="LI71" s="33"/>
      <c r="LJ71" s="33"/>
      <c r="LK71" s="33"/>
      <c r="LL71" s="33"/>
      <c r="LM71" s="33"/>
      <c r="LN71" s="33"/>
      <c r="LO71" s="33"/>
      <c r="LP71" s="44"/>
      <c r="LQ71" s="44"/>
      <c r="LR71" s="44"/>
      <c r="LS71" s="44"/>
      <c r="LT71" s="44"/>
      <c r="LU71" s="44"/>
      <c r="LV71" s="44"/>
    </row>
    <row r="72" spans="1:334" x14ac:dyDescent="0.2">
      <c r="A72" s="1" t="s">
        <v>8143</v>
      </c>
      <c r="D72" s="1" t="s">
        <v>8144</v>
      </c>
      <c r="E72" s="1" t="s">
        <v>11</v>
      </c>
      <c r="F72" s="1" t="s">
        <v>8024</v>
      </c>
      <c r="H72" s="1" t="s">
        <v>8118</v>
      </c>
      <c r="J72" s="1" t="s">
        <v>8111</v>
      </c>
      <c r="K72" s="1">
        <v>2011</v>
      </c>
      <c r="L72" s="1" t="s">
        <v>8112</v>
      </c>
      <c r="M72" s="1" t="s">
        <v>7657</v>
      </c>
      <c r="N72" s="17" t="s">
        <v>7945</v>
      </c>
      <c r="O72" s="33"/>
      <c r="P72" s="33"/>
      <c r="Q72" s="33"/>
      <c r="R72" s="33"/>
      <c r="S72" s="33"/>
      <c r="T72" s="33">
        <v>90.22999999999999</v>
      </c>
      <c r="U72" s="33"/>
      <c r="V72" s="33"/>
      <c r="W72" s="33"/>
      <c r="X72" s="33"/>
      <c r="Y72" s="33"/>
      <c r="Z72" s="33">
        <v>24.542559999999998</v>
      </c>
      <c r="AA72" s="33"/>
      <c r="AB72" s="33">
        <v>1.9850599999999996</v>
      </c>
      <c r="AC72" s="33"/>
      <c r="AD72" s="33"/>
      <c r="AE72" s="33">
        <v>57.765246000000005</v>
      </c>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v>2.5535089999999996</v>
      </c>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v>3.3746019999999994</v>
      </c>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c r="FS72" s="33"/>
      <c r="FT72" s="33"/>
      <c r="FU72" s="33"/>
      <c r="FV72" s="33"/>
      <c r="FW72" s="33"/>
      <c r="FX72" s="33"/>
      <c r="FY72" s="33"/>
      <c r="FZ72" s="33"/>
      <c r="GA72" s="33"/>
      <c r="GB72" s="33"/>
      <c r="GC72" s="33"/>
      <c r="GD72" s="33"/>
      <c r="GE72" s="33"/>
      <c r="GF72" s="33"/>
      <c r="GG72" s="33"/>
      <c r="GH72" s="33"/>
      <c r="GI72" s="33"/>
      <c r="GJ72" s="33"/>
      <c r="GK72" s="33"/>
      <c r="GL72" s="33"/>
      <c r="GM72" s="33"/>
      <c r="GN72" s="33"/>
      <c r="GO72" s="33"/>
      <c r="GP72" s="33"/>
      <c r="GQ72" s="33"/>
      <c r="GR72" s="33"/>
      <c r="GS72" s="33"/>
      <c r="GT72" s="33"/>
      <c r="GU72" s="33"/>
      <c r="GV72" s="33"/>
      <c r="GW72" s="33"/>
      <c r="GX72" s="33"/>
      <c r="GY72" s="33"/>
      <c r="GZ72" s="33"/>
      <c r="HA72" s="33"/>
      <c r="HB72" s="33"/>
      <c r="HC72" s="33"/>
      <c r="HD72" s="33"/>
      <c r="HE72" s="33"/>
      <c r="HF72" s="33"/>
      <c r="HG72" s="33"/>
      <c r="HH72" s="33"/>
      <c r="HI72" s="33"/>
      <c r="HJ72" s="33"/>
      <c r="HK72" s="33"/>
      <c r="HL72" s="33"/>
      <c r="HM72" s="33"/>
      <c r="HN72" s="33"/>
      <c r="HO72" s="33"/>
      <c r="HP72" s="33"/>
      <c r="HQ72" s="33"/>
      <c r="HR72" s="33"/>
      <c r="HS72" s="33"/>
      <c r="HT72" s="33"/>
      <c r="HU72" s="33"/>
      <c r="HV72" s="33"/>
      <c r="HW72" s="33"/>
      <c r="HX72" s="33"/>
      <c r="HY72" s="33"/>
      <c r="HZ72" s="33"/>
      <c r="IA72" s="33"/>
      <c r="IB72" s="33"/>
      <c r="IC72" s="33"/>
      <c r="ID72" s="33"/>
      <c r="IE72" s="33"/>
      <c r="IF72" s="33"/>
      <c r="IG72" s="33"/>
      <c r="IH72" s="33"/>
      <c r="II72" s="33"/>
      <c r="IJ72" s="33"/>
      <c r="IK72" s="33"/>
      <c r="IL72" s="33"/>
      <c r="IM72" s="33"/>
      <c r="IN72" s="33"/>
      <c r="IO72" s="33"/>
      <c r="IP72" s="33"/>
      <c r="IQ72" s="33"/>
      <c r="IR72" s="33"/>
      <c r="IS72" s="33"/>
      <c r="IT72" s="33"/>
      <c r="IU72" s="33"/>
      <c r="IV72" s="33"/>
      <c r="IW72" s="33"/>
      <c r="IX72" s="33"/>
      <c r="IY72" s="33"/>
      <c r="IZ72" s="33"/>
      <c r="JA72" s="33"/>
      <c r="JB72" s="33"/>
      <c r="JC72" s="33"/>
      <c r="JD72" s="33"/>
      <c r="JE72" s="33"/>
      <c r="JF72" s="33"/>
      <c r="JG72" s="33"/>
      <c r="JH72" s="33"/>
      <c r="JI72" s="33"/>
      <c r="JJ72" s="33"/>
      <c r="JK72" s="33"/>
      <c r="JL72" s="33"/>
      <c r="JM72" s="33"/>
      <c r="JN72" s="33"/>
      <c r="JO72" s="33"/>
      <c r="JP72" s="33"/>
      <c r="JQ72" s="33"/>
      <c r="JR72" s="33"/>
      <c r="KZ72" s="33"/>
      <c r="LA72" s="33"/>
      <c r="LB72" s="33"/>
      <c r="LC72" s="33"/>
      <c r="LD72" s="33"/>
      <c r="LE72" s="33"/>
      <c r="LF72" s="33"/>
      <c r="LG72" s="33"/>
      <c r="LH72" s="33"/>
      <c r="LI72" s="33"/>
      <c r="LJ72" s="33"/>
      <c r="LK72" s="33"/>
      <c r="LL72" s="33"/>
      <c r="LM72" s="33"/>
      <c r="LN72" s="33"/>
      <c r="LO72" s="33"/>
      <c r="LP72" s="44"/>
      <c r="LQ72" s="44"/>
      <c r="LR72" s="44"/>
      <c r="LS72" s="44"/>
      <c r="LT72" s="44"/>
      <c r="LU72" s="44"/>
      <c r="LV72" s="44"/>
    </row>
    <row r="73" spans="1:334" x14ac:dyDescent="0.2">
      <c r="A73" s="1" t="s">
        <v>8145</v>
      </c>
      <c r="D73" s="1" t="s">
        <v>8146</v>
      </c>
      <c r="E73" s="1" t="s">
        <v>11</v>
      </c>
      <c r="F73" s="1" t="s">
        <v>8024</v>
      </c>
      <c r="H73" s="1" t="s">
        <v>8121</v>
      </c>
      <c r="J73" s="1" t="s">
        <v>8111</v>
      </c>
      <c r="K73" s="1">
        <v>2011</v>
      </c>
      <c r="L73" s="1" t="s">
        <v>8112</v>
      </c>
      <c r="M73" s="1" t="s">
        <v>7657</v>
      </c>
      <c r="N73" s="17" t="s">
        <v>7945</v>
      </c>
      <c r="O73" s="33"/>
      <c r="P73" s="33"/>
      <c r="Q73" s="33"/>
      <c r="R73" s="33"/>
      <c r="S73" s="33"/>
      <c r="T73" s="33">
        <v>90.8</v>
      </c>
      <c r="U73" s="33"/>
      <c r="V73" s="33"/>
      <c r="W73" s="33"/>
      <c r="X73" s="33"/>
      <c r="Y73" s="33"/>
      <c r="Z73" s="33">
        <v>24.906439999999996</v>
      </c>
      <c r="AA73" s="33"/>
      <c r="AB73" s="33">
        <v>1.9249599999999998</v>
      </c>
      <c r="AC73" s="33"/>
      <c r="AD73" s="33"/>
      <c r="AE73" s="33">
        <v>58.066599999999994</v>
      </c>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v>2.5151599999999998</v>
      </c>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v>3.3868399999999994</v>
      </c>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c r="FS73" s="33"/>
      <c r="FT73" s="33"/>
      <c r="FU73" s="33"/>
      <c r="FV73" s="33"/>
      <c r="FW73" s="33"/>
      <c r="FX73" s="33"/>
      <c r="FY73" s="33"/>
      <c r="FZ73" s="33"/>
      <c r="GA73" s="33"/>
      <c r="GB73" s="33"/>
      <c r="GC73" s="33"/>
      <c r="GD73" s="33"/>
      <c r="GE73" s="33"/>
      <c r="GF73" s="33"/>
      <c r="GG73" s="33"/>
      <c r="GH73" s="33"/>
      <c r="GI73" s="33"/>
      <c r="GJ73" s="33"/>
      <c r="GK73" s="33"/>
      <c r="GL73" s="33"/>
      <c r="GM73" s="33"/>
      <c r="GN73" s="33"/>
      <c r="GO73" s="33"/>
      <c r="GP73" s="33"/>
      <c r="GQ73" s="33"/>
      <c r="GR73" s="33"/>
      <c r="GS73" s="33"/>
      <c r="GT73" s="33"/>
      <c r="GU73" s="33"/>
      <c r="GV73" s="33"/>
      <c r="GW73" s="33"/>
      <c r="GX73" s="33"/>
      <c r="GY73" s="33"/>
      <c r="GZ73" s="33"/>
      <c r="HA73" s="33"/>
      <c r="HB73" s="33"/>
      <c r="HC73" s="33"/>
      <c r="HD73" s="33"/>
      <c r="HE73" s="33"/>
      <c r="HF73" s="33"/>
      <c r="HG73" s="33"/>
      <c r="HH73" s="33"/>
      <c r="HI73" s="33"/>
      <c r="HJ73" s="33"/>
      <c r="HK73" s="33"/>
      <c r="HL73" s="33"/>
      <c r="HM73" s="33"/>
      <c r="HN73" s="33"/>
      <c r="HO73" s="33"/>
      <c r="HP73" s="33"/>
      <c r="HQ73" s="33"/>
      <c r="HR73" s="33"/>
      <c r="HS73" s="33"/>
      <c r="HT73" s="33"/>
      <c r="HU73" s="33"/>
      <c r="HV73" s="33"/>
      <c r="HW73" s="33"/>
      <c r="HX73" s="33"/>
      <c r="HY73" s="33"/>
      <c r="HZ73" s="33"/>
      <c r="IA73" s="33"/>
      <c r="IB73" s="33"/>
      <c r="IC73" s="33"/>
      <c r="ID73" s="33"/>
      <c r="IE73" s="33"/>
      <c r="IF73" s="33"/>
      <c r="IG73" s="33"/>
      <c r="IH73" s="33"/>
      <c r="II73" s="33"/>
      <c r="IJ73" s="33"/>
      <c r="IK73" s="33"/>
      <c r="IL73" s="33"/>
      <c r="IM73" s="33"/>
      <c r="IN73" s="33"/>
      <c r="IO73" s="33"/>
      <c r="IP73" s="33"/>
      <c r="IQ73" s="33"/>
      <c r="IR73" s="33"/>
      <c r="IS73" s="33"/>
      <c r="IT73" s="33"/>
      <c r="IU73" s="33"/>
      <c r="IV73" s="33"/>
      <c r="IW73" s="33"/>
      <c r="IX73" s="33"/>
      <c r="IY73" s="33"/>
      <c r="IZ73" s="33"/>
      <c r="JA73" s="33"/>
      <c r="JB73" s="33"/>
      <c r="JC73" s="33"/>
      <c r="JD73" s="33"/>
      <c r="JE73" s="33"/>
      <c r="JF73" s="33"/>
      <c r="JG73" s="33"/>
      <c r="JH73" s="33"/>
      <c r="JI73" s="33"/>
      <c r="JJ73" s="33"/>
      <c r="JK73" s="33"/>
      <c r="JL73" s="33"/>
      <c r="JM73" s="33"/>
      <c r="JN73" s="33"/>
      <c r="JO73" s="33"/>
      <c r="JP73" s="33"/>
      <c r="JQ73" s="33"/>
      <c r="JR73" s="33"/>
      <c r="KZ73" s="33"/>
      <c r="LA73" s="33"/>
      <c r="LB73" s="33"/>
      <c r="LC73" s="33"/>
      <c r="LD73" s="33"/>
      <c r="LE73" s="33"/>
      <c r="LF73" s="33"/>
      <c r="LG73" s="33"/>
      <c r="LH73" s="33"/>
      <c r="LI73" s="33"/>
      <c r="LJ73" s="33"/>
      <c r="LK73" s="33"/>
      <c r="LL73" s="33"/>
      <c r="LM73" s="33"/>
      <c r="LN73" s="33"/>
      <c r="LO73" s="33"/>
      <c r="LP73" s="44"/>
      <c r="LQ73" s="44"/>
      <c r="LR73" s="44"/>
      <c r="LS73" s="44"/>
      <c r="LT73" s="44"/>
      <c r="LU73" s="44"/>
      <c r="LV73" s="44"/>
    </row>
    <row r="74" spans="1:334" x14ac:dyDescent="0.2">
      <c r="A74" s="1" t="s">
        <v>8147</v>
      </c>
      <c r="B74" s="1" t="s">
        <v>7232</v>
      </c>
      <c r="D74" s="1" t="s">
        <v>8148</v>
      </c>
      <c r="E74" s="1" t="s">
        <v>8099</v>
      </c>
      <c r="F74" s="1" t="s">
        <v>688</v>
      </c>
      <c r="G74" s="1" t="s">
        <v>8149</v>
      </c>
      <c r="H74" s="1" t="s">
        <v>8150</v>
      </c>
      <c r="J74" s="1" t="s">
        <v>8151</v>
      </c>
      <c r="K74" s="1">
        <v>2011</v>
      </c>
      <c r="L74" s="1" t="s">
        <v>8152</v>
      </c>
      <c r="M74" s="1" t="s">
        <v>7657</v>
      </c>
      <c r="N74" s="17" t="s">
        <v>7945</v>
      </c>
      <c r="O74" s="33"/>
      <c r="P74" s="33"/>
      <c r="Q74" s="33"/>
      <c r="R74" s="33"/>
      <c r="S74" s="33">
        <v>9.9</v>
      </c>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v>0.29732999999999998</v>
      </c>
      <c r="EU74" s="33"/>
      <c r="EV74" s="33"/>
      <c r="EW74" s="33"/>
      <c r="EX74" s="33"/>
      <c r="EY74" s="33" t="s">
        <v>17</v>
      </c>
      <c r="EZ74" s="33">
        <v>1.8019999999999998</v>
      </c>
      <c r="FA74" s="33"/>
      <c r="FB74" s="33"/>
      <c r="FC74" s="33">
        <v>179.65939999999998</v>
      </c>
      <c r="FD74" s="33"/>
      <c r="FE74" s="33">
        <v>0.45049999999999996</v>
      </c>
      <c r="FF74" s="33"/>
      <c r="FG74" s="33" t="s">
        <v>17</v>
      </c>
      <c r="FH74" s="33">
        <v>3.604E-3</v>
      </c>
      <c r="FI74" s="33">
        <v>181.91189999999997</v>
      </c>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c r="IV74" s="33"/>
      <c r="IW74" s="33"/>
      <c r="IX74" s="33"/>
      <c r="IY74" s="33"/>
      <c r="IZ74" s="33"/>
      <c r="JA74" s="33"/>
      <c r="JB74" s="33"/>
      <c r="JC74" s="33"/>
      <c r="JD74" s="33"/>
      <c r="JE74" s="33"/>
      <c r="JF74" s="33"/>
      <c r="JG74" s="33"/>
      <c r="JH74" s="33"/>
      <c r="JI74" s="33"/>
      <c r="JJ74" s="33"/>
      <c r="JK74" s="33"/>
      <c r="JL74" s="33"/>
      <c r="JM74" s="33"/>
      <c r="JN74" s="33"/>
      <c r="JO74" s="33"/>
      <c r="JP74" s="33"/>
      <c r="JQ74" s="33"/>
      <c r="JR74" s="33"/>
      <c r="KZ74" s="33"/>
      <c r="LA74" s="33"/>
      <c r="LB74" s="33"/>
      <c r="LC74" s="33"/>
      <c r="LD74" s="33"/>
      <c r="LE74" s="33"/>
      <c r="LF74" s="33"/>
      <c r="LG74" s="33"/>
      <c r="LH74" s="33"/>
      <c r="LI74" s="33"/>
      <c r="LJ74" s="33"/>
      <c r="LK74" s="33"/>
      <c r="LL74" s="33"/>
      <c r="LM74" s="33"/>
      <c r="LN74" s="33"/>
      <c r="LO74" s="33"/>
      <c r="LP74" s="44"/>
      <c r="LQ74" s="44"/>
      <c r="LR74" s="44"/>
      <c r="LS74" s="44"/>
      <c r="LT74" s="44"/>
      <c r="LU74" s="44"/>
      <c r="LV74" s="44"/>
    </row>
    <row r="75" spans="1:334" x14ac:dyDescent="0.2">
      <c r="A75" s="1" t="s">
        <v>8153</v>
      </c>
      <c r="B75" s="1" t="s">
        <v>7232</v>
      </c>
      <c r="D75" s="1" t="s">
        <v>8123</v>
      </c>
      <c r="E75" s="1" t="s">
        <v>7</v>
      </c>
      <c r="F75" s="1" t="s">
        <v>688</v>
      </c>
      <c r="G75" s="1" t="s">
        <v>8149</v>
      </c>
      <c r="H75" s="1" t="s">
        <v>8150</v>
      </c>
      <c r="J75" s="1" t="s">
        <v>8151</v>
      </c>
      <c r="K75" s="1">
        <v>2011</v>
      </c>
      <c r="L75" s="1" t="s">
        <v>8152</v>
      </c>
      <c r="M75" s="1" t="s">
        <v>7657</v>
      </c>
      <c r="N75" s="17" t="s">
        <v>7945</v>
      </c>
      <c r="O75" s="33"/>
      <c r="P75" s="33"/>
      <c r="Q75" s="33"/>
      <c r="R75" s="33"/>
      <c r="S75" s="33">
        <v>9.8000000000000007</v>
      </c>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t="s">
        <v>17</v>
      </c>
      <c r="EU75" s="33"/>
      <c r="EV75" s="33"/>
      <c r="EW75" s="33"/>
      <c r="EX75" s="33"/>
      <c r="EY75" s="33" t="s">
        <v>17</v>
      </c>
      <c r="EZ75" s="33" t="s">
        <v>17</v>
      </c>
      <c r="FA75" s="33"/>
      <c r="FB75" s="33"/>
      <c r="FC75" s="33">
        <v>180.49020000000002</v>
      </c>
      <c r="FD75" s="33"/>
      <c r="FE75" s="33">
        <v>9.0200000000000016E-2</v>
      </c>
      <c r="FF75" s="33"/>
      <c r="FG75" s="33" t="s">
        <v>17</v>
      </c>
      <c r="FH75" s="33">
        <v>5.4120000000000001E-3</v>
      </c>
      <c r="FI75" s="33">
        <v>180.5804</v>
      </c>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c r="IV75" s="33"/>
      <c r="IW75" s="33"/>
      <c r="IX75" s="33"/>
      <c r="IY75" s="33"/>
      <c r="IZ75" s="33"/>
      <c r="JA75" s="33"/>
      <c r="JB75" s="33"/>
      <c r="JC75" s="33"/>
      <c r="JD75" s="33"/>
      <c r="JE75" s="33"/>
      <c r="JF75" s="33"/>
      <c r="JG75" s="33"/>
      <c r="JH75" s="33"/>
      <c r="JI75" s="33"/>
      <c r="JJ75" s="33"/>
      <c r="JK75" s="33"/>
      <c r="JL75" s="33"/>
      <c r="JM75" s="33"/>
      <c r="JN75" s="33"/>
      <c r="JO75" s="33"/>
      <c r="JP75" s="33"/>
      <c r="JQ75" s="33"/>
      <c r="JR75" s="33"/>
      <c r="KZ75" s="33"/>
      <c r="LA75" s="33"/>
      <c r="LB75" s="33"/>
      <c r="LC75" s="33"/>
      <c r="LD75" s="33"/>
      <c r="LE75" s="33"/>
      <c r="LF75" s="33"/>
      <c r="LG75" s="33"/>
      <c r="LH75" s="33"/>
      <c r="LI75" s="33"/>
      <c r="LJ75" s="33"/>
      <c r="LK75" s="33"/>
      <c r="LL75" s="33"/>
      <c r="LM75" s="33"/>
      <c r="LN75" s="33"/>
      <c r="LO75" s="33"/>
      <c r="LP75" s="44"/>
      <c r="LQ75" s="44"/>
      <c r="LR75" s="44"/>
      <c r="LS75" s="44"/>
      <c r="LT75" s="44"/>
      <c r="LU75" s="44"/>
      <c r="LV75" s="44"/>
    </row>
    <row r="76" spans="1:334" x14ac:dyDescent="0.2">
      <c r="A76" s="1" t="s">
        <v>8154</v>
      </c>
      <c r="B76" s="1" t="s">
        <v>7232</v>
      </c>
      <c r="D76" s="1" t="s">
        <v>8155</v>
      </c>
      <c r="E76" s="1" t="s">
        <v>8099</v>
      </c>
      <c r="F76" s="1" t="s">
        <v>688</v>
      </c>
      <c r="G76" s="1" t="s">
        <v>8149</v>
      </c>
      <c r="H76" s="1" t="s">
        <v>8150</v>
      </c>
      <c r="J76" s="1" t="s">
        <v>8151</v>
      </c>
      <c r="K76" s="1">
        <v>2011</v>
      </c>
      <c r="L76" s="1" t="s">
        <v>8152</v>
      </c>
      <c r="M76" s="1" t="s">
        <v>7657</v>
      </c>
      <c r="N76" s="17" t="s">
        <v>7945</v>
      </c>
      <c r="O76" s="33"/>
      <c r="P76" s="33"/>
      <c r="Q76" s="33"/>
      <c r="R76" s="33"/>
      <c r="S76" s="33">
        <v>10.7</v>
      </c>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t="s">
        <v>17</v>
      </c>
      <c r="EU76" s="33"/>
      <c r="EV76" s="33"/>
      <c r="EW76" s="33"/>
      <c r="EX76" s="33"/>
      <c r="EY76" s="33" t="s">
        <v>17</v>
      </c>
      <c r="EZ76" s="33" t="s">
        <v>17</v>
      </c>
      <c r="FA76" s="33"/>
      <c r="FB76" s="33"/>
      <c r="FC76" s="33">
        <v>30.361999999999998</v>
      </c>
      <c r="FD76" s="33"/>
      <c r="FE76" s="33">
        <v>1.6074000000000002</v>
      </c>
      <c r="FF76" s="33"/>
      <c r="FG76" s="33">
        <v>3.5720000000000001E-3</v>
      </c>
      <c r="FH76" s="33">
        <v>4.3757000000000004E-2</v>
      </c>
      <c r="FI76" s="33">
        <v>32.058700000000002</v>
      </c>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c r="IV76" s="33"/>
      <c r="IW76" s="33"/>
      <c r="IX76" s="33"/>
      <c r="IY76" s="33"/>
      <c r="IZ76" s="33"/>
      <c r="JA76" s="33"/>
      <c r="JB76" s="33"/>
      <c r="JC76" s="33"/>
      <c r="JD76" s="33"/>
      <c r="JE76" s="33"/>
      <c r="JF76" s="33"/>
      <c r="JG76" s="33"/>
      <c r="JH76" s="33"/>
      <c r="JI76" s="33"/>
      <c r="JJ76" s="33"/>
      <c r="JK76" s="33"/>
      <c r="JL76" s="33"/>
      <c r="JM76" s="33"/>
      <c r="JN76" s="33"/>
      <c r="JO76" s="33"/>
      <c r="JP76" s="33"/>
      <c r="JQ76" s="33"/>
      <c r="JR76" s="33"/>
      <c r="KZ76" s="33"/>
      <c r="LA76" s="33"/>
      <c r="LB76" s="33"/>
      <c r="LC76" s="33"/>
      <c r="LD76" s="33"/>
      <c r="LE76" s="33"/>
      <c r="LF76" s="33"/>
      <c r="LG76" s="33"/>
      <c r="LH76" s="33"/>
      <c r="LI76" s="33"/>
      <c r="LJ76" s="33"/>
      <c r="LK76" s="33"/>
      <c r="LL76" s="33"/>
      <c r="LM76" s="33"/>
      <c r="LN76" s="33"/>
      <c r="LO76" s="33"/>
      <c r="LP76" s="44"/>
      <c r="LQ76" s="44"/>
      <c r="LR76" s="44"/>
      <c r="LS76" s="44"/>
      <c r="LT76" s="44"/>
      <c r="LU76" s="44"/>
      <c r="LV76" s="44"/>
    </row>
    <row r="77" spans="1:334" x14ac:dyDescent="0.2">
      <c r="A77" s="1" t="s">
        <v>8156</v>
      </c>
      <c r="B77" s="1" t="s">
        <v>7232</v>
      </c>
      <c r="D77" s="1" t="s">
        <v>8157</v>
      </c>
      <c r="E77" s="1" t="s">
        <v>8099</v>
      </c>
      <c r="F77" s="1" t="s">
        <v>8132</v>
      </c>
      <c r="G77" s="1" t="s">
        <v>8149</v>
      </c>
      <c r="H77" s="1" t="s">
        <v>8150</v>
      </c>
      <c r="J77" s="1" t="s">
        <v>8151</v>
      </c>
      <c r="K77" s="1">
        <v>2011</v>
      </c>
      <c r="L77" s="1" t="s">
        <v>8152</v>
      </c>
      <c r="M77" s="1" t="s">
        <v>7657</v>
      </c>
      <c r="N77" s="17" t="s">
        <v>7945</v>
      </c>
      <c r="O77" s="33"/>
      <c r="P77" s="33"/>
      <c r="Q77" s="33"/>
      <c r="R77" s="33"/>
      <c r="S77" s="33">
        <v>10.9</v>
      </c>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t="s">
        <v>17</v>
      </c>
      <c r="EU77" s="33"/>
      <c r="EV77" s="33"/>
      <c r="EW77" s="33"/>
      <c r="EX77" s="33"/>
      <c r="EY77" s="33" t="s">
        <v>17</v>
      </c>
      <c r="EZ77" s="33" t="s">
        <v>17</v>
      </c>
      <c r="FA77" s="33"/>
      <c r="FB77" s="33"/>
      <c r="FC77" s="33">
        <v>32.610599999999998</v>
      </c>
      <c r="FD77" s="33"/>
      <c r="FE77" s="33">
        <v>0.1782</v>
      </c>
      <c r="FF77" s="33"/>
      <c r="FG77" s="33">
        <v>1.0692E-2</v>
      </c>
      <c r="FH77" s="33">
        <v>2.7620999999999996E-2</v>
      </c>
      <c r="FI77" s="33">
        <v>32.788799999999995</v>
      </c>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c r="IV77" s="33"/>
      <c r="IW77" s="33"/>
      <c r="IX77" s="33"/>
      <c r="IY77" s="33"/>
      <c r="IZ77" s="33"/>
      <c r="JA77" s="33"/>
      <c r="JB77" s="33"/>
      <c r="JC77" s="33"/>
      <c r="JD77" s="33"/>
      <c r="JE77" s="33"/>
      <c r="JF77" s="33"/>
      <c r="JG77" s="33"/>
      <c r="JH77" s="33"/>
      <c r="JI77" s="33"/>
      <c r="JJ77" s="33"/>
      <c r="JK77" s="33"/>
      <c r="JL77" s="33"/>
      <c r="JM77" s="33"/>
      <c r="JN77" s="33"/>
      <c r="JO77" s="33"/>
      <c r="JP77" s="33"/>
      <c r="JQ77" s="33"/>
      <c r="JR77" s="33"/>
      <c r="KZ77" s="33"/>
      <c r="LA77" s="33"/>
      <c r="LB77" s="33"/>
      <c r="LC77" s="33"/>
      <c r="LD77" s="33"/>
      <c r="LE77" s="33"/>
      <c r="LF77" s="33"/>
      <c r="LG77" s="33"/>
      <c r="LH77" s="33"/>
      <c r="LI77" s="33"/>
      <c r="LJ77" s="33"/>
      <c r="LK77" s="33"/>
      <c r="LL77" s="33"/>
      <c r="LM77" s="33"/>
      <c r="LN77" s="33"/>
      <c r="LO77" s="33"/>
      <c r="LP77" s="44"/>
      <c r="LQ77" s="44"/>
      <c r="LR77" s="44"/>
      <c r="LS77" s="44"/>
      <c r="LT77" s="44"/>
      <c r="LU77" s="44"/>
      <c r="LV77" s="44"/>
    </row>
    <row r="78" spans="1:334" x14ac:dyDescent="0.2">
      <c r="A78" s="1" t="s">
        <v>8158</v>
      </c>
      <c r="B78" s="1" t="s">
        <v>7232</v>
      </c>
      <c r="D78" s="1" t="s">
        <v>8131</v>
      </c>
      <c r="E78" s="1" t="s">
        <v>7</v>
      </c>
      <c r="F78" s="1" t="s">
        <v>8132</v>
      </c>
      <c r="G78" s="1" t="s">
        <v>8149</v>
      </c>
      <c r="H78" s="1" t="s">
        <v>8150</v>
      </c>
      <c r="J78" s="1" t="s">
        <v>8151</v>
      </c>
      <c r="K78" s="1">
        <v>2011</v>
      </c>
      <c r="L78" s="1" t="s">
        <v>8152</v>
      </c>
      <c r="M78" s="1" t="s">
        <v>7657</v>
      </c>
      <c r="N78" s="17" t="s">
        <v>7945</v>
      </c>
      <c r="O78" s="33"/>
      <c r="P78" s="33"/>
      <c r="Q78" s="33"/>
      <c r="R78" s="33"/>
      <c r="S78" s="33">
        <v>9.8000000000000007</v>
      </c>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v>5.4210199999999995</v>
      </c>
      <c r="EU78" s="33"/>
      <c r="EV78" s="33"/>
      <c r="EW78" s="33"/>
      <c r="EX78" s="33"/>
      <c r="EY78" s="33">
        <v>47.535400000000003</v>
      </c>
      <c r="EZ78" s="33">
        <v>8.7493999999999996</v>
      </c>
      <c r="FA78" s="33"/>
      <c r="FB78" s="33"/>
      <c r="FC78" s="33">
        <v>24.534400000000002</v>
      </c>
      <c r="FD78" s="33"/>
      <c r="FE78" s="33" t="s">
        <v>17</v>
      </c>
      <c r="FF78" s="33"/>
      <c r="FG78" s="33">
        <v>3.6080000000000001E-3</v>
      </c>
      <c r="FH78" s="33">
        <v>4.4198000000000001E-2</v>
      </c>
      <c r="FI78" s="33">
        <v>80.909400000000005</v>
      </c>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c r="IV78" s="33"/>
      <c r="IW78" s="33"/>
      <c r="IX78" s="33"/>
      <c r="IY78" s="33"/>
      <c r="IZ78" s="33"/>
      <c r="JA78" s="33"/>
      <c r="JB78" s="33"/>
      <c r="JC78" s="33"/>
      <c r="JD78" s="33"/>
      <c r="JE78" s="33"/>
      <c r="JF78" s="33"/>
      <c r="JG78" s="33"/>
      <c r="JH78" s="33"/>
      <c r="JI78" s="33"/>
      <c r="JJ78" s="33"/>
      <c r="JK78" s="33"/>
      <c r="JL78" s="33"/>
      <c r="JM78" s="33"/>
      <c r="JN78" s="33"/>
      <c r="JO78" s="33"/>
      <c r="JP78" s="33"/>
      <c r="JQ78" s="33"/>
      <c r="JR78" s="33"/>
      <c r="KZ78" s="33"/>
      <c r="LA78" s="33"/>
      <c r="LB78" s="33"/>
      <c r="LC78" s="33"/>
      <c r="LD78" s="33"/>
      <c r="LE78" s="33"/>
      <c r="LF78" s="33"/>
      <c r="LG78" s="33"/>
      <c r="LH78" s="33"/>
      <c r="LI78" s="33"/>
      <c r="LJ78" s="33"/>
      <c r="LK78" s="33"/>
      <c r="LL78" s="33"/>
      <c r="LM78" s="33"/>
      <c r="LN78" s="33"/>
      <c r="LO78" s="33"/>
      <c r="LP78" s="44"/>
      <c r="LQ78" s="44"/>
      <c r="LR78" s="44"/>
      <c r="LS78" s="44"/>
      <c r="LT78" s="44"/>
      <c r="LU78" s="44"/>
      <c r="LV78" s="44"/>
    </row>
    <row r="79" spans="1:334" x14ac:dyDescent="0.2">
      <c r="A79" s="1" t="s">
        <v>8159</v>
      </c>
      <c r="B79" s="1" t="s">
        <v>7232</v>
      </c>
      <c r="D79" s="1" t="s">
        <v>345</v>
      </c>
      <c r="E79" s="1" t="s">
        <v>7</v>
      </c>
      <c r="F79" s="1" t="s">
        <v>8160</v>
      </c>
      <c r="G79" s="1" t="s">
        <v>8149</v>
      </c>
      <c r="H79" s="1" t="s">
        <v>8150</v>
      </c>
      <c r="J79" s="1" t="s">
        <v>8151</v>
      </c>
      <c r="K79" s="1">
        <v>2011</v>
      </c>
      <c r="L79" s="1" t="s">
        <v>8152</v>
      </c>
      <c r="M79" s="1" t="s">
        <v>7657</v>
      </c>
      <c r="N79" s="17" t="s">
        <v>7945</v>
      </c>
      <c r="O79" s="33"/>
      <c r="P79" s="33"/>
      <c r="Q79" s="33"/>
      <c r="R79" s="33"/>
      <c r="S79" s="33">
        <v>13.4</v>
      </c>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v>0.54557999999999995</v>
      </c>
      <c r="EU79" s="33"/>
      <c r="EV79" s="33"/>
      <c r="EW79" s="33"/>
      <c r="EX79" s="33"/>
      <c r="EY79" s="33" t="s">
        <v>17</v>
      </c>
      <c r="EZ79" s="33">
        <v>3.2907999999999999</v>
      </c>
      <c r="FA79" s="33"/>
      <c r="FB79" s="33"/>
      <c r="FC79" s="33">
        <v>79.1524</v>
      </c>
      <c r="FD79" s="33"/>
      <c r="FE79" s="33">
        <v>0.17319999999999999</v>
      </c>
      <c r="FF79" s="33"/>
      <c r="FG79" s="33">
        <v>8.6600000000000002E-4</v>
      </c>
      <c r="FH79" s="33">
        <v>1.732E-3</v>
      </c>
      <c r="FI79" s="33">
        <v>82.616399999999999</v>
      </c>
      <c r="FJ79" s="33"/>
      <c r="FK79" s="33"/>
      <c r="FL79" s="33"/>
      <c r="FM79" s="33"/>
      <c r="FN79" s="33"/>
      <c r="FO79" s="33"/>
      <c r="FP79" s="33"/>
      <c r="FQ79" s="33"/>
      <c r="FR79" s="33"/>
      <c r="FS79" s="33"/>
      <c r="FT79" s="33"/>
      <c r="FU79" s="33"/>
      <c r="FV79" s="33"/>
      <c r="FW79" s="33"/>
      <c r="FX79" s="33"/>
      <c r="FY79" s="33"/>
      <c r="FZ79" s="33"/>
      <c r="GA79" s="33"/>
      <c r="GB79" s="33"/>
      <c r="GC79" s="33"/>
      <c r="GD79" s="33"/>
      <c r="GE79" s="33"/>
      <c r="GF79" s="33"/>
      <c r="GG79" s="33"/>
      <c r="GH79" s="33"/>
      <c r="GI79" s="33"/>
      <c r="GJ79" s="33"/>
      <c r="GK79" s="33"/>
      <c r="GL79" s="33"/>
      <c r="GM79" s="33"/>
      <c r="GN79" s="33"/>
      <c r="GO79" s="33"/>
      <c r="GP79" s="33"/>
      <c r="GQ79" s="33"/>
      <c r="GR79" s="33"/>
      <c r="GS79" s="33"/>
      <c r="GT79" s="33"/>
      <c r="GU79" s="33"/>
      <c r="GV79" s="33"/>
      <c r="GW79" s="33"/>
      <c r="GX79" s="33"/>
      <c r="GY79" s="33"/>
      <c r="GZ79" s="33"/>
      <c r="HA79" s="33"/>
      <c r="HB79" s="33"/>
      <c r="HC79" s="33"/>
      <c r="HD79" s="33"/>
      <c r="HE79" s="33"/>
      <c r="HF79" s="33"/>
      <c r="HG79" s="33"/>
      <c r="HH79" s="33"/>
      <c r="HI79" s="33"/>
      <c r="HJ79" s="33"/>
      <c r="HK79" s="33"/>
      <c r="HL79" s="33"/>
      <c r="HM79" s="33"/>
      <c r="HN79" s="33"/>
      <c r="HO79" s="33"/>
      <c r="HP79" s="33"/>
      <c r="HQ79" s="33"/>
      <c r="HR79" s="33"/>
      <c r="HS79" s="33"/>
      <c r="HT79" s="33"/>
      <c r="HU79" s="33"/>
      <c r="HV79" s="33"/>
      <c r="HW79" s="33"/>
      <c r="HX79" s="33"/>
      <c r="HY79" s="33"/>
      <c r="HZ79" s="33"/>
      <c r="IA79" s="33"/>
      <c r="IB79" s="33"/>
      <c r="IC79" s="33"/>
      <c r="ID79" s="33"/>
      <c r="IE79" s="33"/>
      <c r="IF79" s="33"/>
      <c r="IG79" s="33"/>
      <c r="IH79" s="33"/>
      <c r="II79" s="33"/>
      <c r="IJ79" s="33"/>
      <c r="IK79" s="33"/>
      <c r="IL79" s="33"/>
      <c r="IM79" s="33"/>
      <c r="IN79" s="33"/>
      <c r="IO79" s="33"/>
      <c r="IP79" s="33"/>
      <c r="IQ79" s="33"/>
      <c r="IR79" s="33"/>
      <c r="IS79" s="33"/>
      <c r="IT79" s="33"/>
      <c r="IU79" s="33"/>
      <c r="IV79" s="33"/>
      <c r="IW79" s="33"/>
      <c r="IX79" s="33"/>
      <c r="IY79" s="33"/>
      <c r="IZ79" s="33"/>
      <c r="JA79" s="33"/>
      <c r="JB79" s="33"/>
      <c r="JC79" s="33"/>
      <c r="JD79" s="33"/>
      <c r="JE79" s="33"/>
      <c r="JF79" s="33"/>
      <c r="JG79" s="33"/>
      <c r="JH79" s="33"/>
      <c r="JI79" s="33"/>
      <c r="JJ79" s="33"/>
      <c r="JK79" s="33"/>
      <c r="JL79" s="33"/>
      <c r="JM79" s="33"/>
      <c r="JN79" s="33"/>
      <c r="JO79" s="33"/>
      <c r="JP79" s="33"/>
      <c r="JQ79" s="33"/>
      <c r="JR79" s="33"/>
      <c r="KZ79" s="33"/>
      <c r="LA79" s="33"/>
      <c r="LB79" s="33"/>
      <c r="LC79" s="33"/>
      <c r="LD79" s="33"/>
      <c r="LE79" s="33"/>
      <c r="LF79" s="33"/>
      <c r="LG79" s="33"/>
      <c r="LH79" s="33"/>
      <c r="LI79" s="33"/>
      <c r="LJ79" s="33"/>
      <c r="LK79" s="33"/>
      <c r="LL79" s="33"/>
      <c r="LM79" s="33"/>
      <c r="LN79" s="33"/>
      <c r="LO79" s="33"/>
      <c r="LP79" s="44"/>
      <c r="LQ79" s="44"/>
      <c r="LR79" s="44"/>
      <c r="LS79" s="44"/>
      <c r="LT79" s="44"/>
      <c r="LU79" s="44"/>
      <c r="LV79" s="44"/>
    </row>
    <row r="80" spans="1:334" x14ac:dyDescent="0.2">
      <c r="A80" s="1" t="s">
        <v>8161</v>
      </c>
      <c r="B80" s="1" t="s">
        <v>7232</v>
      </c>
      <c r="D80" s="1" t="s">
        <v>8162</v>
      </c>
      <c r="E80" s="1" t="s">
        <v>8099</v>
      </c>
      <c r="F80" s="1" t="s">
        <v>8163</v>
      </c>
      <c r="G80" s="1" t="s">
        <v>8149</v>
      </c>
      <c r="H80" s="1" t="s">
        <v>8150</v>
      </c>
      <c r="J80" s="1" t="s">
        <v>8151</v>
      </c>
      <c r="K80" s="1">
        <v>2011</v>
      </c>
      <c r="L80" s="1" t="s">
        <v>8152</v>
      </c>
      <c r="M80" s="1" t="s">
        <v>7657</v>
      </c>
      <c r="N80" s="17" t="s">
        <v>7945</v>
      </c>
      <c r="O80" s="33"/>
      <c r="P80" s="33"/>
      <c r="Q80" s="33"/>
      <c r="R80" s="33"/>
      <c r="S80" s="33">
        <v>10.1</v>
      </c>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v>1.3305200000000001</v>
      </c>
      <c r="EU80" s="33"/>
      <c r="EV80" s="33"/>
      <c r="EW80" s="33"/>
      <c r="EX80" s="33"/>
      <c r="EY80" s="33" t="s">
        <v>17</v>
      </c>
      <c r="EZ80" s="33">
        <v>8.001100000000001</v>
      </c>
      <c r="FA80" s="33"/>
      <c r="FB80" s="33"/>
      <c r="FC80" s="33" t="s">
        <v>17</v>
      </c>
      <c r="FD80" s="33"/>
      <c r="FE80" s="33" t="s">
        <v>17</v>
      </c>
      <c r="FF80" s="33"/>
      <c r="FG80" s="33">
        <v>2.6969999999999997E-3</v>
      </c>
      <c r="FH80" s="33">
        <v>1.0787999999999999E-2</v>
      </c>
      <c r="FI80" s="33">
        <v>8.001100000000001</v>
      </c>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c r="IV80" s="33"/>
      <c r="IW80" s="33"/>
      <c r="IX80" s="33"/>
      <c r="IY80" s="33"/>
      <c r="IZ80" s="33"/>
      <c r="JA80" s="33"/>
      <c r="JB80" s="33"/>
      <c r="JC80" s="33"/>
      <c r="JD80" s="33"/>
      <c r="JE80" s="33"/>
      <c r="JF80" s="33"/>
      <c r="JG80" s="33"/>
      <c r="JH80" s="33"/>
      <c r="JI80" s="33"/>
      <c r="JJ80" s="33"/>
      <c r="JK80" s="33"/>
      <c r="JL80" s="33"/>
      <c r="JM80" s="33"/>
      <c r="JN80" s="33"/>
      <c r="JO80" s="33"/>
      <c r="JP80" s="33"/>
      <c r="JQ80" s="33"/>
      <c r="JR80" s="33"/>
      <c r="KZ80" s="33"/>
      <c r="LA80" s="33"/>
      <c r="LB80" s="33"/>
      <c r="LC80" s="33"/>
      <c r="LD80" s="33"/>
      <c r="LE80" s="33"/>
      <c r="LF80" s="33"/>
      <c r="LG80" s="33"/>
      <c r="LH80" s="33"/>
      <c r="LI80" s="33"/>
      <c r="LJ80" s="33"/>
      <c r="LK80" s="33"/>
      <c r="LL80" s="33"/>
      <c r="LM80" s="33"/>
      <c r="LN80" s="33"/>
      <c r="LO80" s="33"/>
      <c r="LP80" s="44"/>
      <c r="LQ80" s="44"/>
      <c r="LR80" s="44"/>
      <c r="LS80" s="44"/>
      <c r="LT80" s="44"/>
      <c r="LU80" s="44"/>
      <c r="LV80" s="44"/>
    </row>
    <row r="81" spans="1:334" x14ac:dyDescent="0.2">
      <c r="A81" s="1" t="s">
        <v>8164</v>
      </c>
      <c r="B81" s="1" t="s">
        <v>7232</v>
      </c>
      <c r="D81" s="1" t="s">
        <v>8165</v>
      </c>
      <c r="E81" s="1" t="s">
        <v>7</v>
      </c>
      <c r="F81" s="1" t="s">
        <v>8163</v>
      </c>
      <c r="G81" s="1" t="s">
        <v>8149</v>
      </c>
      <c r="H81" s="1" t="s">
        <v>8150</v>
      </c>
      <c r="J81" s="1" t="s">
        <v>8151</v>
      </c>
      <c r="K81" s="1">
        <v>2011</v>
      </c>
      <c r="L81" s="1" t="s">
        <v>8152</v>
      </c>
      <c r="M81" s="1" t="s">
        <v>7657</v>
      </c>
      <c r="N81" s="17" t="s">
        <v>7945</v>
      </c>
      <c r="O81" s="33"/>
      <c r="P81" s="33"/>
      <c r="Q81" s="33"/>
      <c r="R81" s="33"/>
      <c r="S81" s="33">
        <v>10.4</v>
      </c>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v>0.98560000000000003</v>
      </c>
      <c r="EU81" s="33"/>
      <c r="EV81" s="33"/>
      <c r="EW81" s="33"/>
      <c r="EX81" s="33"/>
      <c r="EY81" s="33" t="s">
        <v>17</v>
      </c>
      <c r="EZ81" s="33">
        <v>5.9135999999999989</v>
      </c>
      <c r="FA81" s="33"/>
      <c r="FB81" s="33"/>
      <c r="FC81" s="33">
        <v>78.847999999999999</v>
      </c>
      <c r="FD81" s="33"/>
      <c r="FE81" s="33">
        <v>8.9599999999999985E-2</v>
      </c>
      <c r="FF81" s="33"/>
      <c r="FG81" s="33">
        <v>8.9599999999999999E-4</v>
      </c>
      <c r="FH81" s="33">
        <v>1.792E-3</v>
      </c>
      <c r="FI81" s="33">
        <v>84.851199999999992</v>
      </c>
      <c r="FJ81" s="33"/>
      <c r="FK81" s="33"/>
      <c r="FL81" s="33"/>
      <c r="FM81" s="33"/>
      <c r="FN81" s="33"/>
      <c r="FO81" s="33"/>
      <c r="FP81" s="33"/>
      <c r="FQ81" s="33"/>
      <c r="FR81" s="33"/>
      <c r="FS81" s="33"/>
      <c r="FT81" s="33"/>
      <c r="FU81" s="33"/>
      <c r="FV81" s="33"/>
      <c r="FW81" s="33"/>
      <c r="FX81" s="33"/>
      <c r="FY81" s="33"/>
      <c r="FZ81" s="33"/>
      <c r="GA81" s="33"/>
      <c r="GB81" s="33"/>
      <c r="GC81" s="33"/>
      <c r="GD81" s="33"/>
      <c r="GE81" s="33"/>
      <c r="GF81" s="33"/>
      <c r="GG81" s="33"/>
      <c r="GH81" s="33"/>
      <c r="GI81" s="33"/>
      <c r="GJ81" s="33"/>
      <c r="GK81" s="33"/>
      <c r="GL81" s="33"/>
      <c r="GM81" s="33"/>
      <c r="GN81" s="33"/>
      <c r="GO81" s="33"/>
      <c r="GP81" s="33"/>
      <c r="GQ81" s="33"/>
      <c r="GR81" s="33"/>
      <c r="GS81" s="33"/>
      <c r="GT81" s="33"/>
      <c r="GU81" s="33"/>
      <c r="GV81" s="33"/>
      <c r="GW81" s="33"/>
      <c r="GX81" s="33"/>
      <c r="GY81" s="33"/>
      <c r="GZ81" s="33"/>
      <c r="HA81" s="33"/>
      <c r="HB81" s="33"/>
      <c r="HC81" s="33"/>
      <c r="HD81" s="33"/>
      <c r="HE81" s="33"/>
      <c r="HF81" s="33"/>
      <c r="HG81" s="33"/>
      <c r="HH81" s="33"/>
      <c r="HI81" s="33"/>
      <c r="HJ81" s="33"/>
      <c r="HK81" s="33"/>
      <c r="HL81" s="33"/>
      <c r="HM81" s="33"/>
      <c r="HN81" s="33"/>
      <c r="HO81" s="33"/>
      <c r="HP81" s="33"/>
      <c r="HQ81" s="33"/>
      <c r="HR81" s="33"/>
      <c r="HS81" s="33"/>
      <c r="HT81" s="33"/>
      <c r="HU81" s="33"/>
      <c r="HV81" s="33"/>
      <c r="HW81" s="33"/>
      <c r="HX81" s="33"/>
      <c r="HY81" s="33"/>
      <c r="HZ81" s="33"/>
      <c r="IA81" s="33"/>
      <c r="IB81" s="33"/>
      <c r="IC81" s="33"/>
      <c r="ID81" s="33"/>
      <c r="IE81" s="33"/>
      <c r="IF81" s="33"/>
      <c r="IG81" s="33"/>
      <c r="IH81" s="33"/>
      <c r="II81" s="33"/>
      <c r="IJ81" s="33"/>
      <c r="IK81" s="33"/>
      <c r="IL81" s="33"/>
      <c r="IM81" s="33"/>
      <c r="IN81" s="33"/>
      <c r="IO81" s="33"/>
      <c r="IP81" s="33"/>
      <c r="IQ81" s="33"/>
      <c r="IR81" s="33"/>
      <c r="IS81" s="33"/>
      <c r="IT81" s="33"/>
      <c r="IU81" s="33"/>
      <c r="IV81" s="33"/>
      <c r="IW81" s="33"/>
      <c r="IX81" s="33"/>
      <c r="IY81" s="33"/>
      <c r="IZ81" s="33"/>
      <c r="JA81" s="33"/>
      <c r="JB81" s="33"/>
      <c r="JC81" s="33"/>
      <c r="JD81" s="33"/>
      <c r="JE81" s="33"/>
      <c r="JF81" s="33"/>
      <c r="JG81" s="33"/>
      <c r="JH81" s="33"/>
      <c r="JI81" s="33"/>
      <c r="JJ81" s="33"/>
      <c r="JK81" s="33"/>
      <c r="JL81" s="33"/>
      <c r="JM81" s="33"/>
      <c r="JN81" s="33"/>
      <c r="JO81" s="33"/>
      <c r="JP81" s="33"/>
      <c r="JQ81" s="33"/>
      <c r="JR81" s="33"/>
      <c r="KZ81" s="33"/>
      <c r="LA81" s="33"/>
      <c r="LB81" s="33"/>
      <c r="LC81" s="33"/>
      <c r="LD81" s="33"/>
      <c r="LE81" s="33"/>
      <c r="LF81" s="33"/>
      <c r="LG81" s="33"/>
      <c r="LH81" s="33"/>
      <c r="LI81" s="33"/>
      <c r="LJ81" s="33"/>
      <c r="LK81" s="33"/>
      <c r="LL81" s="33"/>
      <c r="LM81" s="33"/>
      <c r="LN81" s="33"/>
      <c r="LO81" s="33"/>
      <c r="LP81" s="44"/>
      <c r="LQ81" s="44"/>
      <c r="LR81" s="44"/>
      <c r="LS81" s="44"/>
      <c r="LT81" s="44"/>
      <c r="LU81" s="44"/>
      <c r="LV81" s="44"/>
    </row>
    <row r="82" spans="1:334" x14ac:dyDescent="0.2">
      <c r="A82" s="1" t="s">
        <v>8166</v>
      </c>
      <c r="B82" s="1" t="s">
        <v>7232</v>
      </c>
      <c r="D82" s="1" t="s">
        <v>8167</v>
      </c>
      <c r="E82" s="1" t="s">
        <v>7</v>
      </c>
      <c r="F82" s="1" t="s">
        <v>8168</v>
      </c>
      <c r="G82" s="1" t="s">
        <v>8149</v>
      </c>
      <c r="H82" s="1" t="s">
        <v>8150</v>
      </c>
      <c r="J82" s="1" t="s">
        <v>8151</v>
      </c>
      <c r="K82" s="1">
        <v>2011</v>
      </c>
      <c r="L82" s="1" t="s">
        <v>8152</v>
      </c>
      <c r="M82" s="1" t="s">
        <v>7657</v>
      </c>
      <c r="N82" s="17" t="s">
        <v>7945</v>
      </c>
      <c r="O82" s="33"/>
      <c r="P82" s="33"/>
      <c r="Q82" s="33"/>
      <c r="R82" s="33"/>
      <c r="S82" s="33">
        <v>11.8</v>
      </c>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v>2.43432</v>
      </c>
      <c r="EU82" s="33"/>
      <c r="EV82" s="33"/>
      <c r="EW82" s="33"/>
      <c r="EX82" s="33"/>
      <c r="EY82" s="33">
        <v>13.318199999999999</v>
      </c>
      <c r="EZ82" s="33">
        <v>7.9380000000000006</v>
      </c>
      <c r="FA82" s="33"/>
      <c r="FB82" s="33"/>
      <c r="FC82" s="33">
        <v>69.325199999999995</v>
      </c>
      <c r="FD82" s="33"/>
      <c r="FE82" s="33">
        <v>0.1764</v>
      </c>
      <c r="FF82" s="33"/>
      <c r="FG82" s="33">
        <v>1.7639999999999999E-3</v>
      </c>
      <c r="FH82" s="33">
        <v>1.7639999999999999E-3</v>
      </c>
      <c r="FI82" s="33">
        <v>90.757800000000003</v>
      </c>
      <c r="FJ82" s="33"/>
      <c r="FK82" s="33"/>
      <c r="FL82" s="33"/>
      <c r="FM82" s="33"/>
      <c r="FN82" s="33"/>
      <c r="FO82" s="33"/>
      <c r="FP82" s="33"/>
      <c r="FQ82" s="33"/>
      <c r="FR82" s="33"/>
      <c r="FS82" s="33"/>
      <c r="FT82" s="33"/>
      <c r="FU82" s="33"/>
      <c r="FV82" s="33"/>
      <c r="FW82" s="33"/>
      <c r="FX82" s="33"/>
      <c r="FY82" s="33"/>
      <c r="FZ82" s="33"/>
      <c r="GA82" s="33"/>
      <c r="GB82" s="33"/>
      <c r="GC82" s="33"/>
      <c r="GD82" s="33"/>
      <c r="GE82" s="33"/>
      <c r="GF82" s="33"/>
      <c r="GG82" s="33"/>
      <c r="GH82" s="33"/>
      <c r="GI82" s="33"/>
      <c r="GJ82" s="33"/>
      <c r="GK82" s="33"/>
      <c r="GL82" s="33"/>
      <c r="GM82" s="33"/>
      <c r="GN82" s="33"/>
      <c r="GO82" s="33"/>
      <c r="GP82" s="33"/>
      <c r="GQ82" s="33"/>
      <c r="GR82" s="33"/>
      <c r="GS82" s="33"/>
      <c r="GT82" s="33"/>
      <c r="GU82" s="33"/>
      <c r="GV82" s="33"/>
      <c r="GW82" s="33"/>
      <c r="GX82" s="33"/>
      <c r="GY82" s="33"/>
      <c r="GZ82" s="33"/>
      <c r="HA82" s="33"/>
      <c r="HB82" s="33"/>
      <c r="HC82" s="33"/>
      <c r="HD82" s="33"/>
      <c r="HE82" s="33"/>
      <c r="HF82" s="33"/>
      <c r="HG82" s="33"/>
      <c r="HH82" s="33"/>
      <c r="HI82" s="33"/>
      <c r="HJ82" s="33"/>
      <c r="HK82" s="33"/>
      <c r="HL82" s="33"/>
      <c r="HM82" s="33"/>
      <c r="HN82" s="33"/>
      <c r="HO82" s="33"/>
      <c r="HP82" s="33"/>
      <c r="HQ82" s="33"/>
      <c r="HR82" s="33"/>
      <c r="HS82" s="33"/>
      <c r="HT82" s="33"/>
      <c r="HU82" s="33"/>
      <c r="HV82" s="33"/>
      <c r="HW82" s="33"/>
      <c r="HX82" s="33"/>
      <c r="HY82" s="33"/>
      <c r="HZ82" s="33"/>
      <c r="IA82" s="33"/>
      <c r="IB82" s="33"/>
      <c r="IC82" s="33"/>
      <c r="ID82" s="33"/>
      <c r="IE82" s="33"/>
      <c r="IF82" s="33"/>
      <c r="IG82" s="33"/>
      <c r="IH82" s="33"/>
      <c r="II82" s="33"/>
      <c r="IJ82" s="33"/>
      <c r="IK82" s="33"/>
      <c r="IL82" s="33"/>
      <c r="IM82" s="33"/>
      <c r="IN82" s="33"/>
      <c r="IO82" s="33"/>
      <c r="IP82" s="33"/>
      <c r="IQ82" s="33"/>
      <c r="IR82" s="33"/>
      <c r="IS82" s="33"/>
      <c r="IT82" s="33"/>
      <c r="IU82" s="33"/>
      <c r="IV82" s="33"/>
      <c r="IW82" s="33"/>
      <c r="IX82" s="33"/>
      <c r="IY82" s="33"/>
      <c r="IZ82" s="33"/>
      <c r="JA82" s="33"/>
      <c r="JB82" s="33"/>
      <c r="JC82" s="33"/>
      <c r="JD82" s="33"/>
      <c r="JE82" s="33"/>
      <c r="JF82" s="33"/>
      <c r="JG82" s="33"/>
      <c r="JH82" s="33"/>
      <c r="JI82" s="33"/>
      <c r="JJ82" s="33"/>
      <c r="JK82" s="33"/>
      <c r="JL82" s="33"/>
      <c r="JM82" s="33"/>
      <c r="JN82" s="33"/>
      <c r="JO82" s="33"/>
      <c r="JP82" s="33"/>
      <c r="JQ82" s="33"/>
      <c r="JR82" s="33"/>
      <c r="KZ82" s="33"/>
      <c r="LA82" s="33"/>
      <c r="LB82" s="33"/>
      <c r="LC82" s="33"/>
      <c r="LD82" s="33"/>
      <c r="LE82" s="33"/>
      <c r="LF82" s="33"/>
      <c r="LG82" s="33"/>
      <c r="LH82" s="33"/>
      <c r="LI82" s="33"/>
      <c r="LJ82" s="33"/>
      <c r="LK82" s="33"/>
      <c r="LL82" s="33"/>
      <c r="LM82" s="33"/>
      <c r="LN82" s="33"/>
      <c r="LO82" s="33"/>
      <c r="LP82" s="44"/>
      <c r="LQ82" s="44"/>
      <c r="LR82" s="44"/>
      <c r="LS82" s="44"/>
      <c r="LT82" s="44"/>
      <c r="LU82" s="44"/>
      <c r="LV82" s="44"/>
    </row>
    <row r="83" spans="1:334" x14ac:dyDescent="0.2">
      <c r="A83" s="1" t="s">
        <v>8169</v>
      </c>
      <c r="B83" s="1" t="s">
        <v>7232</v>
      </c>
      <c r="D83" s="1" t="s">
        <v>8170</v>
      </c>
      <c r="E83" s="1" t="s">
        <v>8099</v>
      </c>
      <c r="F83" s="1" t="s">
        <v>8171</v>
      </c>
      <c r="G83" s="1" t="s">
        <v>8149</v>
      </c>
      <c r="H83" s="1" t="s">
        <v>8150</v>
      </c>
      <c r="J83" s="1" t="s">
        <v>8151</v>
      </c>
      <c r="K83" s="1">
        <v>2011</v>
      </c>
      <c r="L83" s="1" t="s">
        <v>8152</v>
      </c>
      <c r="M83" s="1" t="s">
        <v>7657</v>
      </c>
      <c r="N83" s="17" t="s">
        <v>7945</v>
      </c>
      <c r="O83" s="33"/>
      <c r="P83" s="33"/>
      <c r="Q83" s="33"/>
      <c r="R83" s="33"/>
      <c r="S83" s="33">
        <v>12.4</v>
      </c>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v>7.0080000000000003E-2</v>
      </c>
      <c r="EU83" s="33"/>
      <c r="EV83" s="33"/>
      <c r="EW83" s="33"/>
      <c r="EX83" s="33"/>
      <c r="EY83" s="33" t="s">
        <v>17</v>
      </c>
      <c r="EZ83" s="33">
        <v>0.43799999999999994</v>
      </c>
      <c r="FA83" s="33"/>
      <c r="FB83" s="33"/>
      <c r="FC83" s="33">
        <v>90.052799999999991</v>
      </c>
      <c r="FD83" s="33"/>
      <c r="FE83" s="33">
        <v>0.35039999999999999</v>
      </c>
      <c r="FF83" s="33"/>
      <c r="FG83" s="33" t="s">
        <v>17</v>
      </c>
      <c r="FH83" s="33">
        <v>1.7519999999999999E-3</v>
      </c>
      <c r="FI83" s="33">
        <v>90.841199999999986</v>
      </c>
      <c r="FJ83" s="33"/>
      <c r="FK83" s="33"/>
      <c r="FL83" s="33"/>
      <c r="FM83" s="33"/>
      <c r="FN83" s="33"/>
      <c r="FO83" s="33"/>
      <c r="FP83" s="33"/>
      <c r="FQ83" s="33"/>
      <c r="FR83" s="33"/>
      <c r="FS83" s="33"/>
      <c r="FT83" s="33"/>
      <c r="FU83" s="33"/>
      <c r="FV83" s="33"/>
      <c r="FW83" s="33"/>
      <c r="FX83" s="33"/>
      <c r="FY83" s="33"/>
      <c r="FZ83" s="33"/>
      <c r="GA83" s="33"/>
      <c r="GB83" s="33"/>
      <c r="GC83" s="33"/>
      <c r="GD83" s="33"/>
      <c r="GE83" s="33"/>
      <c r="GF83" s="33"/>
      <c r="GG83" s="33"/>
      <c r="GH83" s="33"/>
      <c r="GI83" s="33"/>
      <c r="GJ83" s="33"/>
      <c r="GK83" s="33"/>
      <c r="GL83" s="33"/>
      <c r="GM83" s="33"/>
      <c r="GN83" s="33"/>
      <c r="GO83" s="33"/>
      <c r="GP83" s="33"/>
      <c r="GQ83" s="33"/>
      <c r="GR83" s="33"/>
      <c r="GS83" s="33"/>
      <c r="GT83" s="33"/>
      <c r="GU83" s="33"/>
      <c r="GV83" s="33"/>
      <c r="GW83" s="33"/>
      <c r="GX83" s="33"/>
      <c r="GY83" s="33"/>
      <c r="GZ83" s="33"/>
      <c r="HA83" s="33"/>
      <c r="HB83" s="33"/>
      <c r="HC83" s="33"/>
      <c r="HD83" s="33"/>
      <c r="HE83" s="33"/>
      <c r="HF83" s="33"/>
      <c r="HG83" s="33"/>
      <c r="HH83" s="33"/>
      <c r="HI83" s="33"/>
      <c r="HJ83" s="33"/>
      <c r="HK83" s="33"/>
      <c r="HL83" s="33"/>
      <c r="HM83" s="33"/>
      <c r="HN83" s="33"/>
      <c r="HO83" s="33"/>
      <c r="HP83" s="33"/>
      <c r="HQ83" s="33"/>
      <c r="HR83" s="33"/>
      <c r="HS83" s="33"/>
      <c r="HT83" s="33"/>
      <c r="HU83" s="33"/>
      <c r="HV83" s="33"/>
      <c r="HW83" s="33"/>
      <c r="HX83" s="33"/>
      <c r="HY83" s="33"/>
      <c r="HZ83" s="33"/>
      <c r="IA83" s="33"/>
      <c r="IB83" s="33"/>
      <c r="IC83" s="33"/>
      <c r="ID83" s="33"/>
      <c r="IE83" s="33"/>
      <c r="IF83" s="33"/>
      <c r="IG83" s="33"/>
      <c r="IH83" s="33"/>
      <c r="II83" s="33"/>
      <c r="IJ83" s="33"/>
      <c r="IK83" s="33"/>
      <c r="IL83" s="33"/>
      <c r="IM83" s="33"/>
      <c r="IN83" s="33"/>
      <c r="IO83" s="33"/>
      <c r="IP83" s="33"/>
      <c r="IQ83" s="33"/>
      <c r="IR83" s="33"/>
      <c r="IS83" s="33"/>
      <c r="IT83" s="33"/>
      <c r="IU83" s="33"/>
      <c r="IV83" s="33"/>
      <c r="IW83" s="33"/>
      <c r="IX83" s="33"/>
      <c r="IY83" s="33"/>
      <c r="IZ83" s="33"/>
      <c r="JA83" s="33"/>
      <c r="JB83" s="33"/>
      <c r="JC83" s="33"/>
      <c r="JD83" s="33"/>
      <c r="JE83" s="33"/>
      <c r="JF83" s="33"/>
      <c r="JG83" s="33"/>
      <c r="JH83" s="33"/>
      <c r="JI83" s="33"/>
      <c r="JJ83" s="33"/>
      <c r="JK83" s="33"/>
      <c r="JL83" s="33"/>
      <c r="JM83" s="33"/>
      <c r="JN83" s="33"/>
      <c r="JO83" s="33"/>
      <c r="JP83" s="33"/>
      <c r="JQ83" s="33"/>
      <c r="JR83" s="33"/>
      <c r="KZ83" s="33"/>
      <c r="LA83" s="33"/>
      <c r="LB83" s="33"/>
      <c r="LC83" s="33"/>
      <c r="LD83" s="33"/>
      <c r="LE83" s="33"/>
      <c r="LF83" s="33"/>
      <c r="LG83" s="33"/>
      <c r="LH83" s="33"/>
      <c r="LI83" s="33"/>
      <c r="LJ83" s="33"/>
      <c r="LK83" s="33"/>
      <c r="LL83" s="33"/>
      <c r="LM83" s="33"/>
      <c r="LN83" s="33"/>
      <c r="LO83" s="33"/>
      <c r="LP83" s="44"/>
      <c r="LQ83" s="44"/>
      <c r="LR83" s="44"/>
      <c r="LS83" s="44"/>
      <c r="LT83" s="44"/>
      <c r="LU83" s="44"/>
      <c r="LV83" s="44"/>
    </row>
    <row r="84" spans="1:334" x14ac:dyDescent="0.2">
      <c r="A84" s="1" t="s">
        <v>8172</v>
      </c>
      <c r="B84" s="1" t="s">
        <v>8173</v>
      </c>
      <c r="D84" s="1" t="s">
        <v>8174</v>
      </c>
      <c r="E84" s="1" t="s">
        <v>7966</v>
      </c>
      <c r="F84" s="1" t="s">
        <v>8094</v>
      </c>
      <c r="I84" s="1">
        <v>4</v>
      </c>
      <c r="K84" s="1">
        <v>1991</v>
      </c>
      <c r="L84" s="1" t="s">
        <v>8175</v>
      </c>
      <c r="M84" s="1" t="s">
        <v>7657</v>
      </c>
      <c r="N84" s="17" t="s">
        <v>7945</v>
      </c>
      <c r="O84" s="33"/>
      <c r="P84" s="33"/>
      <c r="Q84" s="33"/>
      <c r="R84" s="33"/>
      <c r="S84" s="33">
        <v>17.899999999999999</v>
      </c>
      <c r="T84" s="33"/>
      <c r="U84" s="33">
        <v>6.25</v>
      </c>
      <c r="V84" s="33"/>
      <c r="W84" s="33"/>
      <c r="X84" s="33"/>
      <c r="Y84" s="33"/>
      <c r="Z84" s="33">
        <v>23.9</v>
      </c>
      <c r="AA84" s="33"/>
      <c r="AB84" s="33"/>
      <c r="AC84" s="33">
        <v>0.89</v>
      </c>
      <c r="AD84" s="33"/>
      <c r="AE84" s="33"/>
      <c r="AF84" s="33"/>
      <c r="AG84" s="33"/>
      <c r="AH84" s="33"/>
      <c r="AI84" s="33"/>
      <c r="AJ84" s="33"/>
      <c r="AK84" s="33"/>
      <c r="AL84" s="33"/>
      <c r="AM84" s="33"/>
      <c r="AN84" s="33"/>
      <c r="AO84" s="33"/>
      <c r="AP84" s="33"/>
      <c r="AQ84" s="33"/>
      <c r="AR84" s="33"/>
      <c r="AS84" s="33"/>
      <c r="AT84" s="33"/>
      <c r="AU84" s="33"/>
      <c r="AV84" s="33">
        <v>0.76</v>
      </c>
      <c r="AW84" s="33"/>
      <c r="AX84" s="33">
        <v>7.0000000000000007E-2</v>
      </c>
      <c r="AY84" s="33"/>
      <c r="AZ84" s="33"/>
      <c r="BA84" s="33"/>
      <c r="BB84" s="33"/>
      <c r="BC84" s="33"/>
      <c r="BD84" s="33"/>
      <c r="BE84" s="33"/>
      <c r="BF84" s="33"/>
      <c r="BG84" s="33"/>
      <c r="BH84" s="33"/>
      <c r="BI84" s="33"/>
      <c r="BJ84" s="33"/>
      <c r="BK84" s="33"/>
      <c r="BL84" s="33"/>
      <c r="BM84" s="33"/>
      <c r="BN84" s="33"/>
      <c r="BO84" s="33"/>
      <c r="BP84" s="33"/>
      <c r="BQ84" s="33"/>
      <c r="BR84" s="33"/>
      <c r="BS84" s="33"/>
      <c r="BT84" s="33">
        <v>0.01</v>
      </c>
      <c r="BU84" s="33"/>
      <c r="BV84" s="33">
        <v>0.06</v>
      </c>
      <c r="BW84" s="33"/>
      <c r="BX84" s="33"/>
      <c r="BY84" s="33"/>
      <c r="BZ84" s="33"/>
      <c r="CA84" s="33">
        <v>0.69</v>
      </c>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t="s">
        <v>15</v>
      </c>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v>384</v>
      </c>
      <c r="FJ84" s="33"/>
      <c r="FK84" s="33"/>
      <c r="FL84" s="33"/>
      <c r="FM84" s="33"/>
      <c r="FN84" s="33"/>
      <c r="FO84" s="33"/>
      <c r="FP84" s="33"/>
      <c r="FQ84" s="33"/>
      <c r="FR84" s="33"/>
      <c r="FS84" s="33"/>
      <c r="FT84" s="33"/>
      <c r="FU84" s="33"/>
      <c r="FV84" s="33"/>
      <c r="FW84" s="33"/>
      <c r="FX84" s="33"/>
      <c r="FY84" s="33"/>
      <c r="FZ84" s="33"/>
      <c r="GA84" s="33"/>
      <c r="GB84" s="33"/>
      <c r="GC84" s="33"/>
      <c r="GD84" s="33"/>
      <c r="GE84" s="33"/>
      <c r="GF84" s="33"/>
      <c r="GG84" s="33"/>
      <c r="GH84" s="33"/>
      <c r="GI84" s="33"/>
      <c r="GJ84" s="33"/>
      <c r="GK84" s="33"/>
      <c r="GL84" s="33"/>
      <c r="GM84" s="33"/>
      <c r="GN84" s="33"/>
      <c r="GO84" s="33"/>
      <c r="GP84" s="33"/>
      <c r="GQ84" s="33"/>
      <c r="GR84" s="33"/>
      <c r="GS84" s="33"/>
      <c r="GT84" s="33"/>
      <c r="GU84" s="33"/>
      <c r="GV84" s="33"/>
      <c r="GW84" s="33"/>
      <c r="GX84" s="33"/>
      <c r="GY84" s="33"/>
      <c r="GZ84" s="33"/>
      <c r="HA84" s="33"/>
      <c r="HB84" s="33"/>
      <c r="HC84" s="33"/>
      <c r="HD84" s="33"/>
      <c r="HE84" s="33"/>
      <c r="HF84" s="33"/>
      <c r="HG84" s="33"/>
      <c r="HH84" s="33"/>
      <c r="HI84" s="33"/>
      <c r="HJ84" s="33"/>
      <c r="HK84" s="33"/>
      <c r="HL84" s="33"/>
      <c r="HM84" s="33"/>
      <c r="HN84" s="33"/>
      <c r="HO84" s="33"/>
      <c r="HP84" s="33"/>
      <c r="HQ84" s="33"/>
      <c r="HR84" s="33"/>
      <c r="HS84" s="33"/>
      <c r="HT84" s="33"/>
      <c r="HU84" s="33"/>
      <c r="HV84" s="33"/>
      <c r="HW84" s="33"/>
      <c r="HX84" s="33"/>
      <c r="HY84" s="33"/>
      <c r="HZ84" s="33"/>
      <c r="IA84" s="33"/>
      <c r="IB84" s="33"/>
      <c r="IC84" s="33"/>
      <c r="ID84" s="33"/>
      <c r="IE84" s="33"/>
      <c r="IF84" s="33"/>
      <c r="IG84" s="33"/>
      <c r="IH84" s="33"/>
      <c r="II84" s="33"/>
      <c r="IJ84" s="33"/>
      <c r="IK84" s="33"/>
      <c r="IL84" s="33"/>
      <c r="IM84" s="33"/>
      <c r="IN84" s="33"/>
      <c r="IO84" s="33"/>
      <c r="IP84" s="33"/>
      <c r="IQ84" s="33"/>
      <c r="IR84" s="33"/>
      <c r="IS84" s="33"/>
      <c r="IT84" s="33"/>
      <c r="IU84" s="33"/>
      <c r="IV84" s="33"/>
      <c r="IW84" s="33"/>
      <c r="IX84" s="33"/>
      <c r="IY84" s="33"/>
      <c r="IZ84" s="33"/>
      <c r="JA84" s="33"/>
      <c r="JB84" s="33"/>
      <c r="JC84" s="33"/>
      <c r="JD84" s="33"/>
      <c r="JE84" s="33"/>
      <c r="JF84" s="33"/>
      <c r="JG84" s="33"/>
      <c r="JH84" s="33"/>
      <c r="JI84" s="33"/>
      <c r="JJ84" s="33"/>
      <c r="JK84" s="33"/>
      <c r="JL84" s="33"/>
      <c r="JM84" s="33"/>
      <c r="JN84" s="33"/>
      <c r="JO84" s="33"/>
      <c r="JP84" s="33"/>
      <c r="JQ84" s="33"/>
      <c r="JR84" s="33"/>
      <c r="KZ84" s="33"/>
      <c r="LA84" s="33"/>
      <c r="LB84" s="33"/>
      <c r="LC84" s="33"/>
      <c r="LD84" s="33"/>
      <c r="LE84" s="33"/>
      <c r="LF84" s="33"/>
      <c r="LG84" s="33"/>
      <c r="LH84" s="33"/>
      <c r="LI84" s="33"/>
      <c r="LJ84" s="33"/>
      <c r="LK84" s="33"/>
      <c r="LL84" s="33"/>
      <c r="LM84" s="33"/>
      <c r="LN84" s="33"/>
      <c r="LO84" s="33"/>
      <c r="LP84" s="44"/>
      <c r="LQ84" s="44"/>
      <c r="LR84" s="44"/>
      <c r="LS84" s="44"/>
      <c r="LT84" s="44"/>
      <c r="LU84" s="44"/>
      <c r="LV84" s="44"/>
    </row>
    <row r="85" spans="1:334" x14ac:dyDescent="0.2">
      <c r="A85" s="1" t="s">
        <v>8176</v>
      </c>
      <c r="B85" s="1" t="s">
        <v>8173</v>
      </c>
      <c r="D85" s="1" t="s">
        <v>8177</v>
      </c>
      <c r="E85" s="1" t="s">
        <v>8099</v>
      </c>
      <c r="F85" s="1" t="s">
        <v>8094</v>
      </c>
      <c r="I85" s="1">
        <v>4</v>
      </c>
      <c r="K85" s="1">
        <v>1991</v>
      </c>
      <c r="L85" s="1" t="s">
        <v>8175</v>
      </c>
      <c r="M85" s="1" t="s">
        <v>7657</v>
      </c>
      <c r="N85" s="17" t="s">
        <v>7945</v>
      </c>
      <c r="O85" s="33"/>
      <c r="P85" s="33"/>
      <c r="Q85" s="33"/>
      <c r="R85" s="33"/>
      <c r="S85" s="33">
        <v>57</v>
      </c>
      <c r="T85" s="33"/>
      <c r="U85" s="33">
        <v>6.25</v>
      </c>
      <c r="V85" s="33"/>
      <c r="W85" s="33"/>
      <c r="X85" s="33"/>
      <c r="Y85" s="33"/>
      <c r="Z85" s="33">
        <v>12.7</v>
      </c>
      <c r="AA85" s="33"/>
      <c r="AB85" s="33"/>
      <c r="AC85" s="33"/>
      <c r="AD85" s="33"/>
      <c r="AE85" s="33"/>
      <c r="AF85" s="33"/>
      <c r="AG85" s="33"/>
      <c r="AH85" s="33"/>
      <c r="AI85" s="33"/>
      <c r="AJ85" s="33"/>
      <c r="AK85" s="33"/>
      <c r="AL85" s="33"/>
      <c r="AM85" s="33"/>
      <c r="AN85" s="33"/>
      <c r="AO85" s="33"/>
      <c r="AP85" s="33"/>
      <c r="AQ85" s="33"/>
      <c r="AR85" s="33"/>
      <c r="AS85" s="33"/>
      <c r="AT85" s="33"/>
      <c r="AU85" s="33"/>
      <c r="AV85" s="33">
        <v>0.37</v>
      </c>
      <c r="AW85" s="33"/>
      <c r="AX85" s="33" t="s">
        <v>17</v>
      </c>
      <c r="AY85" s="33"/>
      <c r="AZ85" s="33"/>
      <c r="BA85" s="33"/>
      <c r="BB85" s="33"/>
      <c r="BC85" s="33"/>
      <c r="BD85" s="33"/>
      <c r="BE85" s="33"/>
      <c r="BF85" s="33"/>
      <c r="BG85" s="33"/>
      <c r="BH85" s="33"/>
      <c r="BI85" s="33"/>
      <c r="BJ85" s="33"/>
      <c r="BK85" s="33"/>
      <c r="BL85" s="33"/>
      <c r="BM85" s="33"/>
      <c r="BN85" s="33"/>
      <c r="BO85" s="33"/>
      <c r="BP85" s="33"/>
      <c r="BQ85" s="33"/>
      <c r="BR85" s="33"/>
      <c r="BS85" s="33"/>
      <c r="BT85" s="33" t="s">
        <v>17</v>
      </c>
      <c r="BU85" s="33"/>
      <c r="BV85" s="33" t="s">
        <v>17</v>
      </c>
      <c r="BW85" s="33"/>
      <c r="BX85" s="33"/>
      <c r="BY85" s="33"/>
      <c r="BZ85" s="33"/>
      <c r="CA85" s="33">
        <v>0.37</v>
      </c>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c r="EB85" s="33"/>
      <c r="EC85" s="33"/>
      <c r="ED85" s="33">
        <v>12.4</v>
      </c>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v>58.1</v>
      </c>
      <c r="FJ85" s="33"/>
      <c r="FK85" s="33"/>
      <c r="FL85" s="33"/>
      <c r="FM85" s="33"/>
      <c r="FN85" s="33"/>
      <c r="FO85" s="33"/>
      <c r="FP85" s="33"/>
      <c r="FQ85" s="33"/>
      <c r="FR85" s="33"/>
      <c r="FS85" s="33"/>
      <c r="FT85" s="33"/>
      <c r="FU85" s="33"/>
      <c r="FV85" s="33"/>
      <c r="FW85" s="33"/>
      <c r="FX85" s="33"/>
      <c r="FY85" s="33"/>
      <c r="FZ85" s="33"/>
      <c r="GA85" s="33"/>
      <c r="GB85" s="33"/>
      <c r="GC85" s="33"/>
      <c r="GD85" s="33"/>
      <c r="GE85" s="33"/>
      <c r="GF85" s="33"/>
      <c r="GG85" s="33"/>
      <c r="GH85" s="33"/>
      <c r="GI85" s="33"/>
      <c r="GJ85" s="33"/>
      <c r="GK85" s="33"/>
      <c r="GL85" s="33"/>
      <c r="GM85" s="33"/>
      <c r="GN85" s="33"/>
      <c r="GO85" s="33"/>
      <c r="GP85" s="33"/>
      <c r="GQ85" s="33"/>
      <c r="GR85" s="33"/>
      <c r="GS85" s="33"/>
      <c r="GT85" s="33"/>
      <c r="GU85" s="33"/>
      <c r="GV85" s="33"/>
      <c r="GW85" s="33"/>
      <c r="GX85" s="33"/>
      <c r="GY85" s="33"/>
      <c r="GZ85" s="33"/>
      <c r="HA85" s="33"/>
      <c r="HB85" s="33"/>
      <c r="HC85" s="33"/>
      <c r="HD85" s="33"/>
      <c r="HE85" s="33"/>
      <c r="HF85" s="33"/>
      <c r="HG85" s="33"/>
      <c r="HH85" s="33"/>
      <c r="HI85" s="33"/>
      <c r="HJ85" s="33"/>
      <c r="HK85" s="33"/>
      <c r="HL85" s="33"/>
      <c r="HM85" s="33"/>
      <c r="HN85" s="33"/>
      <c r="HO85" s="33"/>
      <c r="HP85" s="33"/>
      <c r="HQ85" s="33"/>
      <c r="HR85" s="33"/>
      <c r="HS85" s="33"/>
      <c r="HT85" s="33"/>
      <c r="HU85" s="33"/>
      <c r="HV85" s="33"/>
      <c r="HW85" s="33"/>
      <c r="HX85" s="33"/>
      <c r="HY85" s="33"/>
      <c r="HZ85" s="33"/>
      <c r="IA85" s="33"/>
      <c r="IB85" s="33"/>
      <c r="IC85" s="33"/>
      <c r="ID85" s="33"/>
      <c r="IE85" s="33"/>
      <c r="IF85" s="33"/>
      <c r="IG85" s="33"/>
      <c r="IH85" s="33"/>
      <c r="II85" s="33"/>
      <c r="IJ85" s="33"/>
      <c r="IK85" s="33"/>
      <c r="IL85" s="33"/>
      <c r="IM85" s="33"/>
      <c r="IN85" s="33"/>
      <c r="IO85" s="33"/>
      <c r="IP85" s="33"/>
      <c r="IQ85" s="33"/>
      <c r="IR85" s="33"/>
      <c r="IS85" s="33"/>
      <c r="IT85" s="33"/>
      <c r="IU85" s="33"/>
      <c r="IV85" s="33"/>
      <c r="IW85" s="33"/>
      <c r="IX85" s="33"/>
      <c r="IY85" s="33"/>
      <c r="IZ85" s="33"/>
      <c r="JA85" s="33"/>
      <c r="JB85" s="33"/>
      <c r="JC85" s="33"/>
      <c r="JD85" s="33"/>
      <c r="JE85" s="33"/>
      <c r="JF85" s="33"/>
      <c r="JG85" s="33"/>
      <c r="JH85" s="33"/>
      <c r="JI85" s="33"/>
      <c r="JJ85" s="33"/>
      <c r="JK85" s="33"/>
      <c r="JL85" s="33"/>
      <c r="JM85" s="33"/>
      <c r="JN85" s="33"/>
      <c r="JO85" s="33"/>
      <c r="JP85" s="33"/>
      <c r="JQ85" s="33"/>
      <c r="JR85" s="33"/>
      <c r="KZ85" s="33"/>
      <c r="LA85" s="33"/>
      <c r="LB85" s="33"/>
      <c r="LC85" s="33"/>
      <c r="LD85" s="33"/>
      <c r="LE85" s="33"/>
      <c r="LF85" s="33"/>
      <c r="LG85" s="33"/>
      <c r="LH85" s="33"/>
      <c r="LI85" s="33"/>
      <c r="LJ85" s="33"/>
      <c r="LK85" s="33"/>
      <c r="LL85" s="33"/>
      <c r="LM85" s="33"/>
      <c r="LN85" s="33"/>
      <c r="LO85" s="33"/>
      <c r="LP85" s="44"/>
      <c r="LQ85" s="44"/>
      <c r="LR85" s="44"/>
      <c r="LS85" s="44"/>
      <c r="LT85" s="44"/>
      <c r="LU85" s="44"/>
      <c r="LV85" s="44"/>
    </row>
    <row r="86" spans="1:334" x14ac:dyDescent="0.2">
      <c r="A86" s="1" t="s">
        <v>8178</v>
      </c>
      <c r="B86" s="1" t="s">
        <v>8173</v>
      </c>
      <c r="D86" s="1" t="s">
        <v>8179</v>
      </c>
      <c r="E86" s="1" t="s">
        <v>11</v>
      </c>
      <c r="F86" s="1" t="s">
        <v>8094</v>
      </c>
      <c r="I86" s="1">
        <v>4</v>
      </c>
      <c r="K86" s="1">
        <v>1991</v>
      </c>
      <c r="L86" s="1" t="s">
        <v>8175</v>
      </c>
      <c r="M86" s="1" t="s">
        <v>7657</v>
      </c>
      <c r="N86" s="17" t="s">
        <v>7945</v>
      </c>
      <c r="O86" s="33"/>
      <c r="P86" s="33"/>
      <c r="Q86" s="33"/>
      <c r="R86" s="33"/>
      <c r="S86" s="33">
        <v>72.7</v>
      </c>
      <c r="T86" s="33"/>
      <c r="U86" s="33">
        <v>6.25</v>
      </c>
      <c r="V86" s="33"/>
      <c r="W86" s="33"/>
      <c r="X86" s="33"/>
      <c r="Y86" s="33"/>
      <c r="Z86" s="33">
        <v>8.5</v>
      </c>
      <c r="AA86" s="33"/>
      <c r="AB86" s="33"/>
      <c r="AC86" s="33">
        <v>0.24</v>
      </c>
      <c r="AD86" s="33"/>
      <c r="AE86" s="33"/>
      <c r="AF86" s="33"/>
      <c r="AG86" s="33"/>
      <c r="AH86" s="33"/>
      <c r="AI86" s="33"/>
      <c r="AJ86" s="33"/>
      <c r="AK86" s="33"/>
      <c r="AL86" s="33"/>
      <c r="AM86" s="33"/>
      <c r="AN86" s="33"/>
      <c r="AO86" s="33"/>
      <c r="AP86" s="33"/>
      <c r="AQ86" s="33"/>
      <c r="AR86" s="33"/>
      <c r="AS86" s="33"/>
      <c r="AT86" s="33"/>
      <c r="AU86" s="33"/>
      <c r="AV86" s="33">
        <v>1.1299999999999999</v>
      </c>
      <c r="AW86" s="33"/>
      <c r="AX86" s="33">
        <v>0.44</v>
      </c>
      <c r="AY86" s="33"/>
      <c r="AZ86" s="33"/>
      <c r="BA86" s="33"/>
      <c r="BB86" s="33"/>
      <c r="BC86" s="33"/>
      <c r="BD86" s="33"/>
      <c r="BE86" s="33"/>
      <c r="BF86" s="33"/>
      <c r="BG86" s="33"/>
      <c r="BH86" s="33"/>
      <c r="BI86" s="33"/>
      <c r="BJ86" s="33"/>
      <c r="BK86" s="33"/>
      <c r="BL86" s="33"/>
      <c r="BM86" s="33"/>
      <c r="BN86" s="33"/>
      <c r="BO86" s="33"/>
      <c r="BP86" s="33"/>
      <c r="BQ86" s="33"/>
      <c r="BR86" s="33"/>
      <c r="BS86" s="33"/>
      <c r="BT86" s="33">
        <v>0.27</v>
      </c>
      <c r="BU86" s="33"/>
      <c r="BV86" s="33">
        <v>0.17</v>
      </c>
      <c r="BW86" s="33"/>
      <c r="BX86" s="33"/>
      <c r="BY86" s="33"/>
      <c r="BZ86" s="33"/>
      <c r="CA86" s="33">
        <v>0.69</v>
      </c>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c r="EB86" s="33"/>
      <c r="EC86" s="33"/>
      <c r="ED86" s="33">
        <v>26.7</v>
      </c>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v>85.8</v>
      </c>
      <c r="FJ86" s="33"/>
      <c r="FK86" s="33"/>
      <c r="FL86" s="33"/>
      <c r="FM86" s="33"/>
      <c r="FN86" s="33"/>
      <c r="FO86" s="33"/>
      <c r="FP86" s="33"/>
      <c r="FQ86" s="33"/>
      <c r="FR86" s="33"/>
      <c r="FS86" s="33"/>
      <c r="FT86" s="33"/>
      <c r="FU86" s="33"/>
      <c r="FV86" s="33"/>
      <c r="FW86" s="33"/>
      <c r="FX86" s="33"/>
      <c r="FY86" s="33"/>
      <c r="FZ86" s="33"/>
      <c r="GA86" s="33"/>
      <c r="GB86" s="33"/>
      <c r="GC86" s="33"/>
      <c r="GD86" s="33"/>
      <c r="GE86" s="33"/>
      <c r="GF86" s="33"/>
      <c r="GG86" s="33"/>
      <c r="GH86" s="33"/>
      <c r="GI86" s="33"/>
      <c r="GJ86" s="33"/>
      <c r="GK86" s="33"/>
      <c r="GL86" s="33"/>
      <c r="GM86" s="33"/>
      <c r="GN86" s="33"/>
      <c r="GO86" s="33"/>
      <c r="GP86" s="33"/>
      <c r="GQ86" s="33"/>
      <c r="GR86" s="33"/>
      <c r="GS86" s="33"/>
      <c r="GT86" s="33"/>
      <c r="GU86" s="33"/>
      <c r="GV86" s="33"/>
      <c r="GW86" s="33"/>
      <c r="GX86" s="33"/>
      <c r="GY86" s="33"/>
      <c r="GZ86" s="33"/>
      <c r="HA86" s="33"/>
      <c r="HB86" s="33"/>
      <c r="HC86" s="33"/>
      <c r="HD86" s="33"/>
      <c r="HE86" s="33"/>
      <c r="HF86" s="33"/>
      <c r="HG86" s="33"/>
      <c r="HH86" s="33"/>
      <c r="HI86" s="33"/>
      <c r="HJ86" s="33"/>
      <c r="HK86" s="33"/>
      <c r="HL86" s="33"/>
      <c r="HM86" s="33"/>
      <c r="HN86" s="33"/>
      <c r="HO86" s="33"/>
      <c r="HP86" s="33"/>
      <c r="HQ86" s="33"/>
      <c r="HR86" s="33"/>
      <c r="HS86" s="33"/>
      <c r="HT86" s="33"/>
      <c r="HU86" s="33"/>
      <c r="HV86" s="33"/>
      <c r="HW86" s="33"/>
      <c r="HX86" s="33"/>
      <c r="HY86" s="33"/>
      <c r="HZ86" s="33"/>
      <c r="IA86" s="33"/>
      <c r="IB86" s="33"/>
      <c r="IC86" s="33"/>
      <c r="ID86" s="33"/>
      <c r="IE86" s="33"/>
      <c r="IF86" s="33"/>
      <c r="IG86" s="33"/>
      <c r="IH86" s="33"/>
      <c r="II86" s="33"/>
      <c r="IJ86" s="33"/>
      <c r="IK86" s="33"/>
      <c r="IL86" s="33"/>
      <c r="IM86" s="33"/>
      <c r="IN86" s="33"/>
      <c r="IO86" s="33"/>
      <c r="IP86" s="33"/>
      <c r="IQ86" s="33"/>
      <c r="IR86" s="33"/>
      <c r="IS86" s="33"/>
      <c r="IT86" s="33"/>
      <c r="IU86" s="33"/>
      <c r="IV86" s="33"/>
      <c r="IW86" s="33"/>
      <c r="IX86" s="33"/>
      <c r="IY86" s="33"/>
      <c r="IZ86" s="33"/>
      <c r="JA86" s="33"/>
      <c r="JB86" s="33"/>
      <c r="JC86" s="33"/>
      <c r="JD86" s="33"/>
      <c r="JE86" s="33"/>
      <c r="JF86" s="33"/>
      <c r="JG86" s="33"/>
      <c r="JH86" s="33"/>
      <c r="JI86" s="33"/>
      <c r="JJ86" s="33"/>
      <c r="JK86" s="33"/>
      <c r="JL86" s="33"/>
      <c r="JM86" s="33"/>
      <c r="JN86" s="33"/>
      <c r="JO86" s="33"/>
      <c r="JP86" s="33"/>
      <c r="JQ86" s="33"/>
      <c r="JR86" s="33"/>
      <c r="KZ86" s="33"/>
      <c r="LA86" s="33"/>
      <c r="LB86" s="33"/>
      <c r="LC86" s="33"/>
      <c r="LD86" s="33"/>
      <c r="LE86" s="33"/>
      <c r="LF86" s="33"/>
      <c r="LG86" s="33"/>
      <c r="LH86" s="33"/>
      <c r="LI86" s="33"/>
      <c r="LJ86" s="33"/>
      <c r="LK86" s="33"/>
      <c r="LL86" s="33"/>
      <c r="LM86" s="33"/>
      <c r="LN86" s="33"/>
      <c r="LO86" s="33"/>
      <c r="LP86" s="44"/>
      <c r="LQ86" s="44"/>
      <c r="LR86" s="44"/>
      <c r="LS86" s="44"/>
      <c r="LT86" s="44"/>
      <c r="LU86" s="44"/>
      <c r="LV86" s="44"/>
    </row>
    <row r="87" spans="1:334" x14ac:dyDescent="0.2">
      <c r="A87" s="1" t="s">
        <v>8180</v>
      </c>
      <c r="B87" s="1" t="s">
        <v>8173</v>
      </c>
      <c r="D87" s="1" t="s">
        <v>8181</v>
      </c>
      <c r="E87" s="1" t="s">
        <v>11</v>
      </c>
      <c r="F87" s="1" t="s">
        <v>8094</v>
      </c>
      <c r="I87" s="1">
        <v>4</v>
      </c>
      <c r="K87" s="1">
        <v>1991</v>
      </c>
      <c r="L87" s="1" t="s">
        <v>8175</v>
      </c>
      <c r="M87" s="1" t="s">
        <v>7657</v>
      </c>
      <c r="N87" s="17" t="s">
        <v>7945</v>
      </c>
      <c r="O87" s="33"/>
      <c r="P87" s="33"/>
      <c r="Q87" s="33"/>
      <c r="R87" s="33"/>
      <c r="S87" s="33">
        <v>81.5</v>
      </c>
      <c r="T87" s="33"/>
      <c r="U87" s="33">
        <v>6.25</v>
      </c>
      <c r="V87" s="33"/>
      <c r="W87" s="33"/>
      <c r="X87" s="33"/>
      <c r="Y87" s="33"/>
      <c r="Z87" s="33">
        <v>5.9</v>
      </c>
      <c r="AA87" s="33"/>
      <c r="AB87" s="33"/>
      <c r="AC87" s="33">
        <v>0.14000000000000001</v>
      </c>
      <c r="AD87" s="33"/>
      <c r="AE87" s="33"/>
      <c r="AF87" s="33"/>
      <c r="AG87" s="33"/>
      <c r="AH87" s="33"/>
      <c r="AI87" s="33"/>
      <c r="AJ87" s="33"/>
      <c r="AK87" s="33"/>
      <c r="AL87" s="33"/>
      <c r="AM87" s="33"/>
      <c r="AN87" s="33"/>
      <c r="AO87" s="33"/>
      <c r="AP87" s="33"/>
      <c r="AQ87" s="33"/>
      <c r="AR87" s="33"/>
      <c r="AS87" s="33"/>
      <c r="AT87" s="33"/>
      <c r="AU87" s="33"/>
      <c r="AV87" s="33">
        <v>1.82</v>
      </c>
      <c r="AW87" s="33"/>
      <c r="AX87" s="33">
        <v>1.03</v>
      </c>
      <c r="AY87" s="33"/>
      <c r="AZ87" s="33"/>
      <c r="BA87" s="33"/>
      <c r="BB87" s="33"/>
      <c r="BC87" s="33"/>
      <c r="BD87" s="33"/>
      <c r="BE87" s="33"/>
      <c r="BF87" s="33"/>
      <c r="BG87" s="33"/>
      <c r="BH87" s="33"/>
      <c r="BI87" s="33"/>
      <c r="BJ87" s="33"/>
      <c r="BK87" s="33"/>
      <c r="BL87" s="33"/>
      <c r="BM87" s="33"/>
      <c r="BN87" s="33"/>
      <c r="BO87" s="33"/>
      <c r="BP87" s="33"/>
      <c r="BQ87" s="33"/>
      <c r="BR87" s="33"/>
      <c r="BS87" s="33"/>
      <c r="BT87" s="33">
        <v>0.5</v>
      </c>
      <c r="BU87" s="33"/>
      <c r="BV87" s="33">
        <v>0.53</v>
      </c>
      <c r="BW87" s="33"/>
      <c r="BX87" s="33"/>
      <c r="BY87" s="33"/>
      <c r="BZ87" s="33"/>
      <c r="CA87" s="33">
        <v>0.79</v>
      </c>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v>22.9</v>
      </c>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v>111.5</v>
      </c>
      <c r="FJ87" s="33"/>
      <c r="FK87" s="33"/>
      <c r="FL87" s="33"/>
      <c r="FM87" s="33"/>
      <c r="FN87" s="33"/>
      <c r="FO87" s="33"/>
      <c r="FP87" s="33"/>
      <c r="FQ87" s="33"/>
      <c r="FR87" s="33"/>
      <c r="FS87" s="33"/>
      <c r="FT87" s="33"/>
      <c r="FU87" s="33"/>
      <c r="FV87" s="33"/>
      <c r="FW87" s="33"/>
      <c r="FX87" s="33"/>
      <c r="FY87" s="33"/>
      <c r="FZ87" s="33"/>
      <c r="GA87" s="33"/>
      <c r="GB87" s="33"/>
      <c r="GC87" s="33"/>
      <c r="GD87" s="33"/>
      <c r="GE87" s="33"/>
      <c r="GF87" s="33"/>
      <c r="GG87" s="33"/>
      <c r="GH87" s="33"/>
      <c r="GI87" s="33"/>
      <c r="GJ87" s="33"/>
      <c r="GK87" s="33"/>
      <c r="GL87" s="33"/>
      <c r="GM87" s="33"/>
      <c r="GN87" s="33"/>
      <c r="GO87" s="33"/>
      <c r="GP87" s="33"/>
      <c r="GQ87" s="33"/>
      <c r="GR87" s="33"/>
      <c r="GS87" s="33"/>
      <c r="GT87" s="33"/>
      <c r="GU87" s="33"/>
      <c r="GV87" s="33"/>
      <c r="GW87" s="33"/>
      <c r="GX87" s="33"/>
      <c r="GY87" s="33"/>
      <c r="GZ87" s="33"/>
      <c r="HA87" s="33"/>
      <c r="HB87" s="33"/>
      <c r="HC87" s="33"/>
      <c r="HD87" s="33"/>
      <c r="HE87" s="33"/>
      <c r="HF87" s="33"/>
      <c r="HG87" s="33"/>
      <c r="HH87" s="33"/>
      <c r="HI87" s="33"/>
      <c r="HJ87" s="33"/>
      <c r="HK87" s="33"/>
      <c r="HL87" s="33"/>
      <c r="HM87" s="33"/>
      <c r="HN87" s="33"/>
      <c r="HO87" s="33"/>
      <c r="HP87" s="33"/>
      <c r="HQ87" s="33"/>
      <c r="HR87" s="33"/>
      <c r="HS87" s="33"/>
      <c r="HT87" s="33"/>
      <c r="HU87" s="33"/>
      <c r="HV87" s="33"/>
      <c r="HW87" s="33"/>
      <c r="HX87" s="33"/>
      <c r="HY87" s="33"/>
      <c r="HZ87" s="33"/>
      <c r="IA87" s="33"/>
      <c r="IB87" s="33"/>
      <c r="IC87" s="33"/>
      <c r="ID87" s="33"/>
      <c r="IE87" s="33"/>
      <c r="IF87" s="33"/>
      <c r="IG87" s="33"/>
      <c r="IH87" s="33"/>
      <c r="II87" s="33"/>
      <c r="IJ87" s="33"/>
      <c r="IK87" s="33"/>
      <c r="IL87" s="33"/>
      <c r="IM87" s="33"/>
      <c r="IN87" s="33"/>
      <c r="IO87" s="33"/>
      <c r="IP87" s="33"/>
      <c r="IQ87" s="33"/>
      <c r="IR87" s="33"/>
      <c r="IS87" s="33"/>
      <c r="IT87" s="33"/>
      <c r="IU87" s="33"/>
      <c r="IV87" s="33"/>
      <c r="IW87" s="33"/>
      <c r="IX87" s="33"/>
      <c r="IY87" s="33"/>
      <c r="IZ87" s="33"/>
      <c r="JA87" s="33"/>
      <c r="JB87" s="33"/>
      <c r="JC87" s="33"/>
      <c r="JD87" s="33"/>
      <c r="JE87" s="33"/>
      <c r="JF87" s="33"/>
      <c r="JG87" s="33"/>
      <c r="JH87" s="33"/>
      <c r="JI87" s="33"/>
      <c r="JJ87" s="33"/>
      <c r="JK87" s="33"/>
      <c r="JL87" s="33"/>
      <c r="JM87" s="33"/>
      <c r="JN87" s="33"/>
      <c r="JO87" s="33"/>
      <c r="JP87" s="33"/>
      <c r="JQ87" s="33"/>
      <c r="JR87" s="33"/>
      <c r="KZ87" s="33"/>
      <c r="LA87" s="33"/>
      <c r="LB87" s="33"/>
      <c r="LC87" s="33"/>
      <c r="LD87" s="33"/>
      <c r="LE87" s="33"/>
      <c r="LF87" s="33"/>
      <c r="LG87" s="33"/>
      <c r="LH87" s="33"/>
      <c r="LI87" s="33"/>
      <c r="LJ87" s="33"/>
      <c r="LK87" s="33"/>
      <c r="LL87" s="33"/>
      <c r="LM87" s="33"/>
      <c r="LN87" s="33"/>
      <c r="LO87" s="33"/>
      <c r="LP87" s="44"/>
      <c r="LQ87" s="44"/>
      <c r="LR87" s="44"/>
      <c r="LS87" s="44"/>
      <c r="LT87" s="44"/>
      <c r="LU87" s="44"/>
      <c r="LV87" s="44"/>
    </row>
    <row r="88" spans="1:334" x14ac:dyDescent="0.2">
      <c r="A88" s="1" t="s">
        <v>8182</v>
      </c>
      <c r="B88" s="1" t="s">
        <v>8173</v>
      </c>
      <c r="D88" s="1" t="s">
        <v>8183</v>
      </c>
      <c r="E88" s="1" t="s">
        <v>11</v>
      </c>
      <c r="F88" s="1" t="s">
        <v>8094</v>
      </c>
      <c r="I88" s="1">
        <v>4</v>
      </c>
      <c r="K88" s="1">
        <v>1991</v>
      </c>
      <c r="L88" s="1" t="s">
        <v>8175</v>
      </c>
      <c r="M88" s="1" t="s">
        <v>7657</v>
      </c>
      <c r="N88" s="17" t="s">
        <v>7945</v>
      </c>
      <c r="O88" s="33"/>
      <c r="P88" s="33"/>
      <c r="Q88" s="33"/>
      <c r="R88" s="33"/>
      <c r="S88" s="33">
        <v>92.5</v>
      </c>
      <c r="T88" s="33"/>
      <c r="U88" s="33">
        <v>6.25</v>
      </c>
      <c r="V88" s="33"/>
      <c r="W88" s="33"/>
      <c r="X88" s="33"/>
      <c r="Y88" s="33"/>
      <c r="Z88" s="33">
        <v>2.6</v>
      </c>
      <c r="AA88" s="33"/>
      <c r="AB88" s="33"/>
      <c r="AC88" s="33">
        <v>0.03</v>
      </c>
      <c r="AD88" s="33"/>
      <c r="AE88" s="33"/>
      <c r="AF88" s="33"/>
      <c r="AG88" s="33"/>
      <c r="AH88" s="33"/>
      <c r="AI88" s="33"/>
      <c r="AJ88" s="33"/>
      <c r="AK88" s="33"/>
      <c r="AL88" s="33"/>
      <c r="AM88" s="33"/>
      <c r="AN88" s="33"/>
      <c r="AO88" s="33"/>
      <c r="AP88" s="33"/>
      <c r="AQ88" s="33"/>
      <c r="AR88" s="33"/>
      <c r="AS88" s="33"/>
      <c r="AT88" s="33"/>
      <c r="AU88" s="33"/>
      <c r="AV88" s="33">
        <v>2.34</v>
      </c>
      <c r="AW88" s="33"/>
      <c r="AX88" s="33">
        <v>1.53</v>
      </c>
      <c r="AY88" s="33"/>
      <c r="AZ88" s="33"/>
      <c r="BA88" s="33"/>
      <c r="BB88" s="33"/>
      <c r="BC88" s="33"/>
      <c r="BD88" s="33"/>
      <c r="BE88" s="33"/>
      <c r="BF88" s="33"/>
      <c r="BG88" s="33"/>
      <c r="BH88" s="33"/>
      <c r="BI88" s="33"/>
      <c r="BJ88" s="33"/>
      <c r="BK88" s="33"/>
      <c r="BL88" s="33"/>
      <c r="BM88" s="33"/>
      <c r="BN88" s="33"/>
      <c r="BO88" s="33"/>
      <c r="BP88" s="33"/>
      <c r="BQ88" s="33"/>
      <c r="BR88" s="33"/>
      <c r="BS88" s="33"/>
      <c r="BT88" s="33">
        <v>0.73</v>
      </c>
      <c r="BU88" s="33"/>
      <c r="BV88" s="33">
        <v>0.8</v>
      </c>
      <c r="BW88" s="33"/>
      <c r="BX88" s="33"/>
      <c r="BY88" s="33"/>
      <c r="BZ88" s="33"/>
      <c r="CA88" s="33">
        <v>0.81</v>
      </c>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c r="EB88" s="33"/>
      <c r="EC88" s="33"/>
      <c r="ED88" s="33">
        <v>15.7</v>
      </c>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v>138.19999999999999</v>
      </c>
      <c r="FJ88" s="33"/>
      <c r="FK88" s="33"/>
      <c r="FL88" s="33"/>
      <c r="FM88" s="33"/>
      <c r="FN88" s="33"/>
      <c r="FO88" s="33"/>
      <c r="FP88" s="33"/>
      <c r="FQ88" s="33"/>
      <c r="FR88" s="33"/>
      <c r="FS88" s="33"/>
      <c r="FT88" s="33"/>
      <c r="FU88" s="33"/>
      <c r="FV88" s="33"/>
      <c r="FW88" s="33"/>
      <c r="FX88" s="33"/>
      <c r="FY88" s="33"/>
      <c r="FZ88" s="33"/>
      <c r="GA88" s="33"/>
      <c r="GB88" s="33"/>
      <c r="GC88" s="33"/>
      <c r="GD88" s="33"/>
      <c r="GE88" s="33"/>
      <c r="GF88" s="33"/>
      <c r="GG88" s="33"/>
      <c r="GH88" s="33"/>
      <c r="GI88" s="33"/>
      <c r="GJ88" s="33"/>
      <c r="GK88" s="33"/>
      <c r="GL88" s="33"/>
      <c r="GM88" s="33"/>
      <c r="GN88" s="33"/>
      <c r="GO88" s="33"/>
      <c r="GP88" s="33"/>
      <c r="GQ88" s="33"/>
      <c r="GR88" s="33"/>
      <c r="GS88" s="33"/>
      <c r="GT88" s="33"/>
      <c r="GU88" s="33"/>
      <c r="GV88" s="33"/>
      <c r="GW88" s="33"/>
      <c r="GX88" s="33"/>
      <c r="GY88" s="33"/>
      <c r="GZ88" s="33"/>
      <c r="HA88" s="33"/>
      <c r="HB88" s="33"/>
      <c r="HC88" s="33"/>
      <c r="HD88" s="33"/>
      <c r="HE88" s="33"/>
      <c r="HF88" s="33"/>
      <c r="HG88" s="33"/>
      <c r="HH88" s="33"/>
      <c r="HI88" s="33"/>
      <c r="HJ88" s="33"/>
      <c r="HK88" s="33"/>
      <c r="HL88" s="33"/>
      <c r="HM88" s="33"/>
      <c r="HN88" s="33"/>
      <c r="HO88" s="33"/>
      <c r="HP88" s="33"/>
      <c r="HQ88" s="33"/>
      <c r="HR88" s="33"/>
      <c r="HS88" s="33"/>
      <c r="HT88" s="33"/>
      <c r="HU88" s="33"/>
      <c r="HV88" s="33"/>
      <c r="HW88" s="33"/>
      <c r="HX88" s="33"/>
      <c r="HY88" s="33"/>
      <c r="HZ88" s="33"/>
      <c r="IA88" s="33"/>
      <c r="IB88" s="33"/>
      <c r="IC88" s="33"/>
      <c r="ID88" s="33"/>
      <c r="IE88" s="33"/>
      <c r="IF88" s="33"/>
      <c r="IG88" s="33"/>
      <c r="IH88" s="33"/>
      <c r="II88" s="33"/>
      <c r="IJ88" s="33"/>
      <c r="IK88" s="33"/>
      <c r="IL88" s="33"/>
      <c r="IM88" s="33"/>
      <c r="IN88" s="33"/>
      <c r="IO88" s="33"/>
      <c r="IP88" s="33"/>
      <c r="IQ88" s="33"/>
      <c r="IR88" s="33"/>
      <c r="IS88" s="33"/>
      <c r="IT88" s="33"/>
      <c r="IU88" s="33"/>
      <c r="IV88" s="33"/>
      <c r="IW88" s="33"/>
      <c r="IX88" s="33"/>
      <c r="IY88" s="33"/>
      <c r="IZ88" s="33"/>
      <c r="JA88" s="33"/>
      <c r="JB88" s="33"/>
      <c r="JC88" s="33"/>
      <c r="JD88" s="33"/>
      <c r="JE88" s="33"/>
      <c r="JF88" s="33"/>
      <c r="JG88" s="33"/>
      <c r="JH88" s="33"/>
      <c r="JI88" s="33"/>
      <c r="JJ88" s="33"/>
      <c r="JK88" s="33"/>
      <c r="JL88" s="33"/>
      <c r="JM88" s="33"/>
      <c r="JN88" s="33"/>
      <c r="JO88" s="33"/>
      <c r="JP88" s="33"/>
      <c r="JQ88" s="33"/>
      <c r="JR88" s="33"/>
      <c r="KZ88" s="33"/>
      <c r="LA88" s="33"/>
      <c r="LB88" s="33"/>
      <c r="LC88" s="33"/>
      <c r="LD88" s="33"/>
      <c r="LE88" s="33"/>
      <c r="LF88" s="33"/>
      <c r="LG88" s="33"/>
      <c r="LH88" s="33"/>
      <c r="LI88" s="33"/>
      <c r="LJ88" s="33"/>
      <c r="LK88" s="33"/>
      <c r="LL88" s="33"/>
      <c r="LM88" s="33"/>
      <c r="LN88" s="33"/>
      <c r="LO88" s="33"/>
      <c r="LP88" s="44"/>
      <c r="LQ88" s="44"/>
      <c r="LR88" s="44"/>
      <c r="LS88" s="44"/>
      <c r="LT88" s="44"/>
      <c r="LU88" s="44"/>
      <c r="LV88" s="44"/>
    </row>
    <row r="89" spans="1:334" x14ac:dyDescent="0.2">
      <c r="A89" s="1" t="s">
        <v>8184</v>
      </c>
      <c r="C89" s="1" t="s">
        <v>8185</v>
      </c>
      <c r="D89" s="1" t="s">
        <v>8186</v>
      </c>
      <c r="E89" s="1" t="s">
        <v>7</v>
      </c>
      <c r="F89" s="1" t="s">
        <v>8187</v>
      </c>
      <c r="G89" s="1">
        <v>2008</v>
      </c>
      <c r="H89" s="1" t="s">
        <v>8188</v>
      </c>
      <c r="I89" s="1">
        <v>1</v>
      </c>
      <c r="J89" s="1" t="s">
        <v>8189</v>
      </c>
      <c r="K89" s="1">
        <v>2014</v>
      </c>
      <c r="L89" s="1" t="s">
        <v>8190</v>
      </c>
      <c r="M89" s="1" t="s">
        <v>7657</v>
      </c>
      <c r="N89" s="17" t="s">
        <v>7945</v>
      </c>
      <c r="O89" s="33"/>
      <c r="P89" s="33"/>
      <c r="Q89" s="33"/>
      <c r="R89" s="33"/>
      <c r="S89" s="33"/>
      <c r="T89" s="33">
        <v>92.75</v>
      </c>
      <c r="U89" s="33">
        <v>6.25</v>
      </c>
      <c r="V89" s="33">
        <v>3.2462499999999999</v>
      </c>
      <c r="W89" s="33"/>
      <c r="X89" s="33"/>
      <c r="Y89" s="33"/>
      <c r="Z89" s="33">
        <v>19.087949999999999</v>
      </c>
      <c r="AA89" s="33"/>
      <c r="AB89" s="33">
        <v>1.567475</v>
      </c>
      <c r="AC89" s="33"/>
      <c r="AD89" s="33"/>
      <c r="AE89" s="33"/>
      <c r="AF89" s="33"/>
      <c r="AG89" s="33"/>
      <c r="AH89" s="33"/>
      <c r="AI89" s="33"/>
      <c r="AJ89" s="33"/>
      <c r="AK89" s="33"/>
      <c r="AL89" s="33"/>
      <c r="AM89" s="33"/>
      <c r="AN89" s="33"/>
      <c r="AO89" s="33">
        <v>27.899199999999997</v>
      </c>
      <c r="AP89" s="33"/>
      <c r="AQ89" s="33"/>
      <c r="AR89" s="33"/>
      <c r="AS89" s="33"/>
      <c r="AT89" s="33"/>
      <c r="AU89" s="33"/>
      <c r="AV89" s="33">
        <v>3.8862250000000005</v>
      </c>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v>4.5354749999999999</v>
      </c>
      <c r="CP89" s="33"/>
      <c r="CQ89" s="33"/>
      <c r="CR89" s="33"/>
      <c r="CS89" s="33">
        <v>5.5650000000000004</v>
      </c>
      <c r="CT89" s="33"/>
      <c r="CU89" s="33">
        <v>1623.125</v>
      </c>
      <c r="CV89" s="33">
        <v>166.95000000000002</v>
      </c>
      <c r="CW89" s="33"/>
      <c r="CX89" s="33"/>
      <c r="CY89" s="33">
        <v>482.30000000000007</v>
      </c>
      <c r="CZ89" s="33"/>
      <c r="DA89" s="33">
        <v>2.6897499999999996</v>
      </c>
      <c r="DB89" s="33"/>
      <c r="DC89" s="33"/>
      <c r="DD89" s="33"/>
      <c r="DE89" s="33"/>
      <c r="DF89" s="33"/>
      <c r="DG89" s="33"/>
      <c r="DH89" s="33"/>
      <c r="DI89" s="33"/>
      <c r="DJ89" s="33"/>
      <c r="DK89" s="33">
        <v>1.6695000000000002</v>
      </c>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c r="FT89" s="33"/>
      <c r="FU89" s="33"/>
      <c r="FV89" s="33"/>
      <c r="FW89" s="33"/>
      <c r="FX89" s="33"/>
      <c r="FY89" s="33"/>
      <c r="FZ89" s="33"/>
      <c r="GA89" s="33"/>
      <c r="GB89" s="33"/>
      <c r="GC89" s="33"/>
      <c r="GD89" s="33"/>
      <c r="GE89" s="33"/>
      <c r="GF89" s="33"/>
      <c r="GG89" s="33"/>
      <c r="GH89" s="33"/>
      <c r="GI89" s="33"/>
      <c r="GJ89" s="33"/>
      <c r="GK89" s="33"/>
      <c r="GL89" s="33"/>
      <c r="GM89" s="33"/>
      <c r="GN89" s="33"/>
      <c r="GO89" s="33"/>
      <c r="GP89" s="33"/>
      <c r="GQ89" s="33"/>
      <c r="GR89" s="33"/>
      <c r="GS89" s="33"/>
      <c r="GT89" s="33"/>
      <c r="GU89" s="33"/>
      <c r="GV89" s="33"/>
      <c r="GW89" s="33"/>
      <c r="GX89" s="33"/>
      <c r="GY89" s="33"/>
      <c r="GZ89" s="33"/>
      <c r="HA89" s="33"/>
      <c r="HB89" s="33"/>
      <c r="HC89" s="33"/>
      <c r="HD89" s="33"/>
      <c r="HE89" s="33"/>
      <c r="HF89" s="33"/>
      <c r="HG89" s="33"/>
      <c r="HH89" s="33"/>
      <c r="HI89" s="33"/>
      <c r="HJ89" s="33"/>
      <c r="HK89" s="33"/>
      <c r="HL89" s="33"/>
      <c r="HM89" s="33"/>
      <c r="HN89" s="33"/>
      <c r="HO89" s="33"/>
      <c r="HP89" s="33"/>
      <c r="HQ89" s="33"/>
      <c r="HR89" s="33"/>
      <c r="HS89" s="33"/>
      <c r="HT89" s="33"/>
      <c r="HU89" s="33"/>
      <c r="HV89" s="33"/>
      <c r="HW89" s="33"/>
      <c r="HX89" s="33"/>
      <c r="HY89" s="33"/>
      <c r="HZ89" s="33"/>
      <c r="IA89" s="33"/>
      <c r="IB89" s="33"/>
      <c r="IC89" s="33"/>
      <c r="ID89" s="33"/>
      <c r="IE89" s="33"/>
      <c r="IF89" s="33"/>
      <c r="IG89" s="33"/>
      <c r="IH89" s="33"/>
      <c r="II89" s="33"/>
      <c r="IJ89" s="33"/>
      <c r="IK89" s="33"/>
      <c r="IL89" s="33"/>
      <c r="IM89" s="33"/>
      <c r="IN89" s="33"/>
      <c r="IO89" s="33"/>
      <c r="IP89" s="33"/>
      <c r="IQ89" s="33"/>
      <c r="IR89" s="33"/>
      <c r="IS89" s="33"/>
      <c r="IT89" s="33"/>
      <c r="IU89" s="33"/>
      <c r="IV89" s="33"/>
      <c r="IW89" s="33"/>
      <c r="IX89" s="33"/>
      <c r="IY89" s="33"/>
      <c r="IZ89" s="33"/>
      <c r="JA89" s="33"/>
      <c r="JB89" s="33"/>
      <c r="JC89" s="33"/>
      <c r="JD89" s="33"/>
      <c r="JE89" s="33"/>
      <c r="JF89" s="33"/>
      <c r="JG89" s="33"/>
      <c r="JH89" s="33"/>
      <c r="JI89" s="33"/>
      <c r="JJ89" s="33"/>
      <c r="JK89" s="33"/>
      <c r="JL89" s="33"/>
      <c r="JM89" s="33"/>
      <c r="JN89" s="33"/>
      <c r="JO89" s="33"/>
      <c r="JP89" s="33"/>
      <c r="JQ89" s="33"/>
      <c r="JR89" s="33"/>
      <c r="KZ89" s="33"/>
      <c r="LA89" s="33"/>
      <c r="LB89" s="33"/>
      <c r="LC89" s="33"/>
      <c r="LD89" s="33"/>
      <c r="LE89" s="33"/>
      <c r="LF89" s="33"/>
      <c r="LG89" s="33"/>
      <c r="LH89" s="33"/>
      <c r="LI89" s="33"/>
      <c r="LJ89" s="33"/>
      <c r="LK89" s="33"/>
      <c r="LL89" s="33"/>
      <c r="LM89" s="33"/>
      <c r="LN89" s="33"/>
      <c r="LO89" s="33"/>
      <c r="LP89" s="44"/>
      <c r="LQ89" s="44"/>
      <c r="LR89" s="44"/>
      <c r="LS89" s="44"/>
      <c r="LT89" s="44"/>
      <c r="LU89" s="44"/>
      <c r="LV89" s="44"/>
    </row>
    <row r="90" spans="1:334" x14ac:dyDescent="0.2">
      <c r="A90" s="1" t="s">
        <v>8191</v>
      </c>
      <c r="B90" s="1" t="s">
        <v>8192</v>
      </c>
      <c r="D90" s="1" t="s">
        <v>8193</v>
      </c>
      <c r="E90" s="1" t="s">
        <v>7</v>
      </c>
      <c r="F90" s="1" t="s">
        <v>8194</v>
      </c>
      <c r="J90" s="1" t="s">
        <v>8195</v>
      </c>
      <c r="K90" s="1">
        <v>2013</v>
      </c>
      <c r="L90" s="1" t="s">
        <v>8196</v>
      </c>
      <c r="M90" s="1" t="s">
        <v>7657</v>
      </c>
      <c r="N90" s="17" t="s">
        <v>7945</v>
      </c>
      <c r="O90" s="33"/>
      <c r="P90" s="33"/>
      <c r="Q90" s="33"/>
      <c r="R90" s="33"/>
      <c r="S90" s="33">
        <v>7.91</v>
      </c>
      <c r="T90" s="33"/>
      <c r="U90" s="33">
        <v>6.25</v>
      </c>
      <c r="V90" s="33"/>
      <c r="W90" s="33"/>
      <c r="X90" s="33"/>
      <c r="Y90" s="33"/>
      <c r="Z90" s="33">
        <v>24.08</v>
      </c>
      <c r="AA90" s="33"/>
      <c r="AB90" s="33"/>
      <c r="AC90" s="33">
        <v>1.55</v>
      </c>
      <c r="AD90" s="33"/>
      <c r="AE90" s="33">
        <v>61.39</v>
      </c>
      <c r="AF90" s="33"/>
      <c r="AG90" s="33"/>
      <c r="AH90" s="33"/>
      <c r="AI90" s="33"/>
      <c r="AJ90" s="33"/>
      <c r="AK90" s="33"/>
      <c r="AL90" s="33">
        <v>28.741289000000002</v>
      </c>
      <c r="AM90" s="33">
        <v>23.694756999999999</v>
      </c>
      <c r="AN90" s="33"/>
      <c r="AO90" s="33">
        <v>21.549060000000001</v>
      </c>
      <c r="AP90" s="33"/>
      <c r="AQ90" s="33">
        <v>2.1456970000000002</v>
      </c>
      <c r="AR90" s="33"/>
      <c r="AS90" s="33"/>
      <c r="AT90" s="33"/>
      <c r="AU90" s="33"/>
      <c r="AV90" s="33"/>
      <c r="AW90" s="33"/>
      <c r="AX90" s="33"/>
      <c r="AY90" s="33"/>
      <c r="AZ90" s="33"/>
      <c r="BA90" s="33"/>
      <c r="BB90" s="33"/>
      <c r="BC90" s="33"/>
      <c r="BD90" s="33"/>
      <c r="BE90" s="33">
        <v>2.2000000000000002</v>
      </c>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v>2.87</v>
      </c>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c r="GL90" s="33"/>
      <c r="GM90" s="33"/>
      <c r="GN90" s="33"/>
      <c r="GO90" s="33"/>
      <c r="GP90" s="33"/>
      <c r="GQ90" s="33"/>
      <c r="GR90" s="33"/>
      <c r="GS90" s="33"/>
      <c r="GT90" s="33"/>
      <c r="GU90" s="33"/>
      <c r="GV90" s="33"/>
      <c r="GW90" s="33"/>
      <c r="GX90" s="33"/>
      <c r="GY90" s="33"/>
      <c r="GZ90" s="33"/>
      <c r="HA90" s="33"/>
      <c r="HB90" s="33"/>
      <c r="HC90" s="33"/>
      <c r="HD90" s="33"/>
      <c r="HE90" s="33"/>
      <c r="HF90" s="33"/>
      <c r="HG90" s="33"/>
      <c r="HH90" s="33"/>
      <c r="HI90" s="33"/>
      <c r="HJ90" s="33"/>
      <c r="HK90" s="33"/>
      <c r="HL90" s="33"/>
      <c r="HM90" s="33"/>
      <c r="HN90" s="33"/>
      <c r="HO90" s="33"/>
      <c r="HP90" s="33"/>
      <c r="HQ90" s="33"/>
      <c r="HR90" s="33"/>
      <c r="HS90" s="33"/>
      <c r="HT90" s="33"/>
      <c r="HU90" s="33"/>
      <c r="HV90" s="33"/>
      <c r="HW90" s="33"/>
      <c r="HX90" s="33"/>
      <c r="HY90" s="33"/>
      <c r="HZ90" s="33"/>
      <c r="IA90" s="33"/>
      <c r="IB90" s="33"/>
      <c r="IC90" s="33"/>
      <c r="ID90" s="33"/>
      <c r="IE90" s="33"/>
      <c r="IF90" s="33"/>
      <c r="IG90" s="33"/>
      <c r="IH90" s="33"/>
      <c r="II90" s="33"/>
      <c r="IJ90" s="33"/>
      <c r="IK90" s="33"/>
      <c r="IL90" s="33"/>
      <c r="IM90" s="33"/>
      <c r="IN90" s="33"/>
      <c r="IO90" s="33"/>
      <c r="IP90" s="33"/>
      <c r="IQ90" s="33"/>
      <c r="IR90" s="33"/>
      <c r="IS90" s="33"/>
      <c r="IT90" s="33"/>
      <c r="IU90" s="33"/>
      <c r="IV90" s="33"/>
      <c r="IW90" s="33"/>
      <c r="IX90" s="33"/>
      <c r="IY90" s="33"/>
      <c r="IZ90" s="33"/>
      <c r="JA90" s="33"/>
      <c r="JB90" s="33"/>
      <c r="JC90" s="33"/>
      <c r="JD90" s="33"/>
      <c r="JE90" s="33"/>
      <c r="JF90" s="33"/>
      <c r="JG90" s="33"/>
      <c r="JH90" s="33"/>
      <c r="JI90" s="33"/>
      <c r="JJ90" s="33"/>
      <c r="JK90" s="33"/>
      <c r="JL90" s="33"/>
      <c r="JM90" s="33"/>
      <c r="JN90" s="33"/>
      <c r="JO90" s="33"/>
      <c r="JP90" s="33"/>
      <c r="JQ90" s="33"/>
      <c r="JR90" s="33"/>
      <c r="KZ90" s="33"/>
      <c r="LA90" s="33"/>
      <c r="LB90" s="33"/>
      <c r="LC90" s="33"/>
      <c r="LD90" s="33"/>
      <c r="LE90" s="33"/>
      <c r="LF90" s="33"/>
      <c r="LG90" s="33"/>
      <c r="LH90" s="33"/>
      <c r="LI90" s="33"/>
      <c r="LJ90" s="33"/>
      <c r="LK90" s="33"/>
      <c r="LL90" s="33"/>
      <c r="LM90" s="33"/>
      <c r="LN90" s="33"/>
      <c r="LO90" s="33"/>
      <c r="LP90" s="44"/>
      <c r="LQ90" s="44"/>
      <c r="LR90" s="44"/>
      <c r="LS90" s="44"/>
      <c r="LT90" s="44"/>
      <c r="LU90" s="44"/>
      <c r="LV90" s="44"/>
    </row>
    <row r="91" spans="1:334" x14ac:dyDescent="0.2">
      <c r="A91" s="1" t="s">
        <v>8197</v>
      </c>
      <c r="D91" s="1" t="s">
        <v>8198</v>
      </c>
      <c r="E91" s="1" t="s">
        <v>8037</v>
      </c>
      <c r="F91" s="1" t="s">
        <v>8163</v>
      </c>
      <c r="H91" s="1" t="s">
        <v>8199</v>
      </c>
      <c r="I91" s="1">
        <v>4</v>
      </c>
      <c r="J91" s="1" t="s">
        <v>8200</v>
      </c>
      <c r="K91" s="1">
        <v>2007</v>
      </c>
      <c r="L91" s="1" t="s">
        <v>8201</v>
      </c>
      <c r="M91" s="1" t="s">
        <v>7657</v>
      </c>
      <c r="N91" s="17" t="s">
        <v>7945</v>
      </c>
      <c r="O91" s="33"/>
      <c r="P91" s="33"/>
      <c r="Q91" s="33"/>
      <c r="R91" s="33"/>
      <c r="S91" s="33">
        <v>10.9</v>
      </c>
      <c r="T91" s="33"/>
      <c r="U91" s="33">
        <v>6.25</v>
      </c>
      <c r="V91" s="33"/>
      <c r="W91" s="33"/>
      <c r="X91" s="33"/>
      <c r="Y91" s="33"/>
      <c r="Z91" s="33">
        <v>24.680699999999998</v>
      </c>
      <c r="AA91" s="33"/>
      <c r="AB91" s="33"/>
      <c r="AC91" s="33"/>
      <c r="AD91" s="33">
        <v>1.1493899999999999</v>
      </c>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v>17.82</v>
      </c>
      <c r="BC91" s="33"/>
      <c r="BD91" s="33"/>
      <c r="BE91" s="33"/>
      <c r="BF91" s="33"/>
      <c r="BG91" s="33">
        <v>14.772779999999997</v>
      </c>
      <c r="BH91" s="33">
        <v>3.0472199999999998</v>
      </c>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v>3.5907299999999998</v>
      </c>
      <c r="CP91" s="33">
        <v>121.17599999999999</v>
      </c>
      <c r="CQ91" s="33"/>
      <c r="CR91" s="33"/>
      <c r="CS91" s="33">
        <v>9.9257399999999993</v>
      </c>
      <c r="CT91" s="33"/>
      <c r="CU91" s="33"/>
      <c r="CV91" s="33"/>
      <c r="CW91" s="33"/>
      <c r="CX91" s="33"/>
      <c r="CY91" s="33">
        <v>371.54699999999997</v>
      </c>
      <c r="CZ91" s="33"/>
      <c r="DA91" s="33"/>
      <c r="DB91" s="33"/>
      <c r="DC91" s="33"/>
      <c r="DD91" s="33"/>
      <c r="DE91" s="33"/>
      <c r="DF91" s="33"/>
      <c r="DG91" s="33"/>
      <c r="DH91" s="33"/>
      <c r="DI91" s="33"/>
      <c r="DJ91" s="33"/>
      <c r="DK91" s="33"/>
      <c r="DL91" s="33"/>
      <c r="DM91" s="33"/>
      <c r="DN91" s="33"/>
      <c r="DO91" s="33"/>
      <c r="DP91" s="33">
        <v>0.49896000000000001</v>
      </c>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c r="IV91" s="33"/>
      <c r="IW91" s="33"/>
      <c r="IX91" s="33"/>
      <c r="IY91" s="33"/>
      <c r="IZ91" s="33"/>
      <c r="JA91" s="33"/>
      <c r="JB91" s="33"/>
      <c r="JC91" s="33"/>
      <c r="JD91" s="33"/>
      <c r="JE91" s="33"/>
      <c r="JF91" s="33"/>
      <c r="JG91" s="33"/>
      <c r="JH91" s="33"/>
      <c r="JI91" s="33"/>
      <c r="JJ91" s="33"/>
      <c r="JK91" s="33"/>
      <c r="JL91" s="33"/>
      <c r="JM91" s="33"/>
      <c r="JN91" s="33"/>
      <c r="JO91" s="33"/>
      <c r="JP91" s="33"/>
      <c r="JQ91" s="33"/>
      <c r="JR91" s="33"/>
      <c r="KZ91" s="33"/>
      <c r="LA91" s="33"/>
      <c r="LB91" s="33"/>
      <c r="LC91" s="33"/>
      <c r="LD91" s="33"/>
      <c r="LE91" s="33"/>
      <c r="LF91" s="33"/>
      <c r="LG91" s="33"/>
      <c r="LH91" s="33"/>
      <c r="LI91" s="33"/>
      <c r="LJ91" s="33"/>
      <c r="LK91" s="33"/>
      <c r="LL91" s="33"/>
      <c r="LM91" s="33"/>
      <c r="LN91" s="33"/>
      <c r="LO91" s="33"/>
      <c r="LP91" s="44"/>
      <c r="LQ91" s="44"/>
      <c r="LR91" s="44"/>
      <c r="LS91" s="44"/>
      <c r="LT91" s="44"/>
      <c r="LU91" s="44"/>
      <c r="LV91" s="44"/>
    </row>
    <row r="92" spans="1:334" x14ac:dyDescent="0.2">
      <c r="A92" s="1" t="s">
        <v>8202</v>
      </c>
      <c r="D92" s="1" t="s">
        <v>8203</v>
      </c>
      <c r="E92" s="1" t="s">
        <v>8037</v>
      </c>
      <c r="F92" s="1" t="s">
        <v>8163</v>
      </c>
      <c r="H92" s="1" t="s">
        <v>8204</v>
      </c>
      <c r="I92" s="1">
        <v>4</v>
      </c>
      <c r="J92" s="1" t="s">
        <v>8200</v>
      </c>
      <c r="K92" s="1">
        <v>2007</v>
      </c>
      <c r="L92" s="1" t="s">
        <v>8201</v>
      </c>
      <c r="M92" s="1" t="s">
        <v>7657</v>
      </c>
      <c r="N92" s="17" t="s">
        <v>7945</v>
      </c>
      <c r="O92" s="33"/>
      <c r="P92" s="33"/>
      <c r="Q92" s="33"/>
      <c r="R92" s="33"/>
      <c r="S92" s="33">
        <v>8</v>
      </c>
      <c r="T92" s="33"/>
      <c r="U92" s="33">
        <v>6.25</v>
      </c>
      <c r="V92" s="33"/>
      <c r="W92" s="33"/>
      <c r="X92" s="33"/>
      <c r="Y92" s="33"/>
      <c r="Z92" s="33">
        <v>26.772000000000002</v>
      </c>
      <c r="AA92" s="33"/>
      <c r="AB92" s="33"/>
      <c r="AC92" s="33"/>
      <c r="AD92" s="33">
        <v>1.1132</v>
      </c>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v>18.869199999999999</v>
      </c>
      <c r="BC92" s="33"/>
      <c r="BD92" s="33"/>
      <c r="BE92" s="33"/>
      <c r="BF92" s="33"/>
      <c r="BG92" s="33">
        <v>14.536000000000001</v>
      </c>
      <c r="BH92" s="33">
        <v>4.3331999999999997</v>
      </c>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v>3.5695999999999999</v>
      </c>
      <c r="CP92" s="33">
        <v>104.88</v>
      </c>
      <c r="CQ92" s="33"/>
      <c r="CR92" s="33"/>
      <c r="CS92" s="33">
        <v>9.338000000000001</v>
      </c>
      <c r="CT92" s="33"/>
      <c r="CU92" s="33"/>
      <c r="CV92" s="33"/>
      <c r="CW92" s="33"/>
      <c r="CX92" s="33"/>
      <c r="CY92" s="33">
        <v>353.28</v>
      </c>
      <c r="CZ92" s="33"/>
      <c r="DA92" s="33"/>
      <c r="DB92" s="33"/>
      <c r="DC92" s="33"/>
      <c r="DD92" s="33"/>
      <c r="DE92" s="33"/>
      <c r="DF92" s="33"/>
      <c r="DG92" s="33"/>
      <c r="DH92" s="33"/>
      <c r="DI92" s="33"/>
      <c r="DJ92" s="33"/>
      <c r="DK92" s="33"/>
      <c r="DL92" s="33"/>
      <c r="DM92" s="33"/>
      <c r="DN92" s="33"/>
      <c r="DO92" s="33"/>
      <c r="DP92" s="33">
        <v>0.65319999999999989</v>
      </c>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c r="IV92" s="33"/>
      <c r="IW92" s="33"/>
      <c r="IX92" s="33"/>
      <c r="IY92" s="33"/>
      <c r="IZ92" s="33"/>
      <c r="JA92" s="33"/>
      <c r="JB92" s="33"/>
      <c r="JC92" s="33"/>
      <c r="JD92" s="33"/>
      <c r="JE92" s="33"/>
      <c r="JF92" s="33"/>
      <c r="JG92" s="33"/>
      <c r="JH92" s="33"/>
      <c r="JI92" s="33"/>
      <c r="JJ92" s="33"/>
      <c r="JK92" s="33"/>
      <c r="JL92" s="33"/>
      <c r="JM92" s="33"/>
      <c r="JN92" s="33"/>
      <c r="JO92" s="33"/>
      <c r="JP92" s="33"/>
      <c r="JQ92" s="33"/>
      <c r="JR92" s="33"/>
      <c r="KZ92" s="33"/>
      <c r="LA92" s="33"/>
      <c r="LB92" s="33"/>
      <c r="LC92" s="33"/>
      <c r="LD92" s="33"/>
      <c r="LE92" s="33"/>
      <c r="LF92" s="33"/>
      <c r="LG92" s="33"/>
      <c r="LH92" s="33"/>
      <c r="LI92" s="33"/>
      <c r="LJ92" s="33"/>
      <c r="LK92" s="33"/>
      <c r="LL92" s="33"/>
      <c r="LM92" s="33"/>
      <c r="LN92" s="33"/>
      <c r="LO92" s="33"/>
      <c r="LP92" s="44"/>
      <c r="LQ92" s="44"/>
      <c r="LR92" s="44"/>
      <c r="LS92" s="44"/>
      <c r="LT92" s="44"/>
      <c r="LU92" s="44"/>
      <c r="LV92" s="44"/>
    </row>
    <row r="93" spans="1:334" x14ac:dyDescent="0.2">
      <c r="A93" s="1" t="s">
        <v>8205</v>
      </c>
      <c r="D93" s="1" t="s">
        <v>8206</v>
      </c>
      <c r="E93" s="1" t="s">
        <v>8037</v>
      </c>
      <c r="F93" s="1" t="s">
        <v>8163</v>
      </c>
      <c r="H93" s="1" t="s">
        <v>8207</v>
      </c>
      <c r="I93" s="1">
        <v>4</v>
      </c>
      <c r="J93" s="1" t="s">
        <v>8200</v>
      </c>
      <c r="K93" s="1">
        <v>2007</v>
      </c>
      <c r="L93" s="1" t="s">
        <v>8201</v>
      </c>
      <c r="M93" s="1" t="s">
        <v>7657</v>
      </c>
      <c r="N93" s="17" t="s">
        <v>7945</v>
      </c>
      <c r="O93" s="33"/>
      <c r="P93" s="33"/>
      <c r="Q93" s="33"/>
      <c r="R93" s="33"/>
      <c r="S93" s="33">
        <v>10</v>
      </c>
      <c r="T93" s="33"/>
      <c r="U93" s="33">
        <v>6.25</v>
      </c>
      <c r="V93" s="33"/>
      <c r="W93" s="33"/>
      <c r="X93" s="33"/>
      <c r="Y93" s="33"/>
      <c r="Z93" s="33">
        <v>26.91</v>
      </c>
      <c r="AA93" s="33"/>
      <c r="AB93" s="33"/>
      <c r="AC93" s="33"/>
      <c r="AD93" s="33">
        <v>1.53</v>
      </c>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v>13.644</v>
      </c>
      <c r="BC93" s="33"/>
      <c r="BD93" s="33"/>
      <c r="BE93" s="33"/>
      <c r="BF93" s="33"/>
      <c r="BG93" s="33">
        <v>11.34</v>
      </c>
      <c r="BH93" s="33">
        <v>2.3129999999999997</v>
      </c>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v>3.411</v>
      </c>
      <c r="CP93" s="33">
        <v>63.9</v>
      </c>
      <c r="CQ93" s="33"/>
      <c r="CR93" s="33"/>
      <c r="CS93" s="33">
        <v>8.1450000000000014</v>
      </c>
      <c r="CT93" s="33"/>
      <c r="CU93" s="33"/>
      <c r="CV93" s="33"/>
      <c r="CW93" s="33"/>
      <c r="CX93" s="33"/>
      <c r="CY93" s="33">
        <v>360.9</v>
      </c>
      <c r="CZ93" s="33"/>
      <c r="DA93" s="33"/>
      <c r="DB93" s="33"/>
      <c r="DC93" s="33"/>
      <c r="DD93" s="33"/>
      <c r="DE93" s="33"/>
      <c r="DF93" s="33"/>
      <c r="DG93" s="33"/>
      <c r="DH93" s="33"/>
      <c r="DI93" s="33"/>
      <c r="DJ93" s="33"/>
      <c r="DK93" s="33"/>
      <c r="DL93" s="33"/>
      <c r="DM93" s="33"/>
      <c r="DN93" s="33"/>
      <c r="DO93" s="33"/>
      <c r="DP93" s="33">
        <v>0.76500000000000001</v>
      </c>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c r="IV93" s="33"/>
      <c r="IW93" s="33"/>
      <c r="IX93" s="33"/>
      <c r="IY93" s="33"/>
      <c r="IZ93" s="33"/>
      <c r="JA93" s="33"/>
      <c r="JB93" s="33"/>
      <c r="JC93" s="33"/>
      <c r="JD93" s="33"/>
      <c r="JE93" s="33"/>
      <c r="JF93" s="33"/>
      <c r="JG93" s="33"/>
      <c r="JH93" s="33"/>
      <c r="JI93" s="33"/>
      <c r="JJ93" s="33"/>
      <c r="JK93" s="33"/>
      <c r="JL93" s="33"/>
      <c r="JM93" s="33"/>
      <c r="JN93" s="33"/>
      <c r="JO93" s="33"/>
      <c r="JP93" s="33"/>
      <c r="JQ93" s="33"/>
      <c r="JR93" s="33"/>
      <c r="KZ93" s="33"/>
      <c r="LA93" s="33"/>
      <c r="LB93" s="33"/>
      <c r="LC93" s="33"/>
      <c r="LD93" s="33"/>
      <c r="LE93" s="33"/>
      <c r="LF93" s="33"/>
      <c r="LG93" s="33"/>
      <c r="LH93" s="33"/>
      <c r="LI93" s="33"/>
      <c r="LJ93" s="33"/>
      <c r="LK93" s="33"/>
      <c r="LL93" s="33"/>
      <c r="LM93" s="33"/>
      <c r="LN93" s="33"/>
      <c r="LO93" s="33"/>
      <c r="LP93" s="44"/>
      <c r="LQ93" s="44"/>
      <c r="LR93" s="44"/>
      <c r="LS93" s="44"/>
      <c r="LT93" s="44"/>
      <c r="LU93" s="44"/>
      <c r="LV93" s="44"/>
    </row>
    <row r="94" spans="1:334" x14ac:dyDescent="0.2">
      <c r="A94" s="1" t="s">
        <v>8208</v>
      </c>
      <c r="D94" s="1" t="s">
        <v>8209</v>
      </c>
      <c r="E94" s="1" t="s">
        <v>8037</v>
      </c>
      <c r="F94" s="1" t="s">
        <v>8160</v>
      </c>
      <c r="H94" s="1" t="s">
        <v>8199</v>
      </c>
      <c r="I94" s="1">
        <v>4</v>
      </c>
      <c r="J94" s="1" t="s">
        <v>8200</v>
      </c>
      <c r="K94" s="1">
        <v>2007</v>
      </c>
      <c r="L94" s="1" t="s">
        <v>8201</v>
      </c>
      <c r="M94" s="1" t="s">
        <v>7657</v>
      </c>
      <c r="N94" s="17" t="s">
        <v>7945</v>
      </c>
      <c r="O94" s="33"/>
      <c r="P94" s="33"/>
      <c r="Q94" s="33"/>
      <c r="R94" s="33"/>
      <c r="S94" s="33">
        <v>8.5</v>
      </c>
      <c r="T94" s="33"/>
      <c r="U94" s="33">
        <v>6.25</v>
      </c>
      <c r="V94" s="33"/>
      <c r="W94" s="33"/>
      <c r="X94" s="33"/>
      <c r="Y94" s="33"/>
      <c r="Z94" s="33">
        <v>23.515499999999996</v>
      </c>
      <c r="AA94" s="33"/>
      <c r="AB94" s="33"/>
      <c r="AC94" s="33"/>
      <c r="AD94" s="33">
        <v>1.0613999999999999</v>
      </c>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v>25.052700000000002</v>
      </c>
      <c r="BC94" s="33"/>
      <c r="BD94" s="33"/>
      <c r="BE94" s="33"/>
      <c r="BF94" s="33"/>
      <c r="BG94" s="33">
        <v>23.607000000000003</v>
      </c>
      <c r="BH94" s="33">
        <v>2.0038499999999999</v>
      </c>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v>3.3123</v>
      </c>
      <c r="CP94" s="33">
        <v>79.605000000000004</v>
      </c>
      <c r="CQ94" s="33"/>
      <c r="CR94" s="33"/>
      <c r="CS94" s="33">
        <v>5.9474999999999998</v>
      </c>
      <c r="CT94" s="33"/>
      <c r="CU94" s="33"/>
      <c r="CV94" s="33"/>
      <c r="CW94" s="33"/>
      <c r="CX94" s="33"/>
      <c r="CY94" s="33">
        <v>365.08499999999998</v>
      </c>
      <c r="CZ94" s="33"/>
      <c r="DA94" s="33"/>
      <c r="DB94" s="33"/>
      <c r="DC94" s="33"/>
      <c r="DD94" s="33"/>
      <c r="DE94" s="33"/>
      <c r="DF94" s="33"/>
      <c r="DG94" s="33"/>
      <c r="DH94" s="33"/>
      <c r="DI94" s="33"/>
      <c r="DJ94" s="33"/>
      <c r="DK94" s="33"/>
      <c r="DL94" s="33"/>
      <c r="DM94" s="33"/>
      <c r="DN94" s="33"/>
      <c r="DO94" s="33"/>
      <c r="DP94" s="33">
        <v>0.58560000000000001</v>
      </c>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c r="IV94" s="33"/>
      <c r="IW94" s="33"/>
      <c r="IX94" s="33"/>
      <c r="IY94" s="33"/>
      <c r="IZ94" s="33"/>
      <c r="JA94" s="33"/>
      <c r="JB94" s="33"/>
      <c r="JC94" s="33"/>
      <c r="JD94" s="33"/>
      <c r="JE94" s="33"/>
      <c r="JF94" s="33"/>
      <c r="JG94" s="33"/>
      <c r="JH94" s="33"/>
      <c r="JI94" s="33"/>
      <c r="JJ94" s="33"/>
      <c r="JK94" s="33"/>
      <c r="JL94" s="33"/>
      <c r="JM94" s="33"/>
      <c r="JN94" s="33"/>
      <c r="JO94" s="33"/>
      <c r="JP94" s="33"/>
      <c r="JQ94" s="33"/>
      <c r="JR94" s="33"/>
      <c r="KZ94" s="33"/>
      <c r="LA94" s="33"/>
      <c r="LB94" s="33"/>
      <c r="LC94" s="33"/>
      <c r="LD94" s="33"/>
      <c r="LE94" s="33"/>
      <c r="LF94" s="33"/>
      <c r="LG94" s="33"/>
      <c r="LH94" s="33"/>
      <c r="LI94" s="33"/>
      <c r="LJ94" s="33"/>
      <c r="LK94" s="33"/>
      <c r="LL94" s="33"/>
      <c r="LM94" s="33"/>
      <c r="LN94" s="33"/>
      <c r="LO94" s="33"/>
      <c r="LP94" s="44"/>
      <c r="LQ94" s="44"/>
      <c r="LR94" s="44"/>
      <c r="LS94" s="44"/>
      <c r="LT94" s="44"/>
      <c r="LU94" s="44"/>
      <c r="LV94" s="44"/>
    </row>
    <row r="95" spans="1:334" x14ac:dyDescent="0.2">
      <c r="A95" s="1" t="s">
        <v>8210</v>
      </c>
      <c r="D95" s="1" t="s">
        <v>8211</v>
      </c>
      <c r="E95" s="1" t="s">
        <v>8037</v>
      </c>
      <c r="F95" s="1" t="s">
        <v>8160</v>
      </c>
      <c r="H95" s="1" t="s">
        <v>8204</v>
      </c>
      <c r="I95" s="1">
        <v>4</v>
      </c>
      <c r="J95" s="1" t="s">
        <v>8200</v>
      </c>
      <c r="K95" s="1">
        <v>2007</v>
      </c>
      <c r="L95" s="1" t="s">
        <v>8201</v>
      </c>
      <c r="M95" s="1" t="s">
        <v>7657</v>
      </c>
      <c r="N95" s="17" t="s">
        <v>7945</v>
      </c>
      <c r="O95" s="33"/>
      <c r="P95" s="33"/>
      <c r="Q95" s="33"/>
      <c r="R95" s="33"/>
      <c r="S95" s="33">
        <v>6.1</v>
      </c>
      <c r="T95" s="33"/>
      <c r="U95" s="33">
        <v>6.25</v>
      </c>
      <c r="V95" s="33"/>
      <c r="W95" s="33"/>
      <c r="X95" s="33"/>
      <c r="Y95" s="33"/>
      <c r="Z95" s="33">
        <v>25.540800000000001</v>
      </c>
      <c r="AA95" s="33"/>
      <c r="AB95" s="33"/>
      <c r="AC95" s="33"/>
      <c r="AD95" s="33">
        <v>1.0047300000000001</v>
      </c>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v>26.385900000000003</v>
      </c>
      <c r="BC95" s="33"/>
      <c r="BD95" s="33"/>
      <c r="BE95" s="33"/>
      <c r="BF95" s="33"/>
      <c r="BG95" s="33">
        <v>24.226200000000002</v>
      </c>
      <c r="BH95" s="33">
        <v>2.1597</v>
      </c>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v>3.31467</v>
      </c>
      <c r="CP95" s="33">
        <v>70.424999999999997</v>
      </c>
      <c r="CQ95" s="33"/>
      <c r="CR95" s="33"/>
      <c r="CS95" s="33">
        <v>5.5119300000000013</v>
      </c>
      <c r="CT95" s="33"/>
      <c r="CU95" s="33"/>
      <c r="CV95" s="33"/>
      <c r="CW95" s="33"/>
      <c r="CX95" s="33"/>
      <c r="CY95" s="33">
        <v>320.19900000000001</v>
      </c>
      <c r="CZ95" s="33"/>
      <c r="DA95" s="33"/>
      <c r="DB95" s="33"/>
      <c r="DC95" s="33"/>
      <c r="DD95" s="33"/>
      <c r="DE95" s="33"/>
      <c r="DF95" s="33"/>
      <c r="DG95" s="33"/>
      <c r="DH95" s="33"/>
      <c r="DI95" s="33"/>
      <c r="DJ95" s="33"/>
      <c r="DK95" s="33"/>
      <c r="DL95" s="33"/>
      <c r="DM95" s="33"/>
      <c r="DN95" s="33"/>
      <c r="DO95" s="33"/>
      <c r="DP95" s="33">
        <v>0.64790999999999999</v>
      </c>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c r="IV95" s="33"/>
      <c r="IW95" s="33"/>
      <c r="IX95" s="33"/>
      <c r="IY95" s="33"/>
      <c r="IZ95" s="33"/>
      <c r="JA95" s="33"/>
      <c r="JB95" s="33"/>
      <c r="JC95" s="33"/>
      <c r="JD95" s="33"/>
      <c r="JE95" s="33"/>
      <c r="JF95" s="33"/>
      <c r="JG95" s="33"/>
      <c r="JH95" s="33"/>
      <c r="JI95" s="33"/>
      <c r="JJ95" s="33"/>
      <c r="JK95" s="33"/>
      <c r="JL95" s="33"/>
      <c r="JM95" s="33"/>
      <c r="JN95" s="33"/>
      <c r="JO95" s="33"/>
      <c r="JP95" s="33"/>
      <c r="JQ95" s="33"/>
      <c r="JR95" s="33"/>
      <c r="KZ95" s="33"/>
      <c r="LA95" s="33"/>
      <c r="LB95" s="33"/>
      <c r="LC95" s="33"/>
      <c r="LD95" s="33"/>
      <c r="LE95" s="33"/>
      <c r="LF95" s="33"/>
      <c r="LG95" s="33"/>
      <c r="LH95" s="33"/>
      <c r="LI95" s="33"/>
      <c r="LJ95" s="33"/>
      <c r="LK95" s="33"/>
      <c r="LL95" s="33"/>
      <c r="LM95" s="33"/>
      <c r="LN95" s="33"/>
      <c r="LO95" s="33"/>
      <c r="LP95" s="44"/>
      <c r="LQ95" s="44"/>
      <c r="LR95" s="44"/>
      <c r="LS95" s="44"/>
      <c r="LT95" s="44"/>
      <c r="LU95" s="44"/>
      <c r="LV95" s="44"/>
    </row>
    <row r="96" spans="1:334" x14ac:dyDescent="0.2">
      <c r="A96" s="1" t="s">
        <v>8212</v>
      </c>
      <c r="D96" s="1" t="s">
        <v>8213</v>
      </c>
      <c r="E96" s="1" t="s">
        <v>8037</v>
      </c>
      <c r="F96" s="1" t="s">
        <v>8160</v>
      </c>
      <c r="H96" s="1" t="s">
        <v>8207</v>
      </c>
      <c r="I96" s="1">
        <v>4</v>
      </c>
      <c r="J96" s="1" t="s">
        <v>8200</v>
      </c>
      <c r="K96" s="1">
        <v>2007</v>
      </c>
      <c r="L96" s="1" t="s">
        <v>8201</v>
      </c>
      <c r="M96" s="1" t="s">
        <v>7657</v>
      </c>
      <c r="N96" s="17" t="s">
        <v>7945</v>
      </c>
      <c r="O96" s="33"/>
      <c r="P96" s="33"/>
      <c r="Q96" s="33"/>
      <c r="R96" s="33"/>
      <c r="S96" s="33">
        <v>7.6</v>
      </c>
      <c r="T96" s="33"/>
      <c r="U96" s="33">
        <v>6.25</v>
      </c>
      <c r="V96" s="33"/>
      <c r="W96" s="33"/>
      <c r="X96" s="33"/>
      <c r="Y96" s="33"/>
      <c r="Z96" s="33">
        <v>26.241599999999998</v>
      </c>
      <c r="AA96" s="33"/>
      <c r="AB96" s="33"/>
      <c r="AC96" s="33"/>
      <c r="AD96" s="33">
        <v>1.3675200000000001</v>
      </c>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v>21.085680000000004</v>
      </c>
      <c r="BC96" s="33"/>
      <c r="BD96" s="33"/>
      <c r="BE96" s="33"/>
      <c r="BF96" s="33"/>
      <c r="BG96" s="33">
        <v>19.847520000000003</v>
      </c>
      <c r="BH96" s="33">
        <v>1.2381600000000001</v>
      </c>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v>3.2062800000000005</v>
      </c>
      <c r="CP96" s="33">
        <v>49.896000000000001</v>
      </c>
      <c r="CQ96" s="33"/>
      <c r="CR96" s="33"/>
      <c r="CS96" s="33">
        <v>5.1004800000000001</v>
      </c>
      <c r="CT96" s="33"/>
      <c r="CU96" s="33"/>
      <c r="CV96" s="33"/>
      <c r="CW96" s="33"/>
      <c r="CX96" s="33"/>
      <c r="CY96" s="33">
        <v>349.27200000000005</v>
      </c>
      <c r="CZ96" s="33"/>
      <c r="DA96" s="33"/>
      <c r="DB96" s="33"/>
      <c r="DC96" s="33"/>
      <c r="DD96" s="33"/>
      <c r="DE96" s="33"/>
      <c r="DF96" s="33"/>
      <c r="DG96" s="33"/>
      <c r="DH96" s="33"/>
      <c r="DI96" s="33"/>
      <c r="DJ96" s="33"/>
      <c r="DK96" s="33"/>
      <c r="DL96" s="33"/>
      <c r="DM96" s="33"/>
      <c r="DN96" s="33"/>
      <c r="DO96" s="33"/>
      <c r="DP96" s="33">
        <v>0.7854000000000001</v>
      </c>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c r="IV96" s="33"/>
      <c r="IW96" s="33"/>
      <c r="IX96" s="33"/>
      <c r="IY96" s="33"/>
      <c r="IZ96" s="33"/>
      <c r="JA96" s="33"/>
      <c r="JB96" s="33"/>
      <c r="JC96" s="33"/>
      <c r="JD96" s="33"/>
      <c r="JE96" s="33"/>
      <c r="JF96" s="33"/>
      <c r="JG96" s="33"/>
      <c r="JH96" s="33"/>
      <c r="JI96" s="33"/>
      <c r="JJ96" s="33"/>
      <c r="JK96" s="33"/>
      <c r="JL96" s="33"/>
      <c r="JM96" s="33"/>
      <c r="JN96" s="33"/>
      <c r="JO96" s="33"/>
      <c r="JP96" s="33"/>
      <c r="JQ96" s="33"/>
      <c r="JR96" s="33"/>
      <c r="KZ96" s="33"/>
      <c r="LA96" s="33"/>
      <c r="LB96" s="33"/>
      <c r="LC96" s="33"/>
      <c r="LD96" s="33"/>
      <c r="LE96" s="33"/>
      <c r="LF96" s="33"/>
      <c r="LG96" s="33"/>
      <c r="LH96" s="33"/>
      <c r="LI96" s="33"/>
      <c r="LJ96" s="33"/>
      <c r="LK96" s="33"/>
      <c r="LL96" s="33"/>
      <c r="LM96" s="33"/>
      <c r="LN96" s="33"/>
      <c r="LO96" s="33"/>
      <c r="LP96" s="44"/>
      <c r="LQ96" s="44"/>
      <c r="LR96" s="44"/>
      <c r="LS96" s="44"/>
      <c r="LT96" s="44"/>
      <c r="LU96" s="44"/>
      <c r="LV96" s="44"/>
    </row>
    <row r="97" spans="1:334" x14ac:dyDescent="0.2">
      <c r="A97" s="1" t="s">
        <v>8214</v>
      </c>
      <c r="D97" s="1" t="s">
        <v>8215</v>
      </c>
      <c r="E97" s="1" t="s">
        <v>8037</v>
      </c>
      <c r="F97" s="1" t="s">
        <v>8024</v>
      </c>
      <c r="H97" s="1" t="s">
        <v>8199</v>
      </c>
      <c r="I97" s="1">
        <v>4</v>
      </c>
      <c r="J97" s="1" t="s">
        <v>8200</v>
      </c>
      <c r="K97" s="1">
        <v>2007</v>
      </c>
      <c r="L97" s="1" t="s">
        <v>8201</v>
      </c>
      <c r="M97" s="1" t="s">
        <v>7657</v>
      </c>
      <c r="N97" s="17" t="s">
        <v>7945</v>
      </c>
      <c r="O97" s="33"/>
      <c r="P97" s="33"/>
      <c r="Q97" s="33"/>
      <c r="R97" s="33"/>
      <c r="S97" s="33">
        <v>11.7</v>
      </c>
      <c r="T97" s="33"/>
      <c r="U97" s="33">
        <v>6.25</v>
      </c>
      <c r="V97" s="33"/>
      <c r="W97" s="33"/>
      <c r="X97" s="33"/>
      <c r="Y97" s="33"/>
      <c r="Z97" s="33">
        <v>23.3995</v>
      </c>
      <c r="AA97" s="33"/>
      <c r="AB97" s="33"/>
      <c r="AC97" s="33"/>
      <c r="AD97" s="33">
        <v>0.78587000000000007</v>
      </c>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v>14.543009999999999</v>
      </c>
      <c r="BC97" s="33"/>
      <c r="BD97" s="33"/>
      <c r="BE97" s="33"/>
      <c r="BF97" s="33"/>
      <c r="BG97" s="33">
        <v>13.70416</v>
      </c>
      <c r="BH97" s="33">
        <v>0.75054999999999994</v>
      </c>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v>2.1545199999999998</v>
      </c>
      <c r="CP97" s="33">
        <v>67.991</v>
      </c>
      <c r="CQ97" s="33"/>
      <c r="CR97" s="33"/>
      <c r="CS97" s="33">
        <v>7.523159999999999</v>
      </c>
      <c r="CT97" s="33"/>
      <c r="CU97" s="33"/>
      <c r="CV97" s="33"/>
      <c r="CW97" s="33"/>
      <c r="CX97" s="33"/>
      <c r="CY97" s="33">
        <v>412.36099999999999</v>
      </c>
      <c r="CZ97" s="33"/>
      <c r="DA97" s="33"/>
      <c r="DB97" s="33"/>
      <c r="DC97" s="33"/>
      <c r="DD97" s="33"/>
      <c r="DE97" s="33"/>
      <c r="DF97" s="33"/>
      <c r="DG97" s="33"/>
      <c r="DH97" s="33"/>
      <c r="DI97" s="33"/>
      <c r="DJ97" s="33"/>
      <c r="DK97" s="33"/>
      <c r="DL97" s="33"/>
      <c r="DM97" s="33"/>
      <c r="DN97" s="33"/>
      <c r="DO97" s="33"/>
      <c r="DP97" s="33">
        <v>0.45033000000000001</v>
      </c>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33"/>
      <c r="IW97" s="33"/>
      <c r="IX97" s="33"/>
      <c r="IY97" s="33"/>
      <c r="IZ97" s="33"/>
      <c r="JA97" s="33"/>
      <c r="JB97" s="33"/>
      <c r="JC97" s="33"/>
      <c r="JD97" s="33"/>
      <c r="JE97" s="33"/>
      <c r="JF97" s="33"/>
      <c r="JG97" s="33"/>
      <c r="JH97" s="33"/>
      <c r="JI97" s="33"/>
      <c r="JJ97" s="33"/>
      <c r="JK97" s="33"/>
      <c r="JL97" s="33"/>
      <c r="JM97" s="33"/>
      <c r="JN97" s="33"/>
      <c r="JO97" s="33"/>
      <c r="JP97" s="33"/>
      <c r="JQ97" s="33"/>
      <c r="JR97" s="33"/>
      <c r="KZ97" s="33"/>
      <c r="LA97" s="33"/>
      <c r="LB97" s="33"/>
      <c r="LC97" s="33"/>
      <c r="LD97" s="33"/>
      <c r="LE97" s="33"/>
      <c r="LF97" s="33"/>
      <c r="LG97" s="33"/>
      <c r="LH97" s="33"/>
      <c r="LI97" s="33"/>
      <c r="LJ97" s="33"/>
      <c r="LK97" s="33"/>
      <c r="LL97" s="33"/>
      <c r="LM97" s="33"/>
      <c r="LN97" s="33"/>
      <c r="LO97" s="33"/>
      <c r="LP97" s="44"/>
      <c r="LQ97" s="44"/>
      <c r="LR97" s="44"/>
      <c r="LS97" s="44"/>
      <c r="LT97" s="44"/>
      <c r="LU97" s="44"/>
      <c r="LV97" s="44"/>
    </row>
    <row r="98" spans="1:334" x14ac:dyDescent="0.2">
      <c r="A98" s="1" t="s">
        <v>8216</v>
      </c>
      <c r="D98" s="1" t="s">
        <v>8217</v>
      </c>
      <c r="E98" s="1" t="s">
        <v>8037</v>
      </c>
      <c r="F98" s="1" t="s">
        <v>8024</v>
      </c>
      <c r="H98" s="1" t="s">
        <v>8204</v>
      </c>
      <c r="I98" s="1">
        <v>4</v>
      </c>
      <c r="J98" s="1" t="s">
        <v>8200</v>
      </c>
      <c r="K98" s="1">
        <v>2007</v>
      </c>
      <c r="L98" s="1" t="s">
        <v>8201</v>
      </c>
      <c r="M98" s="1" t="s">
        <v>7657</v>
      </c>
      <c r="N98" s="17" t="s">
        <v>7945</v>
      </c>
      <c r="O98" s="33"/>
      <c r="P98" s="33"/>
      <c r="Q98" s="33"/>
      <c r="R98" s="33"/>
      <c r="S98" s="33">
        <v>10</v>
      </c>
      <c r="T98" s="33"/>
      <c r="U98" s="33">
        <v>6.25</v>
      </c>
      <c r="V98" s="33"/>
      <c r="W98" s="33"/>
      <c r="X98" s="33"/>
      <c r="Y98" s="33"/>
      <c r="Z98" s="33">
        <v>25.65</v>
      </c>
      <c r="AA98" s="33"/>
      <c r="AB98" s="33"/>
      <c r="AC98" s="33"/>
      <c r="AD98" s="33">
        <v>0.70200000000000007</v>
      </c>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v>15.3</v>
      </c>
      <c r="BC98" s="33"/>
      <c r="BD98" s="33"/>
      <c r="BE98" s="33"/>
      <c r="BF98" s="33"/>
      <c r="BG98" s="33">
        <v>13.968</v>
      </c>
      <c r="BH98" s="33">
        <v>1.3319999999999999</v>
      </c>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v>2.052</v>
      </c>
      <c r="CP98" s="33">
        <v>56.7</v>
      </c>
      <c r="CQ98" s="33"/>
      <c r="CR98" s="33"/>
      <c r="CS98" s="33">
        <v>6.0570000000000004</v>
      </c>
      <c r="CT98" s="33"/>
      <c r="CU98" s="33"/>
      <c r="CV98" s="33"/>
      <c r="CW98" s="33"/>
      <c r="CX98" s="33"/>
      <c r="CY98" s="33">
        <v>378</v>
      </c>
      <c r="CZ98" s="33"/>
      <c r="DA98" s="33"/>
      <c r="DB98" s="33"/>
      <c r="DC98" s="33"/>
      <c r="DD98" s="33"/>
      <c r="DE98" s="33"/>
      <c r="DF98" s="33"/>
      <c r="DG98" s="33"/>
      <c r="DH98" s="33"/>
      <c r="DI98" s="33"/>
      <c r="DJ98" s="33"/>
      <c r="DK98" s="33"/>
      <c r="DL98" s="33"/>
      <c r="DM98" s="33"/>
      <c r="DN98" s="33"/>
      <c r="DO98" s="33"/>
      <c r="DP98" s="33">
        <v>0.61199999999999999</v>
      </c>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33"/>
      <c r="IW98" s="33"/>
      <c r="IX98" s="33"/>
      <c r="IY98" s="33"/>
      <c r="IZ98" s="33"/>
      <c r="JA98" s="33"/>
      <c r="JB98" s="33"/>
      <c r="JC98" s="33"/>
      <c r="JD98" s="33"/>
      <c r="JE98" s="33"/>
      <c r="JF98" s="33"/>
      <c r="JG98" s="33"/>
      <c r="JH98" s="33"/>
      <c r="JI98" s="33"/>
      <c r="JJ98" s="33"/>
      <c r="JK98" s="33"/>
      <c r="JL98" s="33"/>
      <c r="JM98" s="33"/>
      <c r="JN98" s="33"/>
      <c r="JO98" s="33"/>
      <c r="JP98" s="33"/>
      <c r="JQ98" s="33"/>
      <c r="JR98" s="33"/>
      <c r="KZ98" s="33"/>
      <c r="LA98" s="33"/>
      <c r="LB98" s="33"/>
      <c r="LC98" s="33"/>
      <c r="LD98" s="33"/>
      <c r="LE98" s="33"/>
      <c r="LF98" s="33"/>
      <c r="LG98" s="33"/>
      <c r="LH98" s="33"/>
      <c r="LI98" s="33"/>
      <c r="LJ98" s="33"/>
      <c r="LK98" s="33"/>
      <c r="LL98" s="33"/>
      <c r="LM98" s="33"/>
      <c r="LN98" s="33"/>
      <c r="LO98" s="33"/>
      <c r="LP98" s="44"/>
      <c r="LQ98" s="44"/>
      <c r="LR98" s="44"/>
      <c r="LS98" s="44"/>
      <c r="LT98" s="44"/>
      <c r="LU98" s="44"/>
      <c r="LV98" s="44"/>
    </row>
    <row r="99" spans="1:334" x14ac:dyDescent="0.2">
      <c r="A99" s="1" t="s">
        <v>8218</v>
      </c>
      <c r="D99" s="1" t="s">
        <v>8219</v>
      </c>
      <c r="E99" s="1" t="s">
        <v>8037</v>
      </c>
      <c r="F99" s="1" t="s">
        <v>8024</v>
      </c>
      <c r="H99" s="1" t="s">
        <v>8207</v>
      </c>
      <c r="I99" s="1">
        <v>4</v>
      </c>
      <c r="J99" s="1" t="s">
        <v>8200</v>
      </c>
      <c r="K99" s="1">
        <v>2007</v>
      </c>
      <c r="L99" s="1" t="s">
        <v>8201</v>
      </c>
      <c r="M99" s="1" t="s">
        <v>7657</v>
      </c>
      <c r="N99" s="17" t="s">
        <v>7945</v>
      </c>
      <c r="O99" s="33"/>
      <c r="P99" s="33"/>
      <c r="Q99" s="33"/>
      <c r="R99" s="33"/>
      <c r="S99" s="33">
        <v>11</v>
      </c>
      <c r="T99" s="33"/>
      <c r="U99" s="33">
        <v>6.25</v>
      </c>
      <c r="V99" s="33"/>
      <c r="W99" s="33"/>
      <c r="X99" s="33"/>
      <c r="Y99" s="33"/>
      <c r="Z99" s="33">
        <v>26.344000000000001</v>
      </c>
      <c r="AA99" s="33"/>
      <c r="AB99" s="33"/>
      <c r="AC99" s="33"/>
      <c r="AD99" s="33">
        <v>1.0680000000000001</v>
      </c>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v>10.4397</v>
      </c>
      <c r="BC99" s="33"/>
      <c r="BD99" s="33"/>
      <c r="BE99" s="33"/>
      <c r="BF99" s="33"/>
      <c r="BG99" s="33">
        <v>10.1371</v>
      </c>
      <c r="BH99" s="33">
        <v>0.30260000000000004</v>
      </c>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v>1.8956999999999999</v>
      </c>
      <c r="CP99" s="33">
        <v>44.5</v>
      </c>
      <c r="CQ99" s="33"/>
      <c r="CR99" s="33"/>
      <c r="CS99" s="33">
        <v>4.9394999999999998</v>
      </c>
      <c r="CT99" s="33"/>
      <c r="CU99" s="33"/>
      <c r="CV99" s="33"/>
      <c r="CW99" s="33"/>
      <c r="CX99" s="33"/>
      <c r="CY99" s="33">
        <v>398.72</v>
      </c>
      <c r="CZ99" s="33"/>
      <c r="DA99" s="33"/>
      <c r="DB99" s="33"/>
      <c r="DC99" s="33"/>
      <c r="DD99" s="33"/>
      <c r="DE99" s="33"/>
      <c r="DF99" s="33"/>
      <c r="DG99" s="33"/>
      <c r="DH99" s="33"/>
      <c r="DI99" s="33"/>
      <c r="DJ99" s="33"/>
      <c r="DK99" s="33"/>
      <c r="DL99" s="33"/>
      <c r="DM99" s="33"/>
      <c r="DN99" s="33"/>
      <c r="DO99" s="33"/>
      <c r="DP99" s="33">
        <v>0.72089999999999999</v>
      </c>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c r="IV99" s="33"/>
      <c r="IW99" s="33"/>
      <c r="IX99" s="33"/>
      <c r="IY99" s="33"/>
      <c r="IZ99" s="33"/>
      <c r="JA99" s="33"/>
      <c r="JB99" s="33"/>
      <c r="JC99" s="33"/>
      <c r="JD99" s="33"/>
      <c r="JE99" s="33"/>
      <c r="JF99" s="33"/>
      <c r="JG99" s="33"/>
      <c r="JH99" s="33"/>
      <c r="JI99" s="33"/>
      <c r="JJ99" s="33"/>
      <c r="JK99" s="33"/>
      <c r="JL99" s="33"/>
      <c r="JM99" s="33"/>
      <c r="JN99" s="33"/>
      <c r="JO99" s="33"/>
      <c r="JP99" s="33"/>
      <c r="JQ99" s="33"/>
      <c r="JR99" s="33"/>
      <c r="KZ99" s="33"/>
      <c r="LA99" s="33"/>
      <c r="LB99" s="33"/>
      <c r="LC99" s="33"/>
      <c r="LD99" s="33"/>
      <c r="LE99" s="33"/>
      <c r="LF99" s="33"/>
      <c r="LG99" s="33"/>
      <c r="LH99" s="33"/>
      <c r="LI99" s="33"/>
      <c r="LJ99" s="33"/>
      <c r="LK99" s="33"/>
      <c r="LL99" s="33"/>
      <c r="LM99" s="33"/>
      <c r="LN99" s="33"/>
      <c r="LO99" s="33"/>
      <c r="LP99" s="44"/>
      <c r="LQ99" s="44"/>
      <c r="LR99" s="44"/>
      <c r="LS99" s="44"/>
      <c r="LT99" s="44"/>
      <c r="LU99" s="44"/>
      <c r="LV99" s="44"/>
    </row>
    <row r="100" spans="1:334" x14ac:dyDescent="0.2">
      <c r="A100" s="1" t="s">
        <v>8220</v>
      </c>
      <c r="D100" s="1" t="s">
        <v>8221</v>
      </c>
      <c r="E100" s="1" t="s">
        <v>8037</v>
      </c>
      <c r="F100" s="1" t="s">
        <v>688</v>
      </c>
      <c r="H100" s="1" t="s">
        <v>8199</v>
      </c>
      <c r="I100" s="1">
        <v>4</v>
      </c>
      <c r="J100" s="1" t="s">
        <v>8200</v>
      </c>
      <c r="K100" s="1">
        <v>2007</v>
      </c>
      <c r="L100" s="1" t="s">
        <v>8201</v>
      </c>
      <c r="M100" s="1" t="s">
        <v>7657</v>
      </c>
      <c r="N100" s="17" t="s">
        <v>7945</v>
      </c>
      <c r="O100" s="33"/>
      <c r="P100" s="33"/>
      <c r="Q100" s="33"/>
      <c r="R100" s="33"/>
      <c r="S100" s="33">
        <v>9.9</v>
      </c>
      <c r="T100" s="33"/>
      <c r="U100" s="33">
        <v>6.25</v>
      </c>
      <c r="V100" s="33"/>
      <c r="W100" s="33"/>
      <c r="X100" s="33"/>
      <c r="Y100" s="33"/>
      <c r="Z100" s="33">
        <v>19.912099999999999</v>
      </c>
      <c r="AA100" s="33"/>
      <c r="AB100" s="33"/>
      <c r="AC100" s="33"/>
      <c r="AD100" s="33">
        <v>4.91045</v>
      </c>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v>24.489179999999998</v>
      </c>
      <c r="BC100" s="33"/>
      <c r="BD100" s="33"/>
      <c r="BE100" s="33"/>
      <c r="BF100" s="33"/>
      <c r="BG100" s="33">
        <v>23.344909999999999</v>
      </c>
      <c r="BH100" s="33">
        <v>1.1442699999999999</v>
      </c>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v>2.8291399999999998</v>
      </c>
      <c r="CP100" s="33">
        <v>200.02199999999996</v>
      </c>
      <c r="CQ100" s="33"/>
      <c r="CR100" s="33"/>
      <c r="CS100" s="33">
        <v>4.2166799999999993</v>
      </c>
      <c r="CT100" s="33"/>
      <c r="CU100" s="33"/>
      <c r="CV100" s="33"/>
      <c r="CW100" s="33"/>
      <c r="CX100" s="33"/>
      <c r="CY100" s="33">
        <v>329.76599999999996</v>
      </c>
      <c r="CZ100" s="33"/>
      <c r="DA100" s="33"/>
      <c r="DB100" s="33"/>
      <c r="DC100" s="33"/>
      <c r="DD100" s="33"/>
      <c r="DE100" s="33"/>
      <c r="DF100" s="33"/>
      <c r="DG100" s="33"/>
      <c r="DH100" s="33"/>
      <c r="DI100" s="33"/>
      <c r="DJ100" s="33"/>
      <c r="DK100" s="33"/>
      <c r="DL100" s="33"/>
      <c r="DM100" s="33"/>
      <c r="DN100" s="33"/>
      <c r="DO100" s="33"/>
      <c r="DP100" s="33">
        <v>0.30634</v>
      </c>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c r="IV100" s="33"/>
      <c r="IW100" s="33"/>
      <c r="IX100" s="33"/>
      <c r="IY100" s="33"/>
      <c r="IZ100" s="33"/>
      <c r="JA100" s="33"/>
      <c r="JB100" s="33"/>
      <c r="JC100" s="33"/>
      <c r="JD100" s="33"/>
      <c r="JE100" s="33"/>
      <c r="JF100" s="33"/>
      <c r="JG100" s="33"/>
      <c r="JH100" s="33"/>
      <c r="JI100" s="33"/>
      <c r="JJ100" s="33"/>
      <c r="JK100" s="33"/>
      <c r="JL100" s="33"/>
      <c r="JM100" s="33"/>
      <c r="JN100" s="33"/>
      <c r="JO100" s="33"/>
      <c r="JP100" s="33"/>
      <c r="JQ100" s="33"/>
      <c r="JR100" s="33"/>
      <c r="KZ100" s="33"/>
      <c r="LA100" s="33"/>
      <c r="LB100" s="33"/>
      <c r="LC100" s="33"/>
      <c r="LD100" s="33"/>
      <c r="LE100" s="33"/>
      <c r="LF100" s="33"/>
      <c r="LG100" s="33"/>
      <c r="LH100" s="33"/>
      <c r="LI100" s="33"/>
      <c r="LJ100" s="33"/>
      <c r="LK100" s="33"/>
      <c r="LL100" s="33"/>
      <c r="LM100" s="33"/>
      <c r="LN100" s="33"/>
      <c r="LO100" s="33"/>
      <c r="LP100" s="44"/>
      <c r="LQ100" s="44"/>
      <c r="LR100" s="44"/>
      <c r="LS100" s="44"/>
      <c r="LT100" s="44"/>
      <c r="LU100" s="44"/>
      <c r="LV100" s="44"/>
    </row>
    <row r="101" spans="1:334" x14ac:dyDescent="0.2">
      <c r="A101" s="1" t="s">
        <v>8222</v>
      </c>
      <c r="D101" s="1" t="s">
        <v>8223</v>
      </c>
      <c r="E101" s="1" t="s">
        <v>8037</v>
      </c>
      <c r="F101" s="1" t="s">
        <v>688</v>
      </c>
      <c r="H101" s="1" t="s">
        <v>8204</v>
      </c>
      <c r="I101" s="1">
        <v>4</v>
      </c>
      <c r="J101" s="1" t="s">
        <v>8200</v>
      </c>
      <c r="K101" s="1">
        <v>2007</v>
      </c>
      <c r="L101" s="1" t="s">
        <v>8201</v>
      </c>
      <c r="M101" s="1" t="s">
        <v>7657</v>
      </c>
      <c r="N101" s="17" t="s">
        <v>7945</v>
      </c>
      <c r="O101" s="33"/>
      <c r="P101" s="33"/>
      <c r="Q101" s="33"/>
      <c r="R101" s="33"/>
      <c r="S101" s="33">
        <v>7.1</v>
      </c>
      <c r="T101" s="33"/>
      <c r="U101" s="33">
        <v>6.25</v>
      </c>
      <c r="V101" s="33"/>
      <c r="W101" s="33"/>
      <c r="X101" s="33"/>
      <c r="Y101" s="33"/>
      <c r="Z101" s="33">
        <v>22.481800000000003</v>
      </c>
      <c r="AA101" s="33"/>
      <c r="AB101" s="33"/>
      <c r="AC101" s="33"/>
      <c r="AD101" s="33">
        <v>4.8122199999999999</v>
      </c>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v>25.99342</v>
      </c>
      <c r="BC101" s="33"/>
      <c r="BD101" s="33"/>
      <c r="BE101" s="33"/>
      <c r="BF101" s="33"/>
      <c r="BG101" s="33">
        <v>23.745239999999999</v>
      </c>
      <c r="BH101" s="33">
        <v>2.2388900000000005</v>
      </c>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v>2.7312600000000002</v>
      </c>
      <c r="CP101" s="33">
        <v>163.50400000000002</v>
      </c>
      <c r="CQ101" s="33"/>
      <c r="CR101" s="33"/>
      <c r="CS101" s="33">
        <v>3.5023300000000002</v>
      </c>
      <c r="CT101" s="33"/>
      <c r="CU101" s="33"/>
      <c r="CV101" s="33"/>
      <c r="CW101" s="33"/>
      <c r="CX101" s="33"/>
      <c r="CY101" s="33">
        <v>301.92500000000001</v>
      </c>
      <c r="CZ101" s="33"/>
      <c r="DA101" s="33"/>
      <c r="DB101" s="33"/>
      <c r="DC101" s="33"/>
      <c r="DD101" s="33"/>
      <c r="DE101" s="33"/>
      <c r="DF101" s="33"/>
      <c r="DG101" s="33"/>
      <c r="DH101" s="33"/>
      <c r="DI101" s="33"/>
      <c r="DJ101" s="33"/>
      <c r="DK101" s="33"/>
      <c r="DL101" s="33"/>
      <c r="DM101" s="33"/>
      <c r="DN101" s="33"/>
      <c r="DO101" s="33"/>
      <c r="DP101" s="33">
        <v>0.39018000000000003</v>
      </c>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c r="IV101" s="33"/>
      <c r="IW101" s="33"/>
      <c r="IX101" s="33"/>
      <c r="IY101" s="33"/>
      <c r="IZ101" s="33"/>
      <c r="JA101" s="33"/>
      <c r="JB101" s="33"/>
      <c r="JC101" s="33"/>
      <c r="JD101" s="33"/>
      <c r="JE101" s="33"/>
      <c r="JF101" s="33"/>
      <c r="JG101" s="33"/>
      <c r="JH101" s="33"/>
      <c r="JI101" s="33"/>
      <c r="JJ101" s="33"/>
      <c r="JK101" s="33"/>
      <c r="JL101" s="33"/>
      <c r="JM101" s="33"/>
      <c r="JN101" s="33"/>
      <c r="JO101" s="33"/>
      <c r="JP101" s="33"/>
      <c r="JQ101" s="33"/>
      <c r="JR101" s="33"/>
      <c r="KZ101" s="33"/>
      <c r="LA101" s="33"/>
      <c r="LB101" s="33"/>
      <c r="LC101" s="33"/>
      <c r="LD101" s="33"/>
      <c r="LE101" s="33"/>
      <c r="LF101" s="33"/>
      <c r="LG101" s="33"/>
      <c r="LH101" s="33"/>
      <c r="LI101" s="33"/>
      <c r="LJ101" s="33"/>
      <c r="LK101" s="33"/>
      <c r="LL101" s="33"/>
      <c r="LM101" s="33"/>
      <c r="LN101" s="33"/>
      <c r="LO101" s="33"/>
      <c r="LP101" s="44"/>
      <c r="LQ101" s="44"/>
      <c r="LR101" s="44"/>
      <c r="LS101" s="44"/>
      <c r="LT101" s="44"/>
      <c r="LU101" s="44"/>
      <c r="LV101" s="44"/>
    </row>
    <row r="102" spans="1:334" x14ac:dyDescent="0.2">
      <c r="A102" s="1" t="s">
        <v>8224</v>
      </c>
      <c r="D102" s="1" t="s">
        <v>8225</v>
      </c>
      <c r="E102" s="1" t="s">
        <v>8037</v>
      </c>
      <c r="F102" s="1" t="s">
        <v>688</v>
      </c>
      <c r="H102" s="1" t="s">
        <v>8207</v>
      </c>
      <c r="I102" s="1">
        <v>4</v>
      </c>
      <c r="J102" s="1" t="s">
        <v>8200</v>
      </c>
      <c r="K102" s="1">
        <v>2007</v>
      </c>
      <c r="L102" s="1" t="s">
        <v>8201</v>
      </c>
      <c r="M102" s="1" t="s">
        <v>7657</v>
      </c>
      <c r="N102" s="17" t="s">
        <v>7945</v>
      </c>
      <c r="O102" s="33"/>
      <c r="P102" s="33"/>
      <c r="Q102" s="33"/>
      <c r="R102" s="33"/>
      <c r="S102" s="33">
        <v>6.5</v>
      </c>
      <c r="T102" s="33"/>
      <c r="U102" s="33">
        <v>6.25</v>
      </c>
      <c r="V102" s="33"/>
      <c r="W102" s="33"/>
      <c r="X102" s="33"/>
      <c r="Y102" s="33"/>
      <c r="Z102" s="33">
        <v>25.431999999999999</v>
      </c>
      <c r="AA102" s="33"/>
      <c r="AB102" s="33"/>
      <c r="AC102" s="33"/>
      <c r="AD102" s="33">
        <v>5.3295000000000003</v>
      </c>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v>18.915050000000001</v>
      </c>
      <c r="BC102" s="33"/>
      <c r="BD102" s="33"/>
      <c r="BE102" s="33"/>
      <c r="BF102" s="33"/>
      <c r="BG102" s="33">
        <v>18.410150000000002</v>
      </c>
      <c r="BH102" s="33">
        <v>0.50490000000000002</v>
      </c>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v>2.6834500000000001</v>
      </c>
      <c r="CP102" s="33">
        <v>58.905000000000001</v>
      </c>
      <c r="CQ102" s="33"/>
      <c r="CR102" s="33"/>
      <c r="CS102" s="33">
        <v>2.7488999999999999</v>
      </c>
      <c r="CT102" s="33"/>
      <c r="CU102" s="33"/>
      <c r="CV102" s="33"/>
      <c r="CW102" s="33"/>
      <c r="CX102" s="33"/>
      <c r="CY102" s="33">
        <v>321.64</v>
      </c>
      <c r="CZ102" s="33"/>
      <c r="DA102" s="33"/>
      <c r="DB102" s="33"/>
      <c r="DC102" s="33"/>
      <c r="DD102" s="33"/>
      <c r="DE102" s="33"/>
      <c r="DF102" s="33"/>
      <c r="DG102" s="33"/>
      <c r="DH102" s="33"/>
      <c r="DI102" s="33"/>
      <c r="DJ102" s="33"/>
      <c r="DK102" s="33"/>
      <c r="DL102" s="33"/>
      <c r="DM102" s="33"/>
      <c r="DN102" s="33"/>
      <c r="DO102" s="33"/>
      <c r="DP102" s="33">
        <v>0.47685</v>
      </c>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c r="IV102" s="33"/>
      <c r="IW102" s="33"/>
      <c r="IX102" s="33"/>
      <c r="IY102" s="33"/>
      <c r="IZ102" s="33"/>
      <c r="JA102" s="33"/>
      <c r="JB102" s="33"/>
      <c r="JC102" s="33"/>
      <c r="JD102" s="33"/>
      <c r="JE102" s="33"/>
      <c r="JF102" s="33"/>
      <c r="JG102" s="33"/>
      <c r="JH102" s="33"/>
      <c r="JI102" s="33"/>
      <c r="JJ102" s="33"/>
      <c r="JK102" s="33"/>
      <c r="JL102" s="33"/>
      <c r="JM102" s="33"/>
      <c r="JN102" s="33"/>
      <c r="JO102" s="33"/>
      <c r="JP102" s="33"/>
      <c r="JQ102" s="33"/>
      <c r="JR102" s="33"/>
      <c r="KZ102" s="33"/>
      <c r="LA102" s="33"/>
      <c r="LB102" s="33"/>
      <c r="LC102" s="33"/>
      <c r="LD102" s="33"/>
      <c r="LE102" s="33"/>
      <c r="LF102" s="33"/>
      <c r="LG102" s="33"/>
      <c r="LH102" s="33"/>
      <c r="LI102" s="33"/>
      <c r="LJ102" s="33"/>
      <c r="LK102" s="33"/>
      <c r="LL102" s="33"/>
      <c r="LM102" s="33"/>
      <c r="LN102" s="33"/>
      <c r="LO102" s="33"/>
      <c r="LP102" s="44"/>
      <c r="LQ102" s="44"/>
      <c r="LR102" s="44"/>
      <c r="LS102" s="44"/>
      <c r="LT102" s="44"/>
      <c r="LU102" s="44"/>
      <c r="LV102" s="44"/>
    </row>
    <row r="103" spans="1:334" x14ac:dyDescent="0.2">
      <c r="A103" s="1" t="s">
        <v>8226</v>
      </c>
      <c r="B103" s="1" t="s">
        <v>8227</v>
      </c>
      <c r="D103" s="1" t="s">
        <v>8228</v>
      </c>
      <c r="E103" s="1" t="s">
        <v>11</v>
      </c>
      <c r="F103" s="1" t="s">
        <v>8229</v>
      </c>
      <c r="H103" s="1" t="s">
        <v>8230</v>
      </c>
      <c r="I103" s="1">
        <v>5</v>
      </c>
      <c r="K103" s="1">
        <v>2003</v>
      </c>
      <c r="L103" s="1" t="s">
        <v>8231</v>
      </c>
      <c r="M103" s="1" t="s">
        <v>7657</v>
      </c>
      <c r="N103" s="17" t="s">
        <v>7945</v>
      </c>
      <c r="O103" s="33"/>
      <c r="P103" s="33"/>
      <c r="Q103" s="33"/>
      <c r="R103" s="33"/>
      <c r="S103" s="33">
        <v>69</v>
      </c>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v>208</v>
      </c>
      <c r="EG103" s="33">
        <v>77</v>
      </c>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c r="IV103" s="33"/>
      <c r="IW103" s="33"/>
      <c r="IX103" s="33"/>
      <c r="IY103" s="33"/>
      <c r="IZ103" s="33"/>
      <c r="JA103" s="33"/>
      <c r="JB103" s="33"/>
      <c r="JC103" s="33"/>
      <c r="JD103" s="33"/>
      <c r="JE103" s="33"/>
      <c r="JF103" s="33"/>
      <c r="JG103" s="33"/>
      <c r="JH103" s="33"/>
      <c r="JI103" s="33"/>
      <c r="JJ103" s="33"/>
      <c r="JK103" s="33"/>
      <c r="JL103" s="33"/>
      <c r="JM103" s="33"/>
      <c r="JN103" s="33"/>
      <c r="JO103" s="33"/>
      <c r="JP103" s="33"/>
      <c r="JQ103" s="33"/>
      <c r="JR103" s="33"/>
      <c r="KZ103" s="33"/>
      <c r="LA103" s="33"/>
      <c r="LB103" s="33"/>
      <c r="LC103" s="33"/>
      <c r="LD103" s="33"/>
      <c r="LE103" s="33"/>
      <c r="LF103" s="33"/>
      <c r="LG103" s="33"/>
      <c r="LH103" s="33"/>
      <c r="LI103" s="33"/>
      <c r="LJ103" s="33"/>
      <c r="LK103" s="33"/>
      <c r="LL103" s="33"/>
      <c r="LM103" s="33"/>
      <c r="LN103" s="33"/>
      <c r="LO103" s="33"/>
      <c r="LP103" s="44"/>
      <c r="LQ103" s="44"/>
      <c r="LR103" s="44"/>
      <c r="LS103" s="44"/>
      <c r="LT103" s="44"/>
      <c r="LU103" s="44"/>
      <c r="LV103" s="44"/>
    </row>
    <row r="104" spans="1:334" x14ac:dyDescent="0.2">
      <c r="A104" s="1" t="s">
        <v>8232</v>
      </c>
      <c r="B104" s="1" t="s">
        <v>8233</v>
      </c>
      <c r="D104" s="1" t="s">
        <v>8234</v>
      </c>
      <c r="E104" s="1" t="s">
        <v>7</v>
      </c>
      <c r="F104" s="1" t="s">
        <v>8194</v>
      </c>
      <c r="H104" s="1" t="s">
        <v>8235</v>
      </c>
      <c r="J104" s="1" t="s">
        <v>8236</v>
      </c>
      <c r="K104" s="1">
        <v>2002</v>
      </c>
      <c r="L104" s="1" t="s">
        <v>8237</v>
      </c>
      <c r="M104" s="1" t="s">
        <v>7657</v>
      </c>
      <c r="N104" s="17" t="s">
        <v>7945</v>
      </c>
      <c r="O104" s="33"/>
      <c r="P104" s="33"/>
      <c r="Q104" s="33">
        <v>1671.6699999999998</v>
      </c>
      <c r="R104" s="33"/>
      <c r="S104" s="33"/>
      <c r="T104" s="33">
        <v>91.85</v>
      </c>
      <c r="U104" s="33"/>
      <c r="V104" s="33"/>
      <c r="W104" s="33"/>
      <c r="X104" s="33"/>
      <c r="Y104" s="33"/>
      <c r="Z104" s="33">
        <v>24.432100000000002</v>
      </c>
      <c r="AA104" s="33"/>
      <c r="AB104" s="33"/>
      <c r="AC104" s="33">
        <v>0.73480000000000001</v>
      </c>
      <c r="AD104" s="33"/>
      <c r="AE104" s="33">
        <v>58.783999999999999</v>
      </c>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v>4.6843499999999993</v>
      </c>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v>3.150455</v>
      </c>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c r="IV104" s="33"/>
      <c r="IW104" s="33"/>
      <c r="IX104" s="33"/>
      <c r="IY104" s="33"/>
      <c r="IZ104" s="33"/>
      <c r="JA104" s="33"/>
      <c r="JB104" s="33"/>
      <c r="JC104" s="33"/>
      <c r="JD104" s="33"/>
      <c r="JE104" s="33"/>
      <c r="JF104" s="33"/>
      <c r="JG104" s="33"/>
      <c r="JH104" s="33"/>
      <c r="JI104" s="33"/>
      <c r="JJ104" s="33"/>
      <c r="JK104" s="33"/>
      <c r="JL104" s="33"/>
      <c r="JM104" s="33"/>
      <c r="JN104" s="33"/>
      <c r="JO104" s="33"/>
      <c r="JP104" s="33"/>
      <c r="JQ104" s="33"/>
      <c r="JR104" s="33"/>
      <c r="KZ104" s="33"/>
      <c r="LA104" s="33"/>
      <c r="LB104" s="33"/>
      <c r="LC104" s="33"/>
      <c r="LD104" s="33"/>
      <c r="LE104" s="33"/>
      <c r="LF104" s="33"/>
      <c r="LG104" s="33"/>
      <c r="LH104" s="33"/>
      <c r="LI104" s="33"/>
      <c r="LJ104" s="33"/>
      <c r="LK104" s="33"/>
      <c r="LL104" s="33"/>
      <c r="LM104" s="33"/>
      <c r="LN104" s="33"/>
      <c r="LO104" s="33"/>
      <c r="LP104" s="44"/>
      <c r="LQ104" s="44"/>
      <c r="LR104" s="44"/>
      <c r="LS104" s="44"/>
      <c r="LT104" s="44"/>
      <c r="LU104" s="44"/>
      <c r="LV104" s="44"/>
    </row>
    <row r="105" spans="1:334" x14ac:dyDescent="0.2">
      <c r="A105" s="1" t="s">
        <v>8238</v>
      </c>
      <c r="B105" s="1" t="s">
        <v>8233</v>
      </c>
      <c r="D105" s="1" t="s">
        <v>8239</v>
      </c>
      <c r="E105" s="1" t="s">
        <v>8037</v>
      </c>
      <c r="F105" s="1" t="s">
        <v>8194</v>
      </c>
      <c r="H105" s="1" t="s">
        <v>8240</v>
      </c>
      <c r="J105" s="1" t="s">
        <v>8236</v>
      </c>
      <c r="K105" s="1">
        <v>2002</v>
      </c>
      <c r="L105" s="1" t="s">
        <v>8237</v>
      </c>
      <c r="M105" s="1" t="s">
        <v>7657</v>
      </c>
      <c r="N105" s="17" t="s">
        <v>7945</v>
      </c>
      <c r="O105" s="33"/>
      <c r="P105" s="33"/>
      <c r="Q105" s="33">
        <v>1752.7240000000002</v>
      </c>
      <c r="R105" s="33"/>
      <c r="S105" s="33"/>
      <c r="T105" s="33">
        <v>93.23</v>
      </c>
      <c r="U105" s="33"/>
      <c r="V105" s="33"/>
      <c r="W105" s="33"/>
      <c r="X105" s="33"/>
      <c r="Y105" s="33"/>
      <c r="Z105" s="33">
        <v>24.705950000000001</v>
      </c>
      <c r="AA105" s="33"/>
      <c r="AB105" s="33"/>
      <c r="AC105" s="33">
        <v>0.81110100000000007</v>
      </c>
      <c r="AD105" s="33"/>
      <c r="AE105" s="33">
        <v>60.040120000000009</v>
      </c>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v>4.6335309999999996</v>
      </c>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v>3.0113289999999999</v>
      </c>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c r="IV105" s="33"/>
      <c r="IW105" s="33"/>
      <c r="IX105" s="33"/>
      <c r="IY105" s="33"/>
      <c r="IZ105" s="33"/>
      <c r="JA105" s="33"/>
      <c r="JB105" s="33"/>
      <c r="JC105" s="33"/>
      <c r="JD105" s="33"/>
      <c r="JE105" s="33"/>
      <c r="JF105" s="33"/>
      <c r="JG105" s="33"/>
      <c r="JH105" s="33"/>
      <c r="JI105" s="33"/>
      <c r="JJ105" s="33"/>
      <c r="JK105" s="33"/>
      <c r="JL105" s="33"/>
      <c r="JM105" s="33"/>
      <c r="JN105" s="33"/>
      <c r="JO105" s="33"/>
      <c r="JP105" s="33"/>
      <c r="JQ105" s="33"/>
      <c r="JR105" s="33"/>
      <c r="KZ105" s="33"/>
      <c r="LA105" s="33"/>
      <c r="LB105" s="33"/>
      <c r="LC105" s="33"/>
      <c r="LD105" s="33"/>
      <c r="LE105" s="33"/>
      <c r="LF105" s="33"/>
      <c r="LG105" s="33"/>
      <c r="LH105" s="33"/>
      <c r="LI105" s="33"/>
      <c r="LJ105" s="33"/>
      <c r="LK105" s="33"/>
      <c r="LL105" s="33"/>
      <c r="LM105" s="33"/>
      <c r="LN105" s="33"/>
      <c r="LO105" s="33"/>
      <c r="LP105" s="44"/>
      <c r="LQ105" s="44"/>
      <c r="LR105" s="44"/>
      <c r="LS105" s="44"/>
      <c r="LT105" s="44"/>
      <c r="LU105" s="44"/>
      <c r="LV105" s="44"/>
    </row>
    <row r="106" spans="1:334" x14ac:dyDescent="0.2">
      <c r="A106" s="1" t="s">
        <v>8241</v>
      </c>
      <c r="B106" s="1" t="s">
        <v>8233</v>
      </c>
      <c r="D106" s="1" t="s">
        <v>8242</v>
      </c>
      <c r="E106" s="1" t="s">
        <v>8037</v>
      </c>
      <c r="F106" s="1" t="s">
        <v>8194</v>
      </c>
      <c r="H106" s="1" t="s">
        <v>8240</v>
      </c>
      <c r="J106" s="1" t="s">
        <v>8236</v>
      </c>
      <c r="K106" s="1">
        <v>2002</v>
      </c>
      <c r="L106" s="1" t="s">
        <v>8237</v>
      </c>
      <c r="M106" s="1" t="s">
        <v>7657</v>
      </c>
      <c r="N106" s="17" t="s">
        <v>7945</v>
      </c>
      <c r="O106" s="33"/>
      <c r="P106" s="33"/>
      <c r="Q106" s="33">
        <v>1756.1879999999999</v>
      </c>
      <c r="R106" s="33"/>
      <c r="S106" s="33"/>
      <c r="T106" s="33">
        <v>92.92</v>
      </c>
      <c r="U106" s="33"/>
      <c r="V106" s="33"/>
      <c r="W106" s="33"/>
      <c r="X106" s="33"/>
      <c r="Y106" s="33"/>
      <c r="Z106" s="33">
        <v>25.274239999999999</v>
      </c>
      <c r="AA106" s="33"/>
      <c r="AB106" s="33"/>
      <c r="AC106" s="33">
        <v>0.8455720000000001</v>
      </c>
      <c r="AD106" s="33"/>
      <c r="AE106" s="33">
        <v>59.19004000000001</v>
      </c>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v>4.7760879999999997</v>
      </c>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v>2.889812</v>
      </c>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c r="IV106" s="33"/>
      <c r="IW106" s="33"/>
      <c r="IX106" s="33"/>
      <c r="IY106" s="33"/>
      <c r="IZ106" s="33"/>
      <c r="JA106" s="33"/>
      <c r="JB106" s="33"/>
      <c r="JC106" s="33"/>
      <c r="JD106" s="33"/>
      <c r="JE106" s="33"/>
      <c r="JF106" s="33"/>
      <c r="JG106" s="33"/>
      <c r="JH106" s="33"/>
      <c r="JI106" s="33"/>
      <c r="JJ106" s="33"/>
      <c r="JK106" s="33"/>
      <c r="JL106" s="33"/>
      <c r="JM106" s="33"/>
      <c r="JN106" s="33"/>
      <c r="JO106" s="33"/>
      <c r="JP106" s="33"/>
      <c r="JQ106" s="33"/>
      <c r="JR106" s="33"/>
      <c r="KZ106" s="33"/>
      <c r="LA106" s="33"/>
      <c r="LB106" s="33"/>
      <c r="LC106" s="33"/>
      <c r="LD106" s="33"/>
      <c r="LE106" s="33"/>
      <c r="LF106" s="33"/>
      <c r="LG106" s="33"/>
      <c r="LH106" s="33"/>
      <c r="LI106" s="33"/>
      <c r="LJ106" s="33"/>
      <c r="LK106" s="33"/>
      <c r="LL106" s="33"/>
      <c r="LM106" s="33"/>
      <c r="LN106" s="33"/>
      <c r="LO106" s="33"/>
      <c r="LP106" s="44"/>
      <c r="LQ106" s="44"/>
      <c r="LR106" s="44"/>
      <c r="LS106" s="44"/>
      <c r="LT106" s="44"/>
      <c r="LU106" s="44"/>
      <c r="LV106" s="44"/>
    </row>
    <row r="107" spans="1:334" x14ac:dyDescent="0.2">
      <c r="A107" s="1" t="s">
        <v>8243</v>
      </c>
      <c r="B107" s="1" t="s">
        <v>8233</v>
      </c>
      <c r="D107" s="1" t="s">
        <v>8244</v>
      </c>
      <c r="E107" s="1" t="s">
        <v>8037</v>
      </c>
      <c r="F107" s="1" t="s">
        <v>8194</v>
      </c>
      <c r="H107" s="1" t="s">
        <v>8240</v>
      </c>
      <c r="J107" s="1" t="s">
        <v>8236</v>
      </c>
      <c r="K107" s="1">
        <v>2002</v>
      </c>
      <c r="L107" s="1" t="s">
        <v>8237</v>
      </c>
      <c r="M107" s="1" t="s">
        <v>7657</v>
      </c>
      <c r="N107" s="17" t="s">
        <v>7945</v>
      </c>
      <c r="O107" s="33"/>
      <c r="P107" s="33"/>
      <c r="Q107" s="33">
        <v>1701.1679999999999</v>
      </c>
      <c r="R107" s="33"/>
      <c r="S107" s="33"/>
      <c r="T107" s="33">
        <v>92.96</v>
      </c>
      <c r="U107" s="33"/>
      <c r="V107" s="33"/>
      <c r="W107" s="33"/>
      <c r="X107" s="33"/>
      <c r="Y107" s="33"/>
      <c r="Z107" s="33">
        <v>25.563999999999997</v>
      </c>
      <c r="AA107" s="33"/>
      <c r="AB107" s="33"/>
      <c r="AC107" s="33">
        <v>0.75297599999999998</v>
      </c>
      <c r="AD107" s="33"/>
      <c r="AE107" s="33">
        <v>59.215519999999998</v>
      </c>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v>4.5457439999999991</v>
      </c>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v>2.9375360000000001</v>
      </c>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c r="IV107" s="33"/>
      <c r="IW107" s="33"/>
      <c r="IX107" s="33"/>
      <c r="IY107" s="33"/>
      <c r="IZ107" s="33"/>
      <c r="JA107" s="33"/>
      <c r="JB107" s="33"/>
      <c r="JC107" s="33"/>
      <c r="JD107" s="33"/>
      <c r="JE107" s="33"/>
      <c r="JF107" s="33"/>
      <c r="JG107" s="33"/>
      <c r="JH107" s="33"/>
      <c r="JI107" s="33"/>
      <c r="JJ107" s="33"/>
      <c r="JK107" s="33"/>
      <c r="JL107" s="33"/>
      <c r="JM107" s="33"/>
      <c r="JN107" s="33"/>
      <c r="JO107" s="33"/>
      <c r="JP107" s="33"/>
      <c r="JQ107" s="33"/>
      <c r="JR107" s="33"/>
      <c r="KZ107" s="33"/>
      <c r="LA107" s="33"/>
      <c r="LB107" s="33"/>
      <c r="LC107" s="33"/>
      <c r="LD107" s="33"/>
      <c r="LE107" s="33"/>
      <c r="LF107" s="33"/>
      <c r="LG107" s="33"/>
      <c r="LH107" s="33"/>
      <c r="LI107" s="33"/>
      <c r="LJ107" s="33"/>
      <c r="LK107" s="33"/>
      <c r="LL107" s="33"/>
      <c r="LM107" s="33"/>
      <c r="LN107" s="33"/>
      <c r="LO107" s="33"/>
      <c r="LP107" s="44"/>
      <c r="LQ107" s="44"/>
      <c r="LR107" s="44"/>
      <c r="LS107" s="44"/>
      <c r="LT107" s="44"/>
      <c r="LU107" s="44"/>
      <c r="LV107" s="44"/>
    </row>
    <row r="108" spans="1:334" x14ac:dyDescent="0.2">
      <c r="A108" s="1" t="s">
        <v>8245</v>
      </c>
      <c r="B108" s="1" t="s">
        <v>8233</v>
      </c>
      <c r="D108" s="1" t="s">
        <v>8246</v>
      </c>
      <c r="E108" s="1" t="s">
        <v>8037</v>
      </c>
      <c r="F108" s="1" t="s">
        <v>8194</v>
      </c>
      <c r="H108" s="1" t="s">
        <v>8240</v>
      </c>
      <c r="J108" s="1" t="s">
        <v>8236</v>
      </c>
      <c r="K108" s="1">
        <v>2002</v>
      </c>
      <c r="L108" s="1" t="s">
        <v>8237</v>
      </c>
      <c r="M108" s="1" t="s">
        <v>7657</v>
      </c>
      <c r="N108" s="17" t="s">
        <v>7945</v>
      </c>
      <c r="O108" s="33"/>
      <c r="P108" s="33"/>
      <c r="Q108" s="33">
        <v>1770.1880000000003</v>
      </c>
      <c r="R108" s="33"/>
      <c r="S108" s="33"/>
      <c r="T108" s="33">
        <v>92.68</v>
      </c>
      <c r="U108" s="33"/>
      <c r="V108" s="33"/>
      <c r="W108" s="33"/>
      <c r="X108" s="33"/>
      <c r="Y108" s="33"/>
      <c r="Z108" s="33">
        <v>25.487000000000002</v>
      </c>
      <c r="AA108" s="33"/>
      <c r="AB108" s="33"/>
      <c r="AC108" s="33">
        <v>0.90826400000000007</v>
      </c>
      <c r="AD108" s="33"/>
      <c r="AE108" s="33">
        <v>58.481079999999999</v>
      </c>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v>4.8100920000000009</v>
      </c>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v>2.9657600000000004</v>
      </c>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c r="IV108" s="33"/>
      <c r="IW108" s="33"/>
      <c r="IX108" s="33"/>
      <c r="IY108" s="33"/>
      <c r="IZ108" s="33"/>
      <c r="JA108" s="33"/>
      <c r="JB108" s="33"/>
      <c r="JC108" s="33"/>
      <c r="JD108" s="33"/>
      <c r="JE108" s="33"/>
      <c r="JF108" s="33"/>
      <c r="JG108" s="33"/>
      <c r="JH108" s="33"/>
      <c r="JI108" s="33"/>
      <c r="JJ108" s="33"/>
      <c r="JK108" s="33"/>
      <c r="JL108" s="33"/>
      <c r="JM108" s="33"/>
      <c r="JN108" s="33"/>
      <c r="JO108" s="33"/>
      <c r="JP108" s="33"/>
      <c r="JQ108" s="33"/>
      <c r="JR108" s="33"/>
      <c r="KZ108" s="33"/>
      <c r="LA108" s="33"/>
      <c r="LB108" s="33"/>
      <c r="LC108" s="33"/>
      <c r="LD108" s="33"/>
      <c r="LE108" s="33"/>
      <c r="LF108" s="33"/>
      <c r="LG108" s="33"/>
      <c r="LH108" s="33"/>
      <c r="LI108" s="33"/>
      <c r="LJ108" s="33"/>
      <c r="LK108" s="33"/>
      <c r="LL108" s="33"/>
      <c r="LM108" s="33"/>
      <c r="LN108" s="33"/>
      <c r="LO108" s="33"/>
      <c r="LP108" s="44"/>
      <c r="LQ108" s="44"/>
      <c r="LR108" s="44"/>
      <c r="LS108" s="44"/>
      <c r="LT108" s="44"/>
      <c r="LU108" s="44"/>
      <c r="LV108" s="44"/>
    </row>
    <row r="109" spans="1:334" x14ac:dyDescent="0.2">
      <c r="A109" s="1" t="s">
        <v>8247</v>
      </c>
      <c r="B109" s="1" t="s">
        <v>8248</v>
      </c>
      <c r="D109" s="1" t="s">
        <v>8249</v>
      </c>
      <c r="E109" s="1" t="s">
        <v>7</v>
      </c>
      <c r="F109" s="1" t="s">
        <v>8194</v>
      </c>
      <c r="H109" s="1" t="s">
        <v>8250</v>
      </c>
      <c r="I109" s="1">
        <v>6</v>
      </c>
      <c r="J109" s="1" t="s">
        <v>8251</v>
      </c>
      <c r="K109" s="1">
        <v>2010</v>
      </c>
      <c r="L109" s="1" t="s">
        <v>8252</v>
      </c>
      <c r="M109" s="1" t="s">
        <v>7657</v>
      </c>
      <c r="N109" s="17" t="s">
        <v>7945</v>
      </c>
      <c r="O109" s="33"/>
      <c r="P109" s="33"/>
      <c r="Q109" s="33"/>
      <c r="R109" s="33"/>
      <c r="S109" s="33">
        <v>8.52</v>
      </c>
      <c r="T109" s="33"/>
      <c r="U109" s="33"/>
      <c r="V109" s="33"/>
      <c r="W109" s="33"/>
      <c r="X109" s="33"/>
      <c r="Y109" s="33"/>
      <c r="Z109" s="33"/>
      <c r="AA109" s="33">
        <v>23.126144000000004</v>
      </c>
      <c r="AB109" s="33">
        <v>1.911932</v>
      </c>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v>22.741928000000001</v>
      </c>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v>0.98655691200000006</v>
      </c>
      <c r="FZ109" s="33">
        <v>8.2404269199999991E-2</v>
      </c>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c r="IV109" s="33"/>
      <c r="IW109" s="33"/>
      <c r="IX109" s="33"/>
      <c r="IY109" s="33"/>
      <c r="IZ109" s="33"/>
      <c r="JA109" s="33"/>
      <c r="JB109" s="33"/>
      <c r="JC109" s="33"/>
      <c r="JD109" s="33"/>
      <c r="JE109" s="33"/>
      <c r="JF109" s="33"/>
      <c r="JG109" s="33"/>
      <c r="JH109" s="33"/>
      <c r="JI109" s="33"/>
      <c r="JJ109" s="33"/>
      <c r="JK109" s="33"/>
      <c r="JL109" s="33"/>
      <c r="JM109" s="33"/>
      <c r="JN109" s="33"/>
      <c r="JO109" s="33"/>
      <c r="JP109" s="33"/>
      <c r="JQ109" s="33"/>
      <c r="JR109" s="33"/>
      <c r="JU109" s="42">
        <v>964.36020480000002</v>
      </c>
      <c r="JV109" s="42">
        <v>1609.5796224000003</v>
      </c>
      <c r="JX109" s="42">
        <v>2888.4553856000002</v>
      </c>
      <c r="JY109" s="42">
        <v>291.38941440000002</v>
      </c>
      <c r="KB109" s="42">
        <v>3628.4919936000006</v>
      </c>
      <c r="KC109" s="42">
        <v>2072.1025024000005</v>
      </c>
      <c r="KD109" s="42">
        <v>83.25411840000001</v>
      </c>
      <c r="KE109" s="42">
        <v>76.316275200000007</v>
      </c>
      <c r="KF109" s="42">
        <v>1498.5741312000005</v>
      </c>
      <c r="KG109" s="42">
        <v>1401.4443264000004</v>
      </c>
      <c r="KH109" s="42">
        <v>154.94516480000004</v>
      </c>
      <c r="KJ109" s="42">
        <v>925.0457600000002</v>
      </c>
      <c r="KK109" s="42">
        <v>1290.4388352000001</v>
      </c>
      <c r="KL109" s="42">
        <v>1722.8977280000004</v>
      </c>
      <c r="KN109" s="42">
        <v>862.60517120000009</v>
      </c>
      <c r="KP109" s="42">
        <v>497.21209600000009</v>
      </c>
      <c r="KQ109" s="42">
        <v>795.53935360000014</v>
      </c>
      <c r="KZ109" s="33"/>
      <c r="LA109" s="33"/>
      <c r="LB109" s="33"/>
      <c r="LC109" s="33"/>
      <c r="LD109" s="33"/>
      <c r="LE109" s="33"/>
      <c r="LF109" s="33"/>
      <c r="LG109" s="33"/>
      <c r="LH109" s="33"/>
      <c r="LI109" s="33"/>
      <c r="LJ109" s="33"/>
      <c r="LK109" s="33"/>
      <c r="LL109" s="33"/>
      <c r="LM109" s="33"/>
      <c r="LN109" s="33"/>
      <c r="LO109" s="33"/>
      <c r="LP109" s="44"/>
      <c r="LQ109" s="44"/>
      <c r="LR109" s="44"/>
      <c r="LS109" s="44"/>
      <c r="LT109" s="44"/>
      <c r="LU109" s="44"/>
      <c r="LV109" s="44"/>
    </row>
    <row r="110" spans="1:334" x14ac:dyDescent="0.2">
      <c r="A110" s="1" t="s">
        <v>8253</v>
      </c>
      <c r="B110" s="1" t="s">
        <v>2954</v>
      </c>
      <c r="D110" s="1" t="s">
        <v>8254</v>
      </c>
      <c r="E110" s="1" t="s">
        <v>7</v>
      </c>
      <c r="F110" s="1" t="s">
        <v>688</v>
      </c>
      <c r="H110" s="1" t="s">
        <v>8255</v>
      </c>
      <c r="I110" s="1">
        <v>3</v>
      </c>
      <c r="K110" s="1">
        <v>2011</v>
      </c>
      <c r="L110" s="1" t="s">
        <v>8256</v>
      </c>
      <c r="M110" s="1" t="s">
        <v>7657</v>
      </c>
      <c r="N110" s="17" t="s">
        <v>7945</v>
      </c>
      <c r="O110" s="33"/>
      <c r="P110" s="33"/>
      <c r="Q110" s="33"/>
      <c r="R110" s="33"/>
      <c r="S110" s="33"/>
      <c r="T110" s="33"/>
      <c r="U110" s="33"/>
      <c r="V110" s="33"/>
      <c r="W110" s="33"/>
      <c r="X110" s="33"/>
      <c r="Y110" s="33"/>
      <c r="Z110" s="33"/>
      <c r="AA110" s="33"/>
      <c r="AB110" s="33"/>
      <c r="AC110" s="33">
        <v>5.64</v>
      </c>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v>2.11</v>
      </c>
      <c r="FP110" s="33" t="s">
        <v>17</v>
      </c>
      <c r="FQ110" s="33">
        <v>0.59899999999999998</v>
      </c>
      <c r="FR110" s="33">
        <v>8.6</v>
      </c>
      <c r="FS110" s="33"/>
      <c r="FT110" s="33" t="s">
        <v>17</v>
      </c>
      <c r="FU110" s="33" t="s">
        <v>17</v>
      </c>
      <c r="FV110" s="33" t="s">
        <v>17</v>
      </c>
      <c r="FW110" s="33" t="s">
        <v>17</v>
      </c>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c r="IV110" s="33"/>
      <c r="IW110" s="33"/>
      <c r="IX110" s="33"/>
      <c r="IY110" s="33"/>
      <c r="IZ110" s="33"/>
      <c r="JA110" s="33"/>
      <c r="JB110" s="33"/>
      <c r="JC110" s="33"/>
      <c r="JD110" s="33"/>
      <c r="JE110" s="33"/>
      <c r="JF110" s="33"/>
      <c r="JG110" s="33"/>
      <c r="JH110" s="33"/>
      <c r="JI110" s="33"/>
      <c r="JJ110" s="33"/>
      <c r="JK110" s="33"/>
      <c r="JL110" s="33"/>
      <c r="JM110" s="33"/>
      <c r="JN110" s="33"/>
      <c r="JO110" s="33"/>
      <c r="JP110" s="33"/>
      <c r="JQ110" s="33"/>
      <c r="JR110" s="33"/>
      <c r="KZ110" s="33"/>
      <c r="LA110" s="33"/>
      <c r="LB110" s="33"/>
      <c r="LC110" s="33"/>
      <c r="LD110" s="33"/>
      <c r="LE110" s="33"/>
      <c r="LF110" s="33"/>
      <c r="LG110" s="33"/>
      <c r="LH110" s="33"/>
      <c r="LI110" s="33"/>
      <c r="LJ110" s="33"/>
      <c r="LK110" s="33"/>
      <c r="LL110" s="33"/>
      <c r="LM110" s="33"/>
      <c r="LN110" s="33"/>
      <c r="LO110" s="33"/>
      <c r="LP110" s="44"/>
      <c r="LQ110" s="44"/>
      <c r="LR110" s="44"/>
      <c r="LS110" s="44"/>
      <c r="LT110" s="44"/>
      <c r="LU110" s="44"/>
      <c r="LV110" s="44"/>
    </row>
    <row r="111" spans="1:334" x14ac:dyDescent="0.2">
      <c r="A111" s="1" t="s">
        <v>8257</v>
      </c>
      <c r="B111" s="1" t="s">
        <v>2954</v>
      </c>
      <c r="D111" s="1" t="s">
        <v>8254</v>
      </c>
      <c r="E111" s="1" t="s">
        <v>7</v>
      </c>
      <c r="F111" s="1" t="s">
        <v>688</v>
      </c>
      <c r="H111" s="1" t="s">
        <v>8258</v>
      </c>
      <c r="I111" s="1">
        <v>3</v>
      </c>
      <c r="K111" s="1">
        <v>2011</v>
      </c>
      <c r="L111" s="1" t="s">
        <v>8256</v>
      </c>
      <c r="M111" s="1" t="s">
        <v>7657</v>
      </c>
      <c r="N111" s="17" t="s">
        <v>7945</v>
      </c>
      <c r="O111" s="33"/>
      <c r="P111" s="33"/>
      <c r="Q111" s="33"/>
      <c r="R111" s="33"/>
      <c r="S111" s="33"/>
      <c r="T111" s="33"/>
      <c r="U111" s="33"/>
      <c r="V111" s="33"/>
      <c r="W111" s="33"/>
      <c r="X111" s="33"/>
      <c r="Y111" s="33"/>
      <c r="Z111" s="33"/>
      <c r="AA111" s="33"/>
      <c r="AB111" s="33"/>
      <c r="AC111" s="33">
        <v>6.14</v>
      </c>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v>1.76</v>
      </c>
      <c r="FP111" s="33" t="s">
        <v>17</v>
      </c>
      <c r="FQ111" s="33">
        <v>0.47199999999999998</v>
      </c>
      <c r="FR111" s="33">
        <v>6.44</v>
      </c>
      <c r="FS111" s="33"/>
      <c r="FT111" s="33" t="s">
        <v>17</v>
      </c>
      <c r="FU111" s="33" t="s">
        <v>17</v>
      </c>
      <c r="FV111" s="33" t="s">
        <v>17</v>
      </c>
      <c r="FW111" s="33" t="s">
        <v>17</v>
      </c>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c r="IV111" s="33"/>
      <c r="IW111" s="33"/>
      <c r="IX111" s="33"/>
      <c r="IY111" s="33"/>
      <c r="IZ111" s="33"/>
      <c r="JA111" s="33"/>
      <c r="JB111" s="33"/>
      <c r="JC111" s="33"/>
      <c r="JD111" s="33"/>
      <c r="JE111" s="33"/>
      <c r="JF111" s="33"/>
      <c r="JG111" s="33"/>
      <c r="JH111" s="33"/>
      <c r="JI111" s="33"/>
      <c r="JJ111" s="33"/>
      <c r="JK111" s="33"/>
      <c r="JL111" s="33"/>
      <c r="JM111" s="33"/>
      <c r="JN111" s="33"/>
      <c r="JO111" s="33"/>
      <c r="JP111" s="33"/>
      <c r="JQ111" s="33"/>
      <c r="JR111" s="33"/>
      <c r="KZ111" s="33"/>
      <c r="LA111" s="33"/>
      <c r="LB111" s="33"/>
      <c r="LC111" s="33"/>
      <c r="LD111" s="33"/>
      <c r="LE111" s="33"/>
      <c r="LF111" s="33"/>
      <c r="LG111" s="33"/>
      <c r="LH111" s="33"/>
      <c r="LI111" s="33"/>
      <c r="LJ111" s="33"/>
      <c r="LK111" s="33"/>
      <c r="LL111" s="33"/>
      <c r="LM111" s="33"/>
      <c r="LN111" s="33"/>
      <c r="LO111" s="33"/>
      <c r="LP111" s="44"/>
      <c r="LQ111" s="44"/>
      <c r="LR111" s="44"/>
      <c r="LS111" s="44"/>
      <c r="LT111" s="44"/>
      <c r="LU111" s="44"/>
      <c r="LV111" s="44"/>
    </row>
    <row r="112" spans="1:334" x14ac:dyDescent="0.2">
      <c r="A112" s="1" t="s">
        <v>8259</v>
      </c>
      <c r="B112" s="1" t="s">
        <v>2954</v>
      </c>
      <c r="D112" s="1" t="s">
        <v>8260</v>
      </c>
      <c r="E112" s="1" t="s">
        <v>7</v>
      </c>
      <c r="F112" s="1" t="s">
        <v>8261</v>
      </c>
      <c r="H112" s="1" t="s">
        <v>8255</v>
      </c>
      <c r="I112" s="1">
        <v>3</v>
      </c>
      <c r="K112" s="1">
        <v>2011</v>
      </c>
      <c r="L112" s="1" t="s">
        <v>8256</v>
      </c>
      <c r="M112" s="1" t="s">
        <v>7657</v>
      </c>
      <c r="N112" s="17" t="s">
        <v>7945</v>
      </c>
      <c r="O112" s="33"/>
      <c r="P112" s="33"/>
      <c r="Q112" s="33"/>
      <c r="R112" s="33"/>
      <c r="S112" s="33"/>
      <c r="T112" s="33"/>
      <c r="U112" s="33"/>
      <c r="V112" s="33"/>
      <c r="W112" s="33"/>
      <c r="X112" s="33"/>
      <c r="Y112" s="33"/>
      <c r="Z112" s="33"/>
      <c r="AA112" s="33"/>
      <c r="AB112" s="33"/>
      <c r="AC112" s="33">
        <v>1.59</v>
      </c>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v>0.25</v>
      </c>
      <c r="FP112" s="33" t="s">
        <v>17</v>
      </c>
      <c r="FQ112" s="33">
        <v>0.05</v>
      </c>
      <c r="FR112" s="33">
        <v>3.72</v>
      </c>
      <c r="FS112" s="33"/>
      <c r="FT112" s="33" t="s">
        <v>17</v>
      </c>
      <c r="FU112" s="33" t="s">
        <v>17</v>
      </c>
      <c r="FV112" s="33" t="s">
        <v>17</v>
      </c>
      <c r="FW112" s="33" t="s">
        <v>17</v>
      </c>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c r="IV112" s="33"/>
      <c r="IW112" s="33"/>
      <c r="IX112" s="33"/>
      <c r="IY112" s="33"/>
      <c r="IZ112" s="33"/>
      <c r="JA112" s="33"/>
      <c r="JB112" s="33"/>
      <c r="JC112" s="33"/>
      <c r="JD112" s="33"/>
      <c r="JE112" s="33"/>
      <c r="JF112" s="33"/>
      <c r="JG112" s="33"/>
      <c r="JH112" s="33"/>
      <c r="JI112" s="33"/>
      <c r="JJ112" s="33"/>
      <c r="JK112" s="33"/>
      <c r="JL112" s="33"/>
      <c r="JM112" s="33"/>
      <c r="JN112" s="33"/>
      <c r="JO112" s="33"/>
      <c r="JP112" s="33"/>
      <c r="JQ112" s="33"/>
      <c r="JR112" s="33"/>
      <c r="KZ112" s="33"/>
      <c r="LA112" s="33"/>
      <c r="LB112" s="33"/>
      <c r="LC112" s="33"/>
      <c r="LD112" s="33"/>
      <c r="LE112" s="33"/>
      <c r="LF112" s="33"/>
      <c r="LG112" s="33"/>
      <c r="LH112" s="33"/>
      <c r="LI112" s="33"/>
      <c r="LJ112" s="33"/>
      <c r="LK112" s="33"/>
      <c r="LL112" s="33"/>
      <c r="LM112" s="33"/>
      <c r="LN112" s="33"/>
      <c r="LO112" s="33"/>
      <c r="LP112" s="44"/>
      <c r="LQ112" s="44"/>
      <c r="LR112" s="44"/>
      <c r="LS112" s="44"/>
      <c r="LT112" s="44"/>
      <c r="LU112" s="44"/>
      <c r="LV112" s="44"/>
    </row>
    <row r="113" spans="1:334" x14ac:dyDescent="0.2">
      <c r="A113" s="1" t="s">
        <v>8262</v>
      </c>
      <c r="B113" s="1" t="s">
        <v>2954</v>
      </c>
      <c r="D113" s="1" t="s">
        <v>8260</v>
      </c>
      <c r="E113" s="1" t="s">
        <v>7</v>
      </c>
      <c r="F113" s="1" t="s">
        <v>8261</v>
      </c>
      <c r="H113" s="1" t="s">
        <v>8255</v>
      </c>
      <c r="I113" s="1">
        <v>3</v>
      </c>
      <c r="K113" s="1">
        <v>2011</v>
      </c>
      <c r="L113" s="1" t="s">
        <v>8256</v>
      </c>
      <c r="M113" s="1" t="s">
        <v>7657</v>
      </c>
      <c r="N113" s="17" t="s">
        <v>7945</v>
      </c>
      <c r="O113" s="33"/>
      <c r="P113" s="33"/>
      <c r="Q113" s="33"/>
      <c r="R113" s="33"/>
      <c r="S113" s="33"/>
      <c r="T113" s="33"/>
      <c r="U113" s="33"/>
      <c r="V113" s="33"/>
      <c r="W113" s="33"/>
      <c r="X113" s="33"/>
      <c r="Y113" s="33"/>
      <c r="Z113" s="33"/>
      <c r="AA113" s="33"/>
      <c r="AB113" s="33"/>
      <c r="AC113" s="33">
        <v>1.3</v>
      </c>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v>0.4</v>
      </c>
      <c r="FP113" s="33" t="s">
        <v>17</v>
      </c>
      <c r="FQ113" s="33">
        <v>0.06</v>
      </c>
      <c r="FR113" s="33">
        <v>5</v>
      </c>
      <c r="FS113" s="33"/>
      <c r="FT113" s="33" t="s">
        <v>17</v>
      </c>
      <c r="FU113" s="33" t="s">
        <v>17</v>
      </c>
      <c r="FV113" s="33" t="s">
        <v>17</v>
      </c>
      <c r="FW113" s="33" t="s">
        <v>17</v>
      </c>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c r="IV113" s="33"/>
      <c r="IW113" s="33"/>
      <c r="IX113" s="33"/>
      <c r="IY113" s="33"/>
      <c r="IZ113" s="33"/>
      <c r="JA113" s="33"/>
      <c r="JB113" s="33"/>
      <c r="JC113" s="33"/>
      <c r="JD113" s="33"/>
      <c r="JE113" s="33"/>
      <c r="JF113" s="33"/>
      <c r="JG113" s="33"/>
      <c r="JH113" s="33"/>
      <c r="JI113" s="33"/>
      <c r="JJ113" s="33"/>
      <c r="JK113" s="33"/>
      <c r="JL113" s="33"/>
      <c r="JM113" s="33"/>
      <c r="JN113" s="33"/>
      <c r="JO113" s="33"/>
      <c r="JP113" s="33"/>
      <c r="JQ113" s="33"/>
      <c r="JR113" s="33"/>
      <c r="KZ113" s="33"/>
      <c r="LA113" s="33"/>
      <c r="LB113" s="33"/>
      <c r="LC113" s="33"/>
      <c r="LD113" s="33"/>
      <c r="LE113" s="33"/>
      <c r="LF113" s="33"/>
      <c r="LG113" s="33"/>
      <c r="LH113" s="33"/>
      <c r="LI113" s="33"/>
      <c r="LJ113" s="33"/>
      <c r="LK113" s="33"/>
      <c r="LL113" s="33"/>
      <c r="LM113" s="33"/>
      <c r="LN113" s="33"/>
      <c r="LO113" s="33"/>
      <c r="LP113" s="44"/>
      <c r="LQ113" s="44"/>
      <c r="LR113" s="44"/>
      <c r="LS113" s="44"/>
      <c r="LT113" s="44"/>
      <c r="LU113" s="44"/>
      <c r="LV113" s="44"/>
    </row>
    <row r="114" spans="1:334" x14ac:dyDescent="0.2">
      <c r="A114" s="1" t="s">
        <v>8263</v>
      </c>
      <c r="B114" s="1" t="s">
        <v>8264</v>
      </c>
      <c r="D114" s="1" t="s">
        <v>8265</v>
      </c>
      <c r="E114" s="1" t="s">
        <v>7966</v>
      </c>
      <c r="F114" s="1" t="s">
        <v>8266</v>
      </c>
      <c r="I114" s="1">
        <v>1</v>
      </c>
      <c r="J114" s="1" t="s">
        <v>8267</v>
      </c>
      <c r="K114" s="1">
        <v>2007</v>
      </c>
      <c r="L114" s="1" t="s">
        <v>8268</v>
      </c>
      <c r="M114" s="1" t="s">
        <v>7657</v>
      </c>
      <c r="N114" s="17" t="s">
        <v>7945</v>
      </c>
      <c r="O114" s="33">
        <v>1528.9928159999999</v>
      </c>
      <c r="P114" s="33"/>
      <c r="Q114" s="33"/>
      <c r="R114" s="33"/>
      <c r="S114" s="33">
        <v>4.84</v>
      </c>
      <c r="T114" s="33"/>
      <c r="U114" s="33">
        <v>6.25</v>
      </c>
      <c r="V114" s="33"/>
      <c r="W114" s="33"/>
      <c r="X114" s="33"/>
      <c r="Y114" s="33"/>
      <c r="Z114" s="33">
        <v>24.551280000000002</v>
      </c>
      <c r="AA114" s="33"/>
      <c r="AB114" s="33"/>
      <c r="AC114" s="33">
        <v>4.8531599999999999</v>
      </c>
      <c r="AD114" s="33"/>
      <c r="AE114" s="33">
        <v>56.049239999999998</v>
      </c>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v>5.5763759999999998</v>
      </c>
      <c r="BG114" s="33"/>
      <c r="BH114" s="33"/>
      <c r="BI114" s="33"/>
      <c r="BJ114" s="33"/>
      <c r="BK114" s="33"/>
      <c r="BL114" s="33"/>
      <c r="BM114" s="33"/>
      <c r="BN114" s="33"/>
      <c r="BO114" s="33"/>
      <c r="BP114" s="33"/>
      <c r="BQ114" s="33"/>
      <c r="BR114" s="33"/>
      <c r="BS114" s="33"/>
      <c r="BT114" s="33"/>
      <c r="BU114" s="33"/>
      <c r="BV114" s="33"/>
      <c r="BW114" s="33"/>
      <c r="BX114" s="33">
        <v>0.51386399999999999</v>
      </c>
      <c r="BY114" s="33">
        <v>1.5986879999999999</v>
      </c>
      <c r="BZ114" s="33">
        <v>1.1990160000000001</v>
      </c>
      <c r="CA114" s="33"/>
      <c r="CB114" s="33"/>
      <c r="CC114" s="33"/>
      <c r="CD114" s="33"/>
      <c r="CE114" s="33"/>
      <c r="CF114" s="33"/>
      <c r="CG114" s="33"/>
      <c r="CH114" s="33"/>
      <c r="CI114" s="33"/>
      <c r="CJ114" s="33"/>
      <c r="CK114" s="33"/>
      <c r="CL114" s="33"/>
      <c r="CM114" s="33"/>
      <c r="CN114" s="33"/>
      <c r="CO114" s="33">
        <v>4.1299440000000001</v>
      </c>
      <c r="CP114" s="33">
        <v>232.28555999999998</v>
      </c>
      <c r="CQ114" s="33"/>
      <c r="CR114" s="33">
        <v>0.72321600000000008</v>
      </c>
      <c r="CS114" s="33">
        <v>7.0989360000000001</v>
      </c>
      <c r="CT114" s="33"/>
      <c r="CU114" s="33">
        <v>2147.4566879999998</v>
      </c>
      <c r="CV114" s="33">
        <v>203.680464</v>
      </c>
      <c r="CW114" s="33">
        <v>1.5320760000000002</v>
      </c>
      <c r="CX114" s="33">
        <v>32.411496</v>
      </c>
      <c r="CY114" s="33">
        <v>165.82581599999997</v>
      </c>
      <c r="CZ114" s="33"/>
      <c r="DA114" s="33">
        <v>1.3417559999999997</v>
      </c>
      <c r="DB114" s="33"/>
      <c r="DC114" s="33"/>
      <c r="DD114" s="33"/>
      <c r="DE114" s="33"/>
      <c r="DF114" s="33"/>
      <c r="DG114" s="33"/>
      <c r="DH114" s="33"/>
      <c r="DI114" s="33"/>
      <c r="DJ114" s="33"/>
      <c r="DK114" s="33"/>
      <c r="DL114" s="33"/>
      <c r="DM114" s="33"/>
      <c r="DN114" s="33"/>
      <c r="DO114" s="33"/>
      <c r="DP114" s="33"/>
      <c r="DQ114" s="33"/>
      <c r="DR114" s="33"/>
      <c r="DS114" s="33" t="s">
        <v>9354</v>
      </c>
      <c r="DT114" s="33"/>
      <c r="DU114" s="33"/>
      <c r="DV114" s="33"/>
      <c r="DW114" s="33"/>
      <c r="DX114" s="33"/>
      <c r="DY114" s="33"/>
      <c r="DZ114" s="33"/>
      <c r="EA114" s="33"/>
      <c r="EB114" s="33"/>
      <c r="EC114" s="33"/>
      <c r="ED114" s="33" t="s">
        <v>9355</v>
      </c>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v>8.4250857600000006E-2</v>
      </c>
      <c r="GW114" s="33"/>
      <c r="GX114" s="33">
        <v>0.61909335539999999</v>
      </c>
      <c r="GY114" s="33"/>
      <c r="GZ114" s="33">
        <v>0.2647884096</v>
      </c>
      <c r="HA114" s="33"/>
      <c r="HB114" s="33"/>
      <c r="HC114" s="33"/>
      <c r="HD114" s="33"/>
      <c r="HE114" s="33"/>
      <c r="HF114" s="33"/>
      <c r="HG114" s="33"/>
      <c r="HH114" s="33"/>
      <c r="HI114" s="33"/>
      <c r="HJ114" s="33"/>
      <c r="HK114" s="33">
        <v>0.34640642790000004</v>
      </c>
      <c r="HL114" s="33"/>
      <c r="HM114" s="33"/>
      <c r="HN114" s="33"/>
      <c r="HO114" s="33"/>
      <c r="HP114" s="33"/>
      <c r="HQ114" s="33"/>
      <c r="HR114" s="33">
        <v>0.67852029959999993</v>
      </c>
      <c r="HS114" s="33"/>
      <c r="HT114" s="33"/>
      <c r="HU114" s="33"/>
      <c r="HV114" s="33"/>
      <c r="HW114" s="33"/>
      <c r="HX114" s="33"/>
      <c r="HY114" s="33"/>
      <c r="HZ114" s="33">
        <v>0.15721811819999998</v>
      </c>
      <c r="IA114" s="33"/>
      <c r="IB114" s="33"/>
      <c r="IC114" s="33"/>
      <c r="ID114" s="33"/>
      <c r="IE114" s="33"/>
      <c r="IF114" s="33"/>
      <c r="IG114" s="33"/>
      <c r="IH114" s="33"/>
      <c r="II114" s="33"/>
      <c r="IJ114" s="33"/>
      <c r="IK114" s="33"/>
      <c r="IL114" s="33"/>
      <c r="IM114" s="33"/>
      <c r="IN114" s="33">
        <v>0.82972049939999992</v>
      </c>
      <c r="IO114" s="33"/>
      <c r="IP114" s="33"/>
      <c r="IQ114" s="33"/>
      <c r="IR114" s="33"/>
      <c r="IS114" s="33"/>
      <c r="IT114" s="33"/>
      <c r="IU114" s="33"/>
      <c r="IV114" s="33"/>
      <c r="IW114" s="33"/>
      <c r="IX114" s="33"/>
      <c r="IY114" s="33"/>
      <c r="IZ114" s="33"/>
      <c r="JA114" s="33">
        <v>0.75750547859999995</v>
      </c>
      <c r="JB114" s="33"/>
      <c r="JC114" s="33"/>
      <c r="JD114" s="33"/>
      <c r="JE114" s="33"/>
      <c r="JF114" s="33"/>
      <c r="JG114" s="33"/>
      <c r="JH114" s="33"/>
      <c r="JI114" s="33"/>
      <c r="JJ114" s="33"/>
      <c r="JK114" s="33"/>
      <c r="JL114" s="33"/>
      <c r="JM114" s="33"/>
      <c r="JN114" s="33"/>
      <c r="JO114" s="33"/>
      <c r="JP114" s="33"/>
      <c r="JQ114" s="33"/>
      <c r="JR114" s="33"/>
      <c r="JU114" s="42">
        <v>903.48710400000016</v>
      </c>
      <c r="JV114" s="42">
        <v>1507.448592</v>
      </c>
      <c r="JX114" s="42">
        <v>2612.2561920000003</v>
      </c>
      <c r="JY114" s="42">
        <v>157.12819200000004</v>
      </c>
      <c r="KB114" s="42">
        <v>3957.6663360000002</v>
      </c>
      <c r="KC114" s="42">
        <v>756.17942400000004</v>
      </c>
      <c r="KD114" s="42">
        <v>677.61532799999998</v>
      </c>
      <c r="KE114" s="42">
        <v>1021.3332480000001</v>
      </c>
      <c r="KF114" s="42">
        <v>1821.7049760000002</v>
      </c>
      <c r="KG114" s="42">
        <v>1556.5511520000002</v>
      </c>
      <c r="KH114" s="42">
        <v>397.73073600000004</v>
      </c>
      <c r="KJ114" s="42">
        <v>1345.4101440000002</v>
      </c>
      <c r="KK114" s="42">
        <v>817.55762400000015</v>
      </c>
      <c r="KL114" s="42">
        <v>1070.435808</v>
      </c>
      <c r="KN114" s="42">
        <v>972.2306880000001</v>
      </c>
      <c r="KO114" s="42">
        <v>304.43587200000007</v>
      </c>
      <c r="KP114" s="42">
        <v>770.91019200000005</v>
      </c>
      <c r="KQ114" s="42">
        <v>1266.8460480000001</v>
      </c>
      <c r="KZ114" s="33">
        <v>400.985208</v>
      </c>
      <c r="LA114" s="33"/>
      <c r="LB114" s="33"/>
      <c r="LC114" s="33"/>
      <c r="LD114" s="33"/>
      <c r="LE114" s="33"/>
      <c r="LF114" s="33"/>
      <c r="LG114" s="33"/>
      <c r="LH114" s="33"/>
      <c r="LI114" s="33"/>
      <c r="LJ114" s="33"/>
      <c r="LK114" s="33"/>
      <c r="LL114" s="33"/>
      <c r="LM114" s="33"/>
      <c r="LN114" s="33"/>
      <c r="LO114" s="33"/>
      <c r="LP114" s="44">
        <v>618.54</v>
      </c>
      <c r="LQ114" s="44"/>
      <c r="LR114" s="44"/>
      <c r="LS114" s="44"/>
      <c r="LT114" s="44">
        <v>3111.732</v>
      </c>
      <c r="LU114" s="44">
        <v>304.512</v>
      </c>
      <c r="LV114" s="44"/>
    </row>
    <row r="115" spans="1:334" x14ac:dyDescent="0.2">
      <c r="A115" s="1" t="s">
        <v>8269</v>
      </c>
      <c r="B115" s="1" t="s">
        <v>8270</v>
      </c>
      <c r="D115" s="1" t="s">
        <v>8271</v>
      </c>
      <c r="E115" s="1" t="s">
        <v>8099</v>
      </c>
      <c r="F115" s="1" t="s">
        <v>8272</v>
      </c>
      <c r="J115" s="1" t="s">
        <v>8273</v>
      </c>
      <c r="K115" s="1">
        <v>2010</v>
      </c>
      <c r="L115" s="1" t="s">
        <v>8274</v>
      </c>
      <c r="M115" s="1" t="s">
        <v>7657</v>
      </c>
      <c r="N115" s="17" t="s">
        <v>7945</v>
      </c>
      <c r="O115" s="33"/>
      <c r="P115" s="33"/>
      <c r="Q115" s="33"/>
      <c r="R115" s="33"/>
      <c r="S115" s="33">
        <v>11.11</v>
      </c>
      <c r="T115" s="33"/>
      <c r="U115" s="33">
        <v>6.25</v>
      </c>
      <c r="V115" s="33"/>
      <c r="W115" s="33"/>
      <c r="X115" s="33"/>
      <c r="Y115" s="33"/>
      <c r="Z115" s="33">
        <v>20.86</v>
      </c>
      <c r="AA115" s="33"/>
      <c r="AB115" s="33"/>
      <c r="AC115" s="33">
        <v>0.9</v>
      </c>
      <c r="AD115" s="33"/>
      <c r="AE115" s="33"/>
      <c r="AF115" s="33">
        <v>63.67</v>
      </c>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v>3.46</v>
      </c>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c r="IV115" s="33"/>
      <c r="IW115" s="33"/>
      <c r="IX115" s="33"/>
      <c r="IY115" s="33"/>
      <c r="IZ115" s="33"/>
      <c r="JA115" s="33"/>
      <c r="JB115" s="33"/>
      <c r="JC115" s="33"/>
      <c r="JD115" s="33"/>
      <c r="JE115" s="33"/>
      <c r="JF115" s="33"/>
      <c r="JG115" s="33"/>
      <c r="JH115" s="33"/>
      <c r="JI115" s="33"/>
      <c r="JJ115" s="33"/>
      <c r="JK115" s="33"/>
      <c r="JL115" s="33"/>
      <c r="JM115" s="33"/>
      <c r="JN115" s="33"/>
      <c r="JO115" s="33"/>
      <c r="JP115" s="33"/>
      <c r="JQ115" s="33"/>
      <c r="JR115" s="33"/>
      <c r="KZ115" s="33"/>
      <c r="LA115" s="33"/>
      <c r="LB115" s="33"/>
      <c r="LC115" s="33"/>
      <c r="LD115" s="33"/>
      <c r="LE115" s="33"/>
      <c r="LF115" s="33"/>
      <c r="LG115" s="33"/>
      <c r="LH115" s="33"/>
      <c r="LI115" s="33"/>
      <c r="LJ115" s="33"/>
      <c r="LK115" s="33"/>
      <c r="LL115" s="33"/>
      <c r="LM115" s="33"/>
      <c r="LN115" s="33"/>
      <c r="LO115" s="33"/>
      <c r="LP115" s="44"/>
      <c r="LQ115" s="44"/>
      <c r="LR115" s="44"/>
      <c r="LS115" s="44"/>
      <c r="LT115" s="44"/>
      <c r="LU115" s="44"/>
      <c r="LV115" s="44"/>
    </row>
    <row r="116" spans="1:334" x14ac:dyDescent="0.2">
      <c r="A116" s="1" t="s">
        <v>8275</v>
      </c>
      <c r="B116" s="1" t="s">
        <v>8270</v>
      </c>
      <c r="D116" s="1" t="s">
        <v>8276</v>
      </c>
      <c r="E116" s="1" t="s">
        <v>11</v>
      </c>
      <c r="F116" s="1" t="s">
        <v>8272</v>
      </c>
      <c r="J116" s="1" t="s">
        <v>8273</v>
      </c>
      <c r="K116" s="1">
        <v>2010</v>
      </c>
      <c r="L116" s="1" t="s">
        <v>8274</v>
      </c>
      <c r="M116" s="1" t="s">
        <v>7657</v>
      </c>
      <c r="N116" s="17" t="s">
        <v>7945</v>
      </c>
      <c r="O116" s="33"/>
      <c r="P116" s="33"/>
      <c r="Q116" s="33"/>
      <c r="R116" s="33"/>
      <c r="S116" s="33">
        <v>12.18</v>
      </c>
      <c r="T116" s="33"/>
      <c r="U116" s="33">
        <v>6.25</v>
      </c>
      <c r="V116" s="33"/>
      <c r="W116" s="33"/>
      <c r="X116" s="33"/>
      <c r="Y116" s="33"/>
      <c r="Z116" s="33">
        <v>20.97</v>
      </c>
      <c r="AA116" s="33"/>
      <c r="AB116" s="33"/>
      <c r="AC116" s="33">
        <v>0.91</v>
      </c>
      <c r="AD116" s="33"/>
      <c r="AE116" s="33"/>
      <c r="AF116" s="33">
        <v>62.56</v>
      </c>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v>3.38</v>
      </c>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c r="IV116" s="33"/>
      <c r="IW116" s="33"/>
      <c r="IX116" s="33"/>
      <c r="IY116" s="33"/>
      <c r="IZ116" s="33"/>
      <c r="JA116" s="33"/>
      <c r="JB116" s="33"/>
      <c r="JC116" s="33"/>
      <c r="JD116" s="33"/>
      <c r="JE116" s="33"/>
      <c r="JF116" s="33"/>
      <c r="JG116" s="33"/>
      <c r="JH116" s="33"/>
      <c r="JI116" s="33"/>
      <c r="JJ116" s="33"/>
      <c r="JK116" s="33"/>
      <c r="JL116" s="33"/>
      <c r="JM116" s="33"/>
      <c r="JN116" s="33"/>
      <c r="JO116" s="33"/>
      <c r="JP116" s="33"/>
      <c r="JQ116" s="33"/>
      <c r="JR116" s="33"/>
      <c r="KZ116" s="33"/>
      <c r="LA116" s="33"/>
      <c r="LB116" s="33"/>
      <c r="LC116" s="33"/>
      <c r="LD116" s="33"/>
      <c r="LE116" s="33"/>
      <c r="LF116" s="33"/>
      <c r="LG116" s="33"/>
      <c r="LH116" s="33"/>
      <c r="LI116" s="33"/>
      <c r="LJ116" s="33"/>
      <c r="LK116" s="33"/>
      <c r="LL116" s="33"/>
      <c r="LM116" s="33"/>
      <c r="LN116" s="33"/>
      <c r="LO116" s="33"/>
      <c r="LP116" s="44"/>
      <c r="LQ116" s="44"/>
      <c r="LR116" s="44"/>
      <c r="LS116" s="44"/>
      <c r="LT116" s="44"/>
      <c r="LU116" s="44"/>
      <c r="LV116" s="44"/>
    </row>
    <row r="117" spans="1:334" x14ac:dyDescent="0.2">
      <c r="A117" s="1" t="s">
        <v>8277</v>
      </c>
      <c r="D117" s="1" t="s">
        <v>8278</v>
      </c>
      <c r="E117" s="1" t="s">
        <v>7966</v>
      </c>
      <c r="F117" s="1" t="s">
        <v>6268</v>
      </c>
      <c r="J117" s="1" t="s">
        <v>8279</v>
      </c>
      <c r="K117" s="1">
        <v>2006</v>
      </c>
      <c r="L117" s="1" t="s">
        <v>8280</v>
      </c>
      <c r="M117" s="1" t="s">
        <v>7657</v>
      </c>
      <c r="N117" s="17" t="s">
        <v>7945</v>
      </c>
      <c r="O117" s="33"/>
      <c r="P117" s="33"/>
      <c r="Q117" s="33"/>
      <c r="R117" s="33"/>
      <c r="S117" s="33">
        <v>12.67</v>
      </c>
      <c r="T117" s="33"/>
      <c r="U117" s="33"/>
      <c r="V117" s="33"/>
      <c r="W117" s="33"/>
      <c r="X117" s="33"/>
      <c r="Y117" s="33"/>
      <c r="Z117" s="33">
        <v>22.435077</v>
      </c>
      <c r="AA117" s="33"/>
      <c r="AB117" s="33"/>
      <c r="AC117" s="33"/>
      <c r="AD117" s="33">
        <v>2.3317109999999999</v>
      </c>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v>5.7375810000000005</v>
      </c>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v>2.8207589999999998</v>
      </c>
      <c r="CP117" s="33">
        <v>41.962064999999996</v>
      </c>
      <c r="CQ117" s="33"/>
      <c r="CR117" s="33"/>
      <c r="CS117" s="33"/>
      <c r="CT117" s="33"/>
      <c r="CU117" s="33">
        <v>1110.025431</v>
      </c>
      <c r="CV117" s="33">
        <v>158.119698</v>
      </c>
      <c r="CW117" s="33"/>
      <c r="CX117" s="33">
        <v>38.468864999999994</v>
      </c>
      <c r="CY117" s="33"/>
      <c r="CZ117" s="33"/>
      <c r="DA117" s="33">
        <v>4.6110239999999996</v>
      </c>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c r="IV117" s="33"/>
      <c r="IW117" s="33"/>
      <c r="IX117" s="33"/>
      <c r="IY117" s="33"/>
      <c r="IZ117" s="33"/>
      <c r="JA117" s="33"/>
      <c r="JB117" s="33"/>
      <c r="JC117" s="33"/>
      <c r="JD117" s="33"/>
      <c r="JE117" s="33"/>
      <c r="JF117" s="33"/>
      <c r="JG117" s="33"/>
      <c r="JH117" s="33"/>
      <c r="JI117" s="33"/>
      <c r="JJ117" s="33"/>
      <c r="JK117" s="33"/>
      <c r="JL117" s="33"/>
      <c r="JM117" s="33"/>
      <c r="JN117" s="33"/>
      <c r="JO117" s="33"/>
      <c r="JP117" s="33"/>
      <c r="JQ117" s="33"/>
      <c r="JR117" s="33"/>
      <c r="KZ117" s="33"/>
      <c r="LA117" s="33"/>
      <c r="LB117" s="33"/>
      <c r="LC117" s="33"/>
      <c r="LD117" s="33"/>
      <c r="LE117" s="33"/>
      <c r="LF117" s="33"/>
      <c r="LG117" s="33"/>
      <c r="LH117" s="33"/>
      <c r="LI117" s="33"/>
      <c r="LJ117" s="33"/>
      <c r="LK117" s="33"/>
      <c r="LL117" s="33"/>
      <c r="LM117" s="33"/>
      <c r="LN117" s="33"/>
      <c r="LO117" s="33"/>
      <c r="LP117" s="44"/>
      <c r="LQ117" s="44"/>
      <c r="LR117" s="44"/>
      <c r="LS117" s="44"/>
      <c r="LT117" s="44"/>
      <c r="LU117" s="44"/>
      <c r="LV117" s="44"/>
    </row>
    <row r="118" spans="1:334" x14ac:dyDescent="0.2">
      <c r="A118" s="1" t="s">
        <v>8281</v>
      </c>
      <c r="D118" s="1" t="s">
        <v>8282</v>
      </c>
      <c r="E118" s="1" t="s">
        <v>7</v>
      </c>
      <c r="F118" s="1" t="s">
        <v>8283</v>
      </c>
      <c r="I118" s="1">
        <v>1</v>
      </c>
      <c r="J118" s="1" t="s">
        <v>8284</v>
      </c>
      <c r="K118" s="1">
        <v>2004</v>
      </c>
      <c r="L118" s="1" t="s">
        <v>8285</v>
      </c>
      <c r="M118" s="1" t="s">
        <v>7657</v>
      </c>
      <c r="N118" s="17" t="s">
        <v>7945</v>
      </c>
      <c r="O118" s="33">
        <v>1637.991</v>
      </c>
      <c r="P118" s="33"/>
      <c r="Q118" s="33"/>
      <c r="R118" s="33"/>
      <c r="S118" s="33">
        <v>5.7</v>
      </c>
      <c r="T118" s="33"/>
      <c r="U118" s="33">
        <v>6.25</v>
      </c>
      <c r="V118" s="33"/>
      <c r="W118" s="33"/>
      <c r="X118" s="33"/>
      <c r="Y118" s="33">
        <v>23.009199999999996</v>
      </c>
      <c r="Z118" s="33">
        <v>27.611039999999999</v>
      </c>
      <c r="AA118" s="33"/>
      <c r="AB118" s="33"/>
      <c r="AC118" s="33"/>
      <c r="AD118" s="33">
        <v>9.2414000000000005</v>
      </c>
      <c r="AE118" s="33"/>
      <c r="AF118" s="33"/>
      <c r="AG118" s="33"/>
      <c r="AH118" s="33"/>
      <c r="AI118" s="33"/>
      <c r="AJ118" s="33">
        <v>49.5075</v>
      </c>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v>4.6207000000000003</v>
      </c>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v>3.3948</v>
      </c>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c r="IV118" s="33"/>
      <c r="IW118" s="33"/>
      <c r="IX118" s="33"/>
      <c r="IY118" s="33"/>
      <c r="IZ118" s="33"/>
      <c r="JA118" s="33"/>
      <c r="JB118" s="33"/>
      <c r="JC118" s="33"/>
      <c r="JD118" s="33"/>
      <c r="JE118" s="33"/>
      <c r="JF118" s="33"/>
      <c r="JG118" s="33"/>
      <c r="JH118" s="33"/>
      <c r="JI118" s="33"/>
      <c r="JJ118" s="33"/>
      <c r="JK118" s="33"/>
      <c r="JL118" s="33"/>
      <c r="JM118" s="33"/>
      <c r="JN118" s="33"/>
      <c r="JO118" s="33"/>
      <c r="JP118" s="33"/>
      <c r="JQ118" s="33"/>
      <c r="JR118" s="33"/>
      <c r="JU118" s="42">
        <v>427.97111999999998</v>
      </c>
      <c r="JV118" s="42">
        <v>3982.8925199999994</v>
      </c>
      <c r="JX118" s="42">
        <v>1652.0605599999997</v>
      </c>
      <c r="KB118" s="42">
        <v>2091.5362799999998</v>
      </c>
      <c r="KC118" s="42">
        <v>476.29043999999993</v>
      </c>
      <c r="KE118" s="42">
        <v>2860.0435599999996</v>
      </c>
      <c r="KF118" s="42">
        <v>1355.2418799999998</v>
      </c>
      <c r="KG118" s="42">
        <v>1829.2313999999997</v>
      </c>
      <c r="KK118" s="42">
        <v>878.95143999999993</v>
      </c>
      <c r="KL118" s="42">
        <v>612.04471999999998</v>
      </c>
      <c r="KN118" s="42">
        <v>830.63211999999987</v>
      </c>
      <c r="KO118" s="42">
        <v>276.11039999999997</v>
      </c>
      <c r="KQ118" s="42">
        <v>895.05787999999984</v>
      </c>
      <c r="KR118" s="42">
        <v>1820.0277199999996</v>
      </c>
      <c r="KT118" s="42">
        <v>717.88703999999984</v>
      </c>
      <c r="KZ118" s="33"/>
      <c r="LA118" s="33"/>
      <c r="LB118" s="33"/>
      <c r="LC118" s="33"/>
      <c r="LD118" s="33"/>
      <c r="LE118" s="33"/>
      <c r="LF118" s="33"/>
      <c r="LG118" s="33"/>
      <c r="LH118" s="33"/>
      <c r="LI118" s="33"/>
      <c r="LJ118" s="33"/>
      <c r="LK118" s="33"/>
      <c r="LL118" s="33"/>
      <c r="LM118" s="33"/>
      <c r="LN118" s="33"/>
      <c r="LO118" s="33">
        <v>943</v>
      </c>
      <c r="LP118" s="44">
        <v>5280.8</v>
      </c>
      <c r="LQ118" s="44"/>
      <c r="LR118" s="44"/>
      <c r="LS118" s="44"/>
      <c r="LT118" s="44">
        <v>943</v>
      </c>
      <c r="LU118" s="44"/>
      <c r="LV118" s="44"/>
    </row>
    <row r="119" spans="1:334" x14ac:dyDescent="0.2">
      <c r="A119" s="1" t="s">
        <v>8286</v>
      </c>
      <c r="D119" s="1" t="s">
        <v>8287</v>
      </c>
      <c r="E119" s="1" t="s">
        <v>11</v>
      </c>
      <c r="F119" s="1" t="s">
        <v>8283</v>
      </c>
      <c r="I119" s="1">
        <v>1</v>
      </c>
      <c r="J119" s="1" t="s">
        <v>8288</v>
      </c>
      <c r="K119" s="1">
        <v>2004</v>
      </c>
      <c r="L119" s="1" t="s">
        <v>8285</v>
      </c>
      <c r="M119" s="1" t="s">
        <v>7657</v>
      </c>
      <c r="N119" s="17" t="s">
        <v>7945</v>
      </c>
      <c r="O119" s="33">
        <v>1599.29</v>
      </c>
      <c r="P119" s="33"/>
      <c r="Q119" s="33"/>
      <c r="R119" s="33"/>
      <c r="S119" s="33">
        <v>6.2</v>
      </c>
      <c r="T119" s="33"/>
      <c r="U119" s="33">
        <v>6.25</v>
      </c>
      <c r="V119" s="33"/>
      <c r="W119" s="33"/>
      <c r="X119" s="33"/>
      <c r="Y119" s="33"/>
      <c r="Z119" s="33">
        <v>27.201999999999998</v>
      </c>
      <c r="AA119" s="33"/>
      <c r="AB119" s="33"/>
      <c r="AC119" s="33"/>
      <c r="AD119" s="33">
        <v>9.0047999999999995</v>
      </c>
      <c r="AE119" s="33"/>
      <c r="AF119" s="33"/>
      <c r="AG119" s="33"/>
      <c r="AH119" s="33"/>
      <c r="AI119" s="33"/>
      <c r="AJ119" s="33">
        <v>48.025600000000004</v>
      </c>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v>6.2846000000000002</v>
      </c>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v>4.5961999999999996</v>
      </c>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c r="IV119" s="33"/>
      <c r="IW119" s="33"/>
      <c r="IX119" s="33"/>
      <c r="IY119" s="33"/>
      <c r="IZ119" s="33"/>
      <c r="JA119" s="33"/>
      <c r="JB119" s="33"/>
      <c r="JC119" s="33"/>
      <c r="JD119" s="33"/>
      <c r="JE119" s="33"/>
      <c r="JF119" s="33"/>
      <c r="JG119" s="33"/>
      <c r="JH119" s="33"/>
      <c r="JI119" s="33"/>
      <c r="JJ119" s="33"/>
      <c r="JK119" s="33"/>
      <c r="JL119" s="33"/>
      <c r="JM119" s="33"/>
      <c r="JN119" s="33"/>
      <c r="JO119" s="33"/>
      <c r="JP119" s="33"/>
      <c r="JQ119" s="33"/>
      <c r="JR119" s="33"/>
      <c r="KZ119" s="33"/>
      <c r="LA119" s="33"/>
      <c r="LB119" s="33"/>
      <c r="LC119" s="33"/>
      <c r="LD119" s="33"/>
      <c r="LE119" s="33"/>
      <c r="LF119" s="33"/>
      <c r="LG119" s="33"/>
      <c r="LH119" s="33"/>
      <c r="LI119" s="33"/>
      <c r="LJ119" s="33"/>
      <c r="LK119" s="33"/>
      <c r="LL119" s="33"/>
      <c r="LM119" s="33"/>
      <c r="LN119" s="33"/>
      <c r="LO119" s="33"/>
      <c r="LP119" s="44"/>
      <c r="LQ119" s="44"/>
      <c r="LR119" s="44"/>
      <c r="LS119" s="44"/>
      <c r="LT119" s="44"/>
      <c r="LU119" s="44"/>
      <c r="LV119" s="44"/>
    </row>
    <row r="120" spans="1:334" x14ac:dyDescent="0.2">
      <c r="A120" s="1" t="s">
        <v>8289</v>
      </c>
      <c r="D120" s="1" t="s">
        <v>8290</v>
      </c>
      <c r="E120" s="1" t="s">
        <v>8099</v>
      </c>
      <c r="F120" s="1" t="s">
        <v>8291</v>
      </c>
      <c r="H120" s="1" t="s">
        <v>8292</v>
      </c>
      <c r="I120" s="1">
        <v>3</v>
      </c>
      <c r="J120" s="1" t="s">
        <v>8293</v>
      </c>
      <c r="K120" s="1">
        <v>2000</v>
      </c>
      <c r="L120" s="1" t="s">
        <v>8294</v>
      </c>
      <c r="M120" s="1" t="s">
        <v>7657</v>
      </c>
      <c r="N120" s="17" t="s">
        <v>7945</v>
      </c>
      <c r="O120" s="33"/>
      <c r="P120" s="33"/>
      <c r="Q120" s="33"/>
      <c r="R120" s="33"/>
      <c r="S120" s="33">
        <v>10.5</v>
      </c>
      <c r="T120" s="33"/>
      <c r="U120" s="33">
        <v>6.25</v>
      </c>
      <c r="V120" s="33"/>
      <c r="W120" s="33"/>
      <c r="X120" s="33"/>
      <c r="Y120" s="33"/>
      <c r="Z120" s="33">
        <v>21.175700000000003</v>
      </c>
      <c r="AA120" s="33"/>
      <c r="AB120" s="33"/>
      <c r="AC120" s="33">
        <v>0.67125000000000001</v>
      </c>
      <c r="AD120" s="33"/>
      <c r="AE120" s="33"/>
      <c r="AF120" s="33">
        <v>61.37</v>
      </c>
      <c r="AG120" s="33"/>
      <c r="AH120" s="33"/>
      <c r="AI120" s="33"/>
      <c r="AJ120" s="33"/>
      <c r="AK120" s="33"/>
      <c r="AL120" s="33"/>
      <c r="AM120" s="33"/>
      <c r="AN120" s="33"/>
      <c r="AO120" s="33">
        <v>31.844099999999997</v>
      </c>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v>3.3294000000000001</v>
      </c>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c r="IV120" s="33"/>
      <c r="IW120" s="33"/>
      <c r="IX120" s="33"/>
      <c r="IY120" s="33"/>
      <c r="IZ120" s="33"/>
      <c r="JA120" s="33"/>
      <c r="JB120" s="33"/>
      <c r="JC120" s="33"/>
      <c r="JD120" s="33"/>
      <c r="JE120" s="33"/>
      <c r="JF120" s="33"/>
      <c r="JG120" s="33"/>
      <c r="JH120" s="33"/>
      <c r="JI120" s="33"/>
      <c r="JJ120" s="33"/>
      <c r="JK120" s="33"/>
      <c r="JL120" s="33"/>
      <c r="JM120" s="33"/>
      <c r="JN120" s="33"/>
      <c r="JO120" s="33"/>
      <c r="JP120" s="33"/>
      <c r="JQ120" s="33"/>
      <c r="JR120" s="33"/>
      <c r="KZ120" s="33"/>
      <c r="LA120" s="33"/>
      <c r="LB120" s="33"/>
      <c r="LC120" s="33"/>
      <c r="LD120" s="33"/>
      <c r="LE120" s="33"/>
      <c r="LF120" s="33"/>
      <c r="LG120" s="33"/>
      <c r="LH120" s="33"/>
      <c r="LI120" s="33"/>
      <c r="LJ120" s="33"/>
      <c r="LK120" s="33"/>
      <c r="LL120" s="33"/>
      <c r="LM120" s="33"/>
      <c r="LN120" s="33"/>
      <c r="LO120" s="33"/>
      <c r="LP120" s="44"/>
      <c r="LQ120" s="44"/>
      <c r="LR120" s="44"/>
      <c r="LS120" s="44"/>
      <c r="LT120" s="44"/>
      <c r="LU120" s="44"/>
      <c r="LV120" s="44"/>
    </row>
    <row r="121" spans="1:334" x14ac:dyDescent="0.2">
      <c r="A121" s="1" t="s">
        <v>8295</v>
      </c>
      <c r="D121" s="1" t="s">
        <v>8290</v>
      </c>
      <c r="E121" s="1" t="s">
        <v>8099</v>
      </c>
      <c r="F121" s="1" t="s">
        <v>8291</v>
      </c>
      <c r="H121" s="1" t="s">
        <v>8296</v>
      </c>
      <c r="I121" s="1">
        <v>3</v>
      </c>
      <c r="J121" s="1" t="s">
        <v>8293</v>
      </c>
      <c r="K121" s="1">
        <v>2000</v>
      </c>
      <c r="L121" s="1" t="s">
        <v>8294</v>
      </c>
      <c r="M121" s="1" t="s">
        <v>7657</v>
      </c>
      <c r="N121" s="17" t="s">
        <v>7945</v>
      </c>
      <c r="O121" s="33"/>
      <c r="P121" s="33"/>
      <c r="Q121" s="33"/>
      <c r="R121" s="33"/>
      <c r="S121" s="33">
        <v>10.63</v>
      </c>
      <c r="T121" s="33"/>
      <c r="U121" s="33">
        <v>6.25</v>
      </c>
      <c r="V121" s="33"/>
      <c r="W121" s="33"/>
      <c r="X121" s="33"/>
      <c r="Y121" s="33"/>
      <c r="Z121" s="33">
        <v>20.805336</v>
      </c>
      <c r="AA121" s="33"/>
      <c r="AB121" s="33"/>
      <c r="AC121" s="33">
        <v>0.67027500000000007</v>
      </c>
      <c r="AD121" s="33"/>
      <c r="AE121" s="33"/>
      <c r="AF121" s="33">
        <v>61.81</v>
      </c>
      <c r="AG121" s="33"/>
      <c r="AH121" s="33"/>
      <c r="AI121" s="33"/>
      <c r="AJ121" s="33"/>
      <c r="AK121" s="33"/>
      <c r="AL121" s="33"/>
      <c r="AM121" s="33"/>
      <c r="AN121" s="33"/>
      <c r="AO121" s="33"/>
      <c r="AP121" s="33">
        <v>32.584302000000001</v>
      </c>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v>3.360312</v>
      </c>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c r="IV121" s="33"/>
      <c r="IW121" s="33"/>
      <c r="IX121" s="33"/>
      <c r="IY121" s="33"/>
      <c r="IZ121" s="33"/>
      <c r="JA121" s="33"/>
      <c r="JB121" s="33"/>
      <c r="JC121" s="33"/>
      <c r="JD121" s="33"/>
      <c r="JE121" s="33"/>
      <c r="JF121" s="33"/>
      <c r="JG121" s="33"/>
      <c r="JH121" s="33"/>
      <c r="JI121" s="33"/>
      <c r="JJ121" s="33"/>
      <c r="JK121" s="33"/>
      <c r="JL121" s="33"/>
      <c r="JM121" s="33"/>
      <c r="JN121" s="33"/>
      <c r="JO121" s="33"/>
      <c r="JP121" s="33"/>
      <c r="JQ121" s="33"/>
      <c r="JR121" s="33"/>
      <c r="KZ121" s="33"/>
      <c r="LA121" s="33"/>
      <c r="LB121" s="33"/>
      <c r="LC121" s="33"/>
      <c r="LD121" s="33"/>
      <c r="LE121" s="33"/>
      <c r="LF121" s="33"/>
      <c r="LG121" s="33"/>
      <c r="LH121" s="33"/>
      <c r="LI121" s="33"/>
      <c r="LJ121" s="33"/>
      <c r="LK121" s="33"/>
      <c r="LL121" s="33"/>
      <c r="LM121" s="33"/>
      <c r="LN121" s="33"/>
      <c r="LO121" s="33"/>
      <c r="LP121" s="44"/>
      <c r="LQ121" s="44"/>
      <c r="LR121" s="44"/>
      <c r="LS121" s="44"/>
      <c r="LT121" s="44"/>
      <c r="LU121" s="44"/>
      <c r="LV121" s="44"/>
    </row>
    <row r="122" spans="1:334" x14ac:dyDescent="0.2">
      <c r="A122" s="1" t="s">
        <v>8297</v>
      </c>
      <c r="D122" s="1" t="s">
        <v>8290</v>
      </c>
      <c r="E122" s="1" t="s">
        <v>8099</v>
      </c>
      <c r="F122" s="1" t="s">
        <v>8291</v>
      </c>
      <c r="H122" s="1" t="s">
        <v>8298</v>
      </c>
      <c r="I122" s="1">
        <v>3</v>
      </c>
      <c r="J122" s="1" t="s">
        <v>8293</v>
      </c>
      <c r="K122" s="1">
        <v>2000</v>
      </c>
      <c r="L122" s="1" t="s">
        <v>8294</v>
      </c>
      <c r="M122" s="1" t="s">
        <v>7657</v>
      </c>
      <c r="N122" s="17" t="s">
        <v>7945</v>
      </c>
      <c r="O122" s="33"/>
      <c r="P122" s="33"/>
      <c r="Q122" s="33"/>
      <c r="R122" s="33"/>
      <c r="S122" s="33">
        <v>9.6</v>
      </c>
      <c r="T122" s="33"/>
      <c r="U122" s="33">
        <v>6.25</v>
      </c>
      <c r="V122" s="33"/>
      <c r="W122" s="33"/>
      <c r="X122" s="33"/>
      <c r="Y122" s="33"/>
      <c r="Z122" s="33">
        <v>23.042959999999997</v>
      </c>
      <c r="AA122" s="33"/>
      <c r="AB122" s="33"/>
      <c r="AC122" s="33">
        <v>0.67800000000000016</v>
      </c>
      <c r="AD122" s="33"/>
      <c r="AE122" s="33"/>
      <c r="AF122" s="33">
        <v>59.83</v>
      </c>
      <c r="AG122" s="33"/>
      <c r="AH122" s="33"/>
      <c r="AI122" s="33"/>
      <c r="AJ122" s="33"/>
      <c r="AK122" s="33"/>
      <c r="AL122" s="33"/>
      <c r="AM122" s="33"/>
      <c r="AN122" s="33"/>
      <c r="AO122" s="33"/>
      <c r="AP122" s="33">
        <v>31.178960000000004</v>
      </c>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v>3.5888800000000005</v>
      </c>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c r="IV122" s="33"/>
      <c r="IW122" s="33"/>
      <c r="IX122" s="33"/>
      <c r="IY122" s="33"/>
      <c r="IZ122" s="33"/>
      <c r="JA122" s="33"/>
      <c r="JB122" s="33"/>
      <c r="JC122" s="33"/>
      <c r="JD122" s="33"/>
      <c r="JE122" s="33"/>
      <c r="JF122" s="33"/>
      <c r="JG122" s="33"/>
      <c r="JH122" s="33"/>
      <c r="JI122" s="33"/>
      <c r="JJ122" s="33"/>
      <c r="JK122" s="33"/>
      <c r="JL122" s="33"/>
      <c r="JM122" s="33"/>
      <c r="JN122" s="33"/>
      <c r="JO122" s="33"/>
      <c r="JP122" s="33"/>
      <c r="JQ122" s="33"/>
      <c r="JR122" s="33"/>
      <c r="KZ122" s="33"/>
      <c r="LA122" s="33"/>
      <c r="LB122" s="33"/>
      <c r="LC122" s="33"/>
      <c r="LD122" s="33"/>
      <c r="LE122" s="33"/>
      <c r="LF122" s="33"/>
      <c r="LG122" s="33"/>
      <c r="LH122" s="33"/>
      <c r="LI122" s="33"/>
      <c r="LJ122" s="33"/>
      <c r="LK122" s="33"/>
      <c r="LL122" s="33"/>
      <c r="LM122" s="33"/>
      <c r="LN122" s="33"/>
      <c r="LO122" s="33"/>
      <c r="LP122" s="44"/>
      <c r="LQ122" s="44"/>
      <c r="LR122" s="44"/>
      <c r="LS122" s="44"/>
      <c r="LT122" s="44"/>
      <c r="LU122" s="44"/>
      <c r="LV122" s="44"/>
    </row>
    <row r="123" spans="1:334" x14ac:dyDescent="0.2">
      <c r="A123" s="1" t="s">
        <v>8299</v>
      </c>
      <c r="D123" s="1" t="s">
        <v>8290</v>
      </c>
      <c r="E123" s="1" t="s">
        <v>8099</v>
      </c>
      <c r="F123" s="1" t="s">
        <v>8291</v>
      </c>
      <c r="H123" s="1" t="s">
        <v>8300</v>
      </c>
      <c r="I123" s="1">
        <v>3</v>
      </c>
      <c r="J123" s="1" t="s">
        <v>8293</v>
      </c>
      <c r="K123" s="1">
        <v>2000</v>
      </c>
      <c r="L123" s="1" t="s">
        <v>8294</v>
      </c>
      <c r="M123" s="1" t="s">
        <v>7657</v>
      </c>
      <c r="N123" s="17" t="s">
        <v>7945</v>
      </c>
      <c r="O123" s="33"/>
      <c r="P123" s="33"/>
      <c r="Q123" s="33"/>
      <c r="R123" s="33"/>
      <c r="S123" s="33">
        <v>10.27</v>
      </c>
      <c r="T123" s="33"/>
      <c r="U123" s="33">
        <v>6.25</v>
      </c>
      <c r="V123" s="33"/>
      <c r="W123" s="33"/>
      <c r="X123" s="33"/>
      <c r="Y123" s="33"/>
      <c r="Z123" s="33">
        <v>20.117466</v>
      </c>
      <c r="AA123" s="33"/>
      <c r="AB123" s="33"/>
      <c r="AC123" s="33">
        <v>0.67297499999999999</v>
      </c>
      <c r="AD123" s="33"/>
      <c r="AE123" s="33"/>
      <c r="AF123" s="33">
        <v>62.7</v>
      </c>
      <c r="AG123" s="33"/>
      <c r="AH123" s="33"/>
      <c r="AI123" s="33"/>
      <c r="AJ123" s="33"/>
      <c r="AK123" s="33"/>
      <c r="AL123" s="33"/>
      <c r="AM123" s="33"/>
      <c r="AN123" s="33"/>
      <c r="AO123" s="33"/>
      <c r="AP123" s="33">
        <v>40.118282999999998</v>
      </c>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v>3.2392529999999997</v>
      </c>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c r="IV123" s="33"/>
      <c r="IW123" s="33"/>
      <c r="IX123" s="33"/>
      <c r="IY123" s="33"/>
      <c r="IZ123" s="33"/>
      <c r="JA123" s="33"/>
      <c r="JB123" s="33"/>
      <c r="JC123" s="33"/>
      <c r="JD123" s="33"/>
      <c r="JE123" s="33"/>
      <c r="JF123" s="33"/>
      <c r="JG123" s="33"/>
      <c r="JH123" s="33"/>
      <c r="JI123" s="33"/>
      <c r="JJ123" s="33"/>
      <c r="JK123" s="33"/>
      <c r="JL123" s="33"/>
      <c r="JM123" s="33"/>
      <c r="JN123" s="33"/>
      <c r="JO123" s="33"/>
      <c r="JP123" s="33"/>
      <c r="JQ123" s="33"/>
      <c r="JR123" s="33"/>
      <c r="KZ123" s="33"/>
      <c r="LA123" s="33"/>
      <c r="LB123" s="33"/>
      <c r="LC123" s="33"/>
      <c r="LD123" s="33"/>
      <c r="LE123" s="33"/>
      <c r="LF123" s="33"/>
      <c r="LG123" s="33"/>
      <c r="LH123" s="33"/>
      <c r="LI123" s="33"/>
      <c r="LJ123" s="33"/>
      <c r="LK123" s="33"/>
      <c r="LL123" s="33"/>
      <c r="LM123" s="33"/>
      <c r="LN123" s="33"/>
      <c r="LO123" s="33"/>
      <c r="LP123" s="44"/>
      <c r="LQ123" s="44"/>
      <c r="LR123" s="44"/>
      <c r="LS123" s="44"/>
      <c r="LT123" s="44"/>
      <c r="LU123" s="44"/>
      <c r="LV123" s="44"/>
    </row>
    <row r="124" spans="1:334" x14ac:dyDescent="0.2">
      <c r="A124" s="1" t="s">
        <v>8301</v>
      </c>
      <c r="D124" s="1" t="s">
        <v>8290</v>
      </c>
      <c r="E124" s="1" t="s">
        <v>8099</v>
      </c>
      <c r="F124" s="1" t="s">
        <v>8291</v>
      </c>
      <c r="H124" s="1" t="s">
        <v>8302</v>
      </c>
      <c r="I124" s="1">
        <v>3</v>
      </c>
      <c r="J124" s="1" t="s">
        <v>8293</v>
      </c>
      <c r="K124" s="1">
        <v>2000</v>
      </c>
      <c r="L124" s="1" t="s">
        <v>8294</v>
      </c>
      <c r="M124" s="1" t="s">
        <v>7657</v>
      </c>
      <c r="N124" s="17" t="s">
        <v>7945</v>
      </c>
      <c r="O124" s="33"/>
      <c r="P124" s="33"/>
      <c r="Q124" s="33"/>
      <c r="R124" s="33"/>
      <c r="S124" s="33">
        <v>9.1</v>
      </c>
      <c r="T124" s="33"/>
      <c r="U124" s="33">
        <v>6.25</v>
      </c>
      <c r="V124" s="33"/>
      <c r="W124" s="33"/>
      <c r="X124" s="33"/>
      <c r="Y124" s="33"/>
      <c r="Z124" s="33">
        <v>21.479670000000002</v>
      </c>
      <c r="AA124" s="33"/>
      <c r="AB124" s="33"/>
      <c r="AC124" s="33">
        <v>0.68175000000000008</v>
      </c>
      <c r="AD124" s="33"/>
      <c r="AE124" s="33"/>
      <c r="AF124" s="33">
        <v>62.71</v>
      </c>
      <c r="AG124" s="33"/>
      <c r="AH124" s="33"/>
      <c r="AI124" s="33"/>
      <c r="AJ124" s="33"/>
      <c r="AK124" s="33"/>
      <c r="AL124" s="33"/>
      <c r="AM124" s="33"/>
      <c r="AN124" s="33"/>
      <c r="AO124" s="33"/>
      <c r="AP124" s="33">
        <v>36.959940000000003</v>
      </c>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v>3.4087499999999999</v>
      </c>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c r="IV124" s="33"/>
      <c r="IW124" s="33"/>
      <c r="IX124" s="33"/>
      <c r="IY124" s="33"/>
      <c r="IZ124" s="33"/>
      <c r="JA124" s="33"/>
      <c r="JB124" s="33"/>
      <c r="JC124" s="33"/>
      <c r="JD124" s="33"/>
      <c r="JE124" s="33"/>
      <c r="JF124" s="33"/>
      <c r="JG124" s="33"/>
      <c r="JH124" s="33"/>
      <c r="JI124" s="33"/>
      <c r="JJ124" s="33"/>
      <c r="JK124" s="33"/>
      <c r="JL124" s="33"/>
      <c r="JM124" s="33"/>
      <c r="JN124" s="33"/>
      <c r="JO124" s="33"/>
      <c r="JP124" s="33"/>
      <c r="JQ124" s="33"/>
      <c r="JR124" s="33"/>
      <c r="KZ124" s="33"/>
      <c r="LA124" s="33"/>
      <c r="LB124" s="33"/>
      <c r="LC124" s="33"/>
      <c r="LD124" s="33"/>
      <c r="LE124" s="33"/>
      <c r="LF124" s="33"/>
      <c r="LG124" s="33"/>
      <c r="LH124" s="33"/>
      <c r="LI124" s="33"/>
      <c r="LJ124" s="33"/>
      <c r="LK124" s="33"/>
      <c r="LL124" s="33"/>
      <c r="LM124" s="33"/>
      <c r="LN124" s="33"/>
      <c r="LO124" s="33"/>
      <c r="LP124" s="44"/>
      <c r="LQ124" s="44"/>
      <c r="LR124" s="44"/>
      <c r="LS124" s="44"/>
      <c r="LT124" s="44"/>
      <c r="LU124" s="44"/>
      <c r="LV124" s="44"/>
    </row>
    <row r="125" spans="1:334" x14ac:dyDescent="0.2">
      <c r="A125" s="1" t="s">
        <v>8303</v>
      </c>
      <c r="D125" s="1" t="s">
        <v>8290</v>
      </c>
      <c r="E125" s="1" t="s">
        <v>8099</v>
      </c>
      <c r="F125" s="1" t="s">
        <v>8291</v>
      </c>
      <c r="H125" s="1" t="s">
        <v>8304</v>
      </c>
      <c r="I125" s="1">
        <v>3</v>
      </c>
      <c r="J125" s="1" t="s">
        <v>8293</v>
      </c>
      <c r="K125" s="1">
        <v>2000</v>
      </c>
      <c r="L125" s="1" t="s">
        <v>8294</v>
      </c>
      <c r="M125" s="1" t="s">
        <v>7657</v>
      </c>
      <c r="N125" s="17" t="s">
        <v>7945</v>
      </c>
      <c r="O125" s="33"/>
      <c r="P125" s="33"/>
      <c r="Q125" s="33"/>
      <c r="R125" s="33"/>
      <c r="S125" s="33">
        <v>9.33</v>
      </c>
      <c r="T125" s="33"/>
      <c r="U125" s="33">
        <v>6.25</v>
      </c>
      <c r="V125" s="33"/>
      <c r="W125" s="33"/>
      <c r="X125" s="33"/>
      <c r="Y125" s="33"/>
      <c r="Z125" s="33">
        <v>22.123480000000001</v>
      </c>
      <c r="AA125" s="33"/>
      <c r="AB125" s="33"/>
      <c r="AC125" s="33">
        <v>0.68002499999999999</v>
      </c>
      <c r="AD125" s="33"/>
      <c r="AE125" s="33"/>
      <c r="AF125" s="33">
        <v>61.51</v>
      </c>
      <c r="AG125" s="33"/>
      <c r="AH125" s="33"/>
      <c r="AI125" s="33"/>
      <c r="AJ125" s="33"/>
      <c r="AK125" s="33"/>
      <c r="AL125" s="33"/>
      <c r="AM125" s="33"/>
      <c r="AN125" s="33"/>
      <c r="AO125" s="33"/>
      <c r="AP125" s="33">
        <v>32.632133000000003</v>
      </c>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v>3.5542639999999999</v>
      </c>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c r="IV125" s="33"/>
      <c r="IW125" s="33"/>
      <c r="IX125" s="33"/>
      <c r="IY125" s="33"/>
      <c r="IZ125" s="33"/>
      <c r="JA125" s="33"/>
      <c r="JB125" s="33"/>
      <c r="JC125" s="33"/>
      <c r="JD125" s="33"/>
      <c r="JE125" s="33"/>
      <c r="JF125" s="33"/>
      <c r="JG125" s="33"/>
      <c r="JH125" s="33"/>
      <c r="JI125" s="33"/>
      <c r="JJ125" s="33"/>
      <c r="JK125" s="33"/>
      <c r="JL125" s="33"/>
      <c r="JM125" s="33"/>
      <c r="JN125" s="33"/>
      <c r="JO125" s="33"/>
      <c r="JP125" s="33"/>
      <c r="JQ125" s="33"/>
      <c r="JR125" s="33"/>
      <c r="KZ125" s="33"/>
      <c r="LA125" s="33"/>
      <c r="LB125" s="33"/>
      <c r="LC125" s="33"/>
      <c r="LD125" s="33"/>
      <c r="LE125" s="33"/>
      <c r="LF125" s="33"/>
      <c r="LG125" s="33"/>
      <c r="LH125" s="33"/>
      <c r="LI125" s="33"/>
      <c r="LJ125" s="33"/>
      <c r="LK125" s="33"/>
      <c r="LL125" s="33"/>
      <c r="LM125" s="33"/>
      <c r="LN125" s="33"/>
      <c r="LO125" s="33"/>
      <c r="LP125" s="44"/>
      <c r="LQ125" s="44"/>
      <c r="LR125" s="44"/>
      <c r="LS125" s="44"/>
      <c r="LT125" s="44"/>
      <c r="LU125" s="44"/>
      <c r="LV125" s="44"/>
    </row>
    <row r="126" spans="1:334" x14ac:dyDescent="0.2">
      <c r="A126" s="1" t="s">
        <v>8305</v>
      </c>
      <c r="D126" s="1" t="s">
        <v>8290</v>
      </c>
      <c r="E126" s="1" t="s">
        <v>8099</v>
      </c>
      <c r="F126" s="1" t="s">
        <v>8291</v>
      </c>
      <c r="H126" s="1" t="s">
        <v>8306</v>
      </c>
      <c r="I126" s="1">
        <v>3</v>
      </c>
      <c r="J126" s="1" t="s">
        <v>8293</v>
      </c>
      <c r="K126" s="1">
        <v>2000</v>
      </c>
      <c r="L126" s="1" t="s">
        <v>8294</v>
      </c>
      <c r="M126" s="1" t="s">
        <v>7657</v>
      </c>
      <c r="N126" s="17" t="s">
        <v>7945</v>
      </c>
      <c r="O126" s="33"/>
      <c r="P126" s="33"/>
      <c r="Q126" s="33"/>
      <c r="R126" s="33"/>
      <c r="S126" s="33">
        <v>8.93</v>
      </c>
      <c r="T126" s="33"/>
      <c r="U126" s="33">
        <v>6.25</v>
      </c>
      <c r="V126" s="33"/>
      <c r="W126" s="33"/>
      <c r="X126" s="33"/>
      <c r="Y126" s="33"/>
      <c r="Z126" s="33">
        <v>23.942302999999995</v>
      </c>
      <c r="AA126" s="33"/>
      <c r="AB126" s="33"/>
      <c r="AC126" s="33">
        <v>0.68302499999999999</v>
      </c>
      <c r="AD126" s="33"/>
      <c r="AE126" s="33"/>
      <c r="AF126" s="33">
        <v>59.58</v>
      </c>
      <c r="AG126" s="33"/>
      <c r="AH126" s="33"/>
      <c r="AI126" s="33"/>
      <c r="AJ126" s="33"/>
      <c r="AK126" s="33"/>
      <c r="AL126" s="33"/>
      <c r="AM126" s="33"/>
      <c r="AN126" s="33"/>
      <c r="AO126" s="33"/>
      <c r="AP126" s="33">
        <v>33.122158999999996</v>
      </c>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v>3.7338699999999996</v>
      </c>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c r="IV126" s="33"/>
      <c r="IW126" s="33"/>
      <c r="IX126" s="33"/>
      <c r="IY126" s="33"/>
      <c r="IZ126" s="33"/>
      <c r="JA126" s="33"/>
      <c r="JB126" s="33"/>
      <c r="JC126" s="33"/>
      <c r="JD126" s="33"/>
      <c r="JE126" s="33"/>
      <c r="JF126" s="33"/>
      <c r="JG126" s="33"/>
      <c r="JH126" s="33"/>
      <c r="JI126" s="33"/>
      <c r="JJ126" s="33"/>
      <c r="JK126" s="33"/>
      <c r="JL126" s="33"/>
      <c r="JM126" s="33"/>
      <c r="JN126" s="33"/>
      <c r="JO126" s="33"/>
      <c r="JP126" s="33"/>
      <c r="JQ126" s="33"/>
      <c r="JR126" s="33"/>
      <c r="KZ126" s="33"/>
      <c r="LA126" s="33"/>
      <c r="LB126" s="33"/>
      <c r="LC126" s="33"/>
      <c r="LD126" s="33"/>
      <c r="LE126" s="33"/>
      <c r="LF126" s="33"/>
      <c r="LG126" s="33"/>
      <c r="LH126" s="33"/>
      <c r="LI126" s="33"/>
      <c r="LJ126" s="33"/>
      <c r="LK126" s="33"/>
      <c r="LL126" s="33"/>
      <c r="LM126" s="33"/>
      <c r="LN126" s="33"/>
      <c r="LO126" s="33"/>
      <c r="LP126" s="44"/>
      <c r="LQ126" s="44"/>
      <c r="LR126" s="44"/>
      <c r="LS126" s="44"/>
      <c r="LT126" s="44"/>
      <c r="LU126" s="44"/>
      <c r="LV126" s="44"/>
    </row>
    <row r="127" spans="1:334" x14ac:dyDescent="0.2">
      <c r="A127" s="1" t="s">
        <v>8307</v>
      </c>
      <c r="D127" s="1" t="s">
        <v>8290</v>
      </c>
      <c r="E127" s="1" t="s">
        <v>8099</v>
      </c>
      <c r="F127" s="1" t="s">
        <v>8291</v>
      </c>
      <c r="H127" s="1" t="s">
        <v>8308</v>
      </c>
      <c r="I127" s="1">
        <v>3</v>
      </c>
      <c r="J127" s="1" t="s">
        <v>8293</v>
      </c>
      <c r="K127" s="1">
        <v>2000</v>
      </c>
      <c r="L127" s="1" t="s">
        <v>8294</v>
      </c>
      <c r="M127" s="1" t="s">
        <v>7657</v>
      </c>
      <c r="N127" s="17" t="s">
        <v>7945</v>
      </c>
      <c r="O127" s="33"/>
      <c r="P127" s="33"/>
      <c r="Q127" s="33"/>
      <c r="R127" s="33"/>
      <c r="S127" s="33">
        <v>8.66</v>
      </c>
      <c r="T127" s="33"/>
      <c r="U127" s="33">
        <v>6.25</v>
      </c>
      <c r="V127" s="33"/>
      <c r="W127" s="33"/>
      <c r="X127" s="33"/>
      <c r="Y127" s="33"/>
      <c r="Z127" s="33">
        <v>20.697644</v>
      </c>
      <c r="AA127" s="33"/>
      <c r="AB127" s="33"/>
      <c r="AC127" s="33">
        <v>0.68504999999999994</v>
      </c>
      <c r="AD127" s="33"/>
      <c r="AE127" s="33"/>
      <c r="AF127" s="33">
        <v>63.97</v>
      </c>
      <c r="AG127" s="33"/>
      <c r="AH127" s="33"/>
      <c r="AI127" s="33"/>
      <c r="AJ127" s="33"/>
      <c r="AK127" s="33"/>
      <c r="AL127" s="33"/>
      <c r="AM127" s="33"/>
      <c r="AN127" s="33"/>
      <c r="AO127" s="33"/>
      <c r="AP127" s="33">
        <v>44.181157999999996</v>
      </c>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v>3.3156420000000004</v>
      </c>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c r="IV127" s="33"/>
      <c r="IW127" s="33"/>
      <c r="IX127" s="33"/>
      <c r="IY127" s="33"/>
      <c r="IZ127" s="33"/>
      <c r="JA127" s="33"/>
      <c r="JB127" s="33"/>
      <c r="JC127" s="33"/>
      <c r="JD127" s="33"/>
      <c r="JE127" s="33"/>
      <c r="JF127" s="33"/>
      <c r="JG127" s="33"/>
      <c r="JH127" s="33"/>
      <c r="JI127" s="33"/>
      <c r="JJ127" s="33"/>
      <c r="JK127" s="33"/>
      <c r="JL127" s="33"/>
      <c r="JM127" s="33"/>
      <c r="JN127" s="33"/>
      <c r="JO127" s="33"/>
      <c r="JP127" s="33"/>
      <c r="JQ127" s="33"/>
      <c r="JR127" s="33"/>
      <c r="KZ127" s="33"/>
      <c r="LA127" s="33"/>
      <c r="LB127" s="33"/>
      <c r="LC127" s="33"/>
      <c r="LD127" s="33"/>
      <c r="LE127" s="33"/>
      <c r="LF127" s="33"/>
      <c r="LG127" s="33"/>
      <c r="LH127" s="33"/>
      <c r="LI127" s="33"/>
      <c r="LJ127" s="33"/>
      <c r="LK127" s="33"/>
      <c r="LL127" s="33"/>
      <c r="LM127" s="33"/>
      <c r="LN127" s="33"/>
      <c r="LO127" s="33"/>
      <c r="LP127" s="44"/>
      <c r="LQ127" s="44"/>
      <c r="LR127" s="44"/>
      <c r="LS127" s="44"/>
      <c r="LT127" s="44"/>
      <c r="LU127" s="44"/>
      <c r="LV127" s="44"/>
    </row>
    <row r="128" spans="1:334" x14ac:dyDescent="0.2">
      <c r="A128" s="1" t="s">
        <v>8309</v>
      </c>
      <c r="D128" s="1" t="s">
        <v>8290</v>
      </c>
      <c r="E128" s="1" t="s">
        <v>8099</v>
      </c>
      <c r="F128" s="1" t="s">
        <v>8291</v>
      </c>
      <c r="H128" s="1" t="s">
        <v>8310</v>
      </c>
      <c r="I128" s="1">
        <v>3</v>
      </c>
      <c r="J128" s="1" t="s">
        <v>8293</v>
      </c>
      <c r="K128" s="1">
        <v>2000</v>
      </c>
      <c r="L128" s="1" t="s">
        <v>8294</v>
      </c>
      <c r="M128" s="1" t="s">
        <v>7657</v>
      </c>
      <c r="N128" s="17" t="s">
        <v>7945</v>
      </c>
      <c r="O128" s="33"/>
      <c r="P128" s="33"/>
      <c r="Q128" s="33"/>
      <c r="R128" s="33"/>
      <c r="S128" s="33">
        <v>9.3000000000000007</v>
      </c>
      <c r="T128" s="33"/>
      <c r="U128" s="33">
        <v>6.25</v>
      </c>
      <c r="V128" s="33"/>
      <c r="W128" s="33"/>
      <c r="X128" s="33"/>
      <c r="Y128" s="33"/>
      <c r="Z128" s="33">
        <v>21.223800000000001</v>
      </c>
      <c r="AA128" s="33"/>
      <c r="AB128" s="33"/>
      <c r="AC128" s="33">
        <v>0.68025000000000002</v>
      </c>
      <c r="AD128" s="33"/>
      <c r="AE128" s="33"/>
      <c r="AF128" s="33">
        <v>62.38</v>
      </c>
      <c r="AG128" s="33"/>
      <c r="AH128" s="33"/>
      <c r="AI128" s="33"/>
      <c r="AJ128" s="33"/>
      <c r="AK128" s="33"/>
      <c r="AL128" s="33"/>
      <c r="AM128" s="33"/>
      <c r="AN128" s="33"/>
      <c r="AO128" s="33"/>
      <c r="AP128" s="33">
        <v>47.154930000000007</v>
      </c>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v>3.41032</v>
      </c>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c r="IV128" s="33"/>
      <c r="IW128" s="33"/>
      <c r="IX128" s="33"/>
      <c r="IY128" s="33"/>
      <c r="IZ128" s="33"/>
      <c r="JA128" s="33"/>
      <c r="JB128" s="33"/>
      <c r="JC128" s="33"/>
      <c r="JD128" s="33"/>
      <c r="JE128" s="33"/>
      <c r="JF128" s="33"/>
      <c r="JG128" s="33"/>
      <c r="JH128" s="33"/>
      <c r="JI128" s="33"/>
      <c r="JJ128" s="33"/>
      <c r="JK128" s="33"/>
      <c r="JL128" s="33"/>
      <c r="JM128" s="33"/>
      <c r="JN128" s="33"/>
      <c r="JO128" s="33"/>
      <c r="JP128" s="33"/>
      <c r="JQ128" s="33"/>
      <c r="JR128" s="33"/>
      <c r="KZ128" s="33"/>
      <c r="LA128" s="33"/>
      <c r="LB128" s="33"/>
      <c r="LC128" s="33"/>
      <c r="LD128" s="33"/>
      <c r="LE128" s="33"/>
      <c r="LF128" s="33"/>
      <c r="LG128" s="33"/>
      <c r="LH128" s="33"/>
      <c r="LI128" s="33"/>
      <c r="LJ128" s="33"/>
      <c r="LK128" s="33"/>
      <c r="LL128" s="33"/>
      <c r="LM128" s="33"/>
      <c r="LN128" s="33"/>
      <c r="LO128" s="33"/>
      <c r="LP128" s="44"/>
      <c r="LQ128" s="44"/>
      <c r="LR128" s="44"/>
      <c r="LS128" s="44"/>
      <c r="LT128" s="44"/>
      <c r="LU128" s="44"/>
      <c r="LV128" s="44"/>
    </row>
    <row r="129" spans="1:334" x14ac:dyDescent="0.2">
      <c r="A129" s="1" t="s">
        <v>8311</v>
      </c>
      <c r="D129" s="1" t="s">
        <v>8290</v>
      </c>
      <c r="E129" s="1" t="s">
        <v>8099</v>
      </c>
      <c r="F129" s="1" t="s">
        <v>8291</v>
      </c>
      <c r="H129" s="1" t="s">
        <v>8312</v>
      </c>
      <c r="I129" s="1">
        <v>3</v>
      </c>
      <c r="J129" s="1" t="s">
        <v>8293</v>
      </c>
      <c r="K129" s="1">
        <v>2000</v>
      </c>
      <c r="L129" s="1" t="s">
        <v>8294</v>
      </c>
      <c r="M129" s="1" t="s">
        <v>7657</v>
      </c>
      <c r="N129" s="17" t="s">
        <v>7945</v>
      </c>
      <c r="O129" s="33"/>
      <c r="P129" s="33"/>
      <c r="Q129" s="33"/>
      <c r="R129" s="33"/>
      <c r="S129" s="33">
        <v>9.1300000000000008</v>
      </c>
      <c r="T129" s="33"/>
      <c r="U129" s="33">
        <v>6.25</v>
      </c>
      <c r="V129" s="33"/>
      <c r="W129" s="33"/>
      <c r="X129" s="33"/>
      <c r="Y129" s="33"/>
      <c r="Z129" s="33">
        <v>23.044632</v>
      </c>
      <c r="AA129" s="33"/>
      <c r="AB129" s="33"/>
      <c r="AC129" s="33">
        <v>0.68152500000000005</v>
      </c>
      <c r="AD129" s="33"/>
      <c r="AE129" s="33"/>
      <c r="AF129" s="33">
        <v>60.55</v>
      </c>
      <c r="AG129" s="33"/>
      <c r="AH129" s="33"/>
      <c r="AI129" s="33"/>
      <c r="AJ129" s="33"/>
      <c r="AK129" s="33"/>
      <c r="AL129" s="33"/>
      <c r="AM129" s="33"/>
      <c r="AN129" s="33"/>
      <c r="AO129" s="33"/>
      <c r="AP129" s="33">
        <v>44.589909000000006</v>
      </c>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v>3.6348000000000003</v>
      </c>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c r="IV129" s="33"/>
      <c r="IW129" s="33"/>
      <c r="IX129" s="33"/>
      <c r="IY129" s="33"/>
      <c r="IZ129" s="33"/>
      <c r="JA129" s="33"/>
      <c r="JB129" s="33"/>
      <c r="JC129" s="33"/>
      <c r="JD129" s="33"/>
      <c r="JE129" s="33"/>
      <c r="JF129" s="33"/>
      <c r="JG129" s="33"/>
      <c r="JH129" s="33"/>
      <c r="JI129" s="33"/>
      <c r="JJ129" s="33"/>
      <c r="JK129" s="33"/>
      <c r="JL129" s="33"/>
      <c r="JM129" s="33"/>
      <c r="JN129" s="33"/>
      <c r="JO129" s="33"/>
      <c r="JP129" s="33"/>
      <c r="JQ129" s="33"/>
      <c r="JR129" s="33"/>
      <c r="KZ129" s="33"/>
      <c r="LA129" s="33"/>
      <c r="LB129" s="33"/>
      <c r="LC129" s="33"/>
      <c r="LD129" s="33"/>
      <c r="LE129" s="33"/>
      <c r="LF129" s="33"/>
      <c r="LG129" s="33"/>
      <c r="LH129" s="33"/>
      <c r="LI129" s="33"/>
      <c r="LJ129" s="33"/>
      <c r="LK129" s="33"/>
      <c r="LL129" s="33"/>
      <c r="LM129" s="33"/>
      <c r="LN129" s="33"/>
      <c r="LO129" s="33"/>
      <c r="LP129" s="44"/>
      <c r="LQ129" s="44"/>
      <c r="LR129" s="44"/>
      <c r="LS129" s="44"/>
      <c r="LT129" s="44"/>
      <c r="LU129" s="44"/>
      <c r="LV129" s="44"/>
    </row>
    <row r="130" spans="1:334" x14ac:dyDescent="0.2">
      <c r="A130" s="1" t="s">
        <v>8313</v>
      </c>
      <c r="D130" s="1" t="s">
        <v>8290</v>
      </c>
      <c r="E130" s="1" t="s">
        <v>8099</v>
      </c>
      <c r="F130" s="1" t="s">
        <v>8291</v>
      </c>
      <c r="H130" s="1" t="s">
        <v>8314</v>
      </c>
      <c r="I130" s="1">
        <v>3</v>
      </c>
      <c r="J130" s="1" t="s">
        <v>8293</v>
      </c>
      <c r="K130" s="1">
        <v>2000</v>
      </c>
      <c r="L130" s="1" t="s">
        <v>8294</v>
      </c>
      <c r="M130" s="1" t="s">
        <v>7657</v>
      </c>
      <c r="N130" s="17" t="s">
        <v>7945</v>
      </c>
      <c r="O130" s="33"/>
      <c r="P130" s="33"/>
      <c r="Q130" s="33"/>
      <c r="R130" s="33"/>
      <c r="S130" s="33">
        <v>8.5</v>
      </c>
      <c r="T130" s="33"/>
      <c r="U130" s="33">
        <v>6.25</v>
      </c>
      <c r="V130" s="33"/>
      <c r="W130" s="33"/>
      <c r="X130" s="33"/>
      <c r="Y130" s="33"/>
      <c r="Z130" s="33">
        <v>22.948199999999996</v>
      </c>
      <c r="AA130" s="33"/>
      <c r="AB130" s="33"/>
      <c r="AC130" s="33">
        <v>0.68625000000000003</v>
      </c>
      <c r="AD130" s="33"/>
      <c r="AE130" s="33"/>
      <c r="AF130" s="33">
        <v>61.2</v>
      </c>
      <c r="AG130" s="33"/>
      <c r="AH130" s="33"/>
      <c r="AI130" s="33"/>
      <c r="AJ130" s="33"/>
      <c r="AK130" s="33"/>
      <c r="AL130" s="33"/>
      <c r="AM130" s="33"/>
      <c r="AN130" s="33"/>
      <c r="AO130" s="33"/>
      <c r="AP130" s="33">
        <v>35.822249999999997</v>
      </c>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v>3.7057500000000001</v>
      </c>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c r="IV130" s="33"/>
      <c r="IW130" s="33"/>
      <c r="IX130" s="33"/>
      <c r="IY130" s="33"/>
      <c r="IZ130" s="33"/>
      <c r="JA130" s="33"/>
      <c r="JB130" s="33"/>
      <c r="JC130" s="33"/>
      <c r="JD130" s="33"/>
      <c r="JE130" s="33"/>
      <c r="JF130" s="33"/>
      <c r="JG130" s="33"/>
      <c r="JH130" s="33"/>
      <c r="JI130" s="33"/>
      <c r="JJ130" s="33"/>
      <c r="JK130" s="33"/>
      <c r="JL130" s="33"/>
      <c r="JM130" s="33"/>
      <c r="JN130" s="33"/>
      <c r="JO130" s="33"/>
      <c r="JP130" s="33"/>
      <c r="JQ130" s="33"/>
      <c r="JR130" s="33"/>
      <c r="KZ130" s="33"/>
      <c r="LA130" s="33"/>
      <c r="LB130" s="33"/>
      <c r="LC130" s="33"/>
      <c r="LD130" s="33"/>
      <c r="LE130" s="33"/>
      <c r="LF130" s="33"/>
      <c r="LG130" s="33"/>
      <c r="LH130" s="33"/>
      <c r="LI130" s="33"/>
      <c r="LJ130" s="33"/>
      <c r="LK130" s="33"/>
      <c r="LL130" s="33"/>
      <c r="LM130" s="33"/>
      <c r="LN130" s="33"/>
      <c r="LO130" s="33"/>
      <c r="LP130" s="44"/>
      <c r="LQ130" s="44"/>
      <c r="LR130" s="44"/>
      <c r="LS130" s="44"/>
      <c r="LT130" s="44"/>
      <c r="LU130" s="44"/>
      <c r="LV130" s="44"/>
    </row>
    <row r="131" spans="1:334" x14ac:dyDescent="0.2">
      <c r="A131" s="1" t="s">
        <v>8315</v>
      </c>
      <c r="D131" s="1" t="s">
        <v>8290</v>
      </c>
      <c r="E131" s="1" t="s">
        <v>8099</v>
      </c>
      <c r="F131" s="1" t="s">
        <v>8291</v>
      </c>
      <c r="H131" s="1" t="s">
        <v>8316</v>
      </c>
      <c r="I131" s="1">
        <v>3</v>
      </c>
      <c r="J131" s="1" t="s">
        <v>8293</v>
      </c>
      <c r="K131" s="1">
        <v>2000</v>
      </c>
      <c r="L131" s="1" t="s">
        <v>8294</v>
      </c>
      <c r="M131" s="1" t="s">
        <v>7657</v>
      </c>
      <c r="N131" s="17" t="s">
        <v>7945</v>
      </c>
      <c r="O131" s="33"/>
      <c r="P131" s="33"/>
      <c r="Q131" s="33"/>
      <c r="R131" s="33"/>
      <c r="S131" s="33">
        <v>8.6999999999999993</v>
      </c>
      <c r="T131" s="33"/>
      <c r="U131" s="33">
        <v>6.25</v>
      </c>
      <c r="V131" s="33"/>
      <c r="W131" s="33"/>
      <c r="X131" s="33"/>
      <c r="Y131" s="33"/>
      <c r="Z131" s="33">
        <v>21.01726</v>
      </c>
      <c r="AA131" s="33"/>
      <c r="AB131" s="33"/>
      <c r="AC131" s="33">
        <v>0.68474999999999997</v>
      </c>
      <c r="AD131" s="33"/>
      <c r="AE131" s="33"/>
      <c r="AF131" s="33">
        <v>63.38</v>
      </c>
      <c r="AG131" s="33"/>
      <c r="AH131" s="33"/>
      <c r="AI131" s="33"/>
      <c r="AJ131" s="33"/>
      <c r="AK131" s="33"/>
      <c r="AL131" s="33"/>
      <c r="AM131" s="33"/>
      <c r="AN131" s="33"/>
      <c r="AO131" s="33"/>
      <c r="AP131" s="33">
        <v>43.17577</v>
      </c>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v>3.3507099999999999</v>
      </c>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c r="IV131" s="33"/>
      <c r="IW131" s="33"/>
      <c r="IX131" s="33"/>
      <c r="IY131" s="33"/>
      <c r="IZ131" s="33"/>
      <c r="JA131" s="33"/>
      <c r="JB131" s="33"/>
      <c r="JC131" s="33"/>
      <c r="JD131" s="33"/>
      <c r="JE131" s="33"/>
      <c r="JF131" s="33"/>
      <c r="JG131" s="33"/>
      <c r="JH131" s="33"/>
      <c r="JI131" s="33"/>
      <c r="JJ131" s="33"/>
      <c r="JK131" s="33"/>
      <c r="JL131" s="33"/>
      <c r="JM131" s="33"/>
      <c r="JN131" s="33"/>
      <c r="JO131" s="33"/>
      <c r="JP131" s="33"/>
      <c r="JQ131" s="33"/>
      <c r="JR131" s="33"/>
      <c r="KZ131" s="33"/>
      <c r="LA131" s="33"/>
      <c r="LB131" s="33"/>
      <c r="LC131" s="33"/>
      <c r="LD131" s="33"/>
      <c r="LE131" s="33"/>
      <c r="LF131" s="33"/>
      <c r="LG131" s="33"/>
      <c r="LH131" s="33"/>
      <c r="LI131" s="33"/>
      <c r="LJ131" s="33"/>
      <c r="LK131" s="33"/>
      <c r="LL131" s="33"/>
      <c r="LM131" s="33"/>
      <c r="LN131" s="33"/>
      <c r="LO131" s="33"/>
      <c r="LP131" s="44"/>
      <c r="LQ131" s="44"/>
      <c r="LR131" s="44"/>
      <c r="LS131" s="44"/>
      <c r="LT131" s="44"/>
      <c r="LU131" s="44"/>
      <c r="LV131" s="44"/>
    </row>
    <row r="132" spans="1:334" x14ac:dyDescent="0.2">
      <c r="A132" s="1" t="s">
        <v>8317</v>
      </c>
      <c r="B132" s="1" t="s">
        <v>1001</v>
      </c>
      <c r="D132" s="1" t="s">
        <v>8318</v>
      </c>
      <c r="E132" s="1" t="s">
        <v>7</v>
      </c>
      <c r="F132" s="1" t="s">
        <v>8319</v>
      </c>
      <c r="H132" s="1" t="s">
        <v>8320</v>
      </c>
      <c r="J132" s="1" t="s">
        <v>8321</v>
      </c>
      <c r="K132" s="1">
        <v>1993</v>
      </c>
      <c r="L132" s="1" t="s">
        <v>8322</v>
      </c>
      <c r="M132" s="1" t="s">
        <v>7657</v>
      </c>
      <c r="N132" s="17" t="s">
        <v>7945</v>
      </c>
      <c r="O132" s="33"/>
      <c r="P132" s="33"/>
      <c r="Q132" s="33"/>
      <c r="R132" s="33"/>
      <c r="S132" s="33">
        <v>5.47</v>
      </c>
      <c r="T132" s="33">
        <v>94.5</v>
      </c>
      <c r="U132" s="33"/>
      <c r="V132" s="33"/>
      <c r="W132" s="33"/>
      <c r="X132" s="33"/>
      <c r="Y132" s="33"/>
      <c r="Z132" s="33">
        <v>23.6</v>
      </c>
      <c r="AA132" s="33"/>
      <c r="AB132" s="33"/>
      <c r="AC132" s="33"/>
      <c r="AD132" s="33">
        <v>9.35</v>
      </c>
      <c r="AE132" s="33"/>
      <c r="AF132" s="33">
        <v>54.4</v>
      </c>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v>3.16</v>
      </c>
      <c r="CP132" s="33">
        <v>3.88</v>
      </c>
      <c r="CQ132" s="33"/>
      <c r="CR132" s="33">
        <v>2.31</v>
      </c>
      <c r="CS132" s="33">
        <v>3.75</v>
      </c>
      <c r="CT132" s="33"/>
      <c r="CU132" s="33">
        <v>1908</v>
      </c>
      <c r="CV132" s="33">
        <v>132</v>
      </c>
      <c r="CW132" s="33">
        <v>2.31</v>
      </c>
      <c r="CX132" s="33" t="s">
        <v>9356</v>
      </c>
      <c r="CY132" s="33"/>
      <c r="CZ132" s="33"/>
      <c r="DA132" s="33">
        <v>4.28</v>
      </c>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c r="IV132" s="33"/>
      <c r="IW132" s="33"/>
      <c r="IX132" s="33"/>
      <c r="IY132" s="33"/>
      <c r="IZ132" s="33"/>
      <c r="JA132" s="33"/>
      <c r="JB132" s="33"/>
      <c r="JC132" s="33"/>
      <c r="JD132" s="33"/>
      <c r="JE132" s="33"/>
      <c r="JF132" s="33"/>
      <c r="JG132" s="33"/>
      <c r="JH132" s="33"/>
      <c r="JI132" s="33"/>
      <c r="JJ132" s="33"/>
      <c r="JK132" s="33"/>
      <c r="JL132" s="33"/>
      <c r="JM132" s="33"/>
      <c r="JN132" s="33"/>
      <c r="JO132" s="33"/>
      <c r="JP132" s="33"/>
      <c r="JQ132" s="33"/>
      <c r="JR132" s="33"/>
      <c r="JU132" s="42">
        <v>1505.68</v>
      </c>
      <c r="JV132" s="42">
        <v>993.56000000000006</v>
      </c>
      <c r="JX132" s="42">
        <v>2926.4000000000005</v>
      </c>
      <c r="JY132" s="42">
        <v>0</v>
      </c>
      <c r="KB132" s="42">
        <v>5050.3999999999996</v>
      </c>
      <c r="KC132" s="42">
        <v>1012.4400000000003</v>
      </c>
      <c r="KD132" s="42">
        <v>776.44</v>
      </c>
      <c r="KE132" s="42">
        <v>1253.1600000000001</v>
      </c>
      <c r="KF132" s="42">
        <v>2383.6</v>
      </c>
      <c r="KG132" s="42">
        <v>1095.04</v>
      </c>
      <c r="KH132" s="42">
        <v>134.52000000000001</v>
      </c>
      <c r="KJ132" s="42">
        <v>1302.7199999999998</v>
      </c>
      <c r="KK132" s="42">
        <v>1177.6400000000001</v>
      </c>
      <c r="KL132" s="42">
        <v>1231.92</v>
      </c>
      <c r="KN132" s="42">
        <v>800.04000000000008</v>
      </c>
      <c r="KP132" s="42">
        <v>132.16000000000003</v>
      </c>
      <c r="KQ132" s="42">
        <v>1701.56</v>
      </c>
      <c r="KZ132" s="33"/>
      <c r="LA132" s="33"/>
      <c r="LB132" s="33"/>
      <c r="LC132" s="33"/>
      <c r="LD132" s="33"/>
      <c r="LE132" s="33"/>
      <c r="LF132" s="33"/>
      <c r="LG132" s="33"/>
      <c r="LH132" s="33"/>
      <c r="LI132" s="33"/>
      <c r="LJ132" s="33"/>
      <c r="LK132" s="33"/>
      <c r="LL132" s="33"/>
      <c r="LM132" s="33"/>
      <c r="LN132" s="33"/>
      <c r="LO132" s="33"/>
      <c r="LP132" s="44"/>
      <c r="LQ132" s="44"/>
      <c r="LR132" s="44"/>
      <c r="LS132" s="44"/>
      <c r="LT132" s="44"/>
      <c r="LU132" s="44"/>
      <c r="LV132" s="44"/>
    </row>
    <row r="133" spans="1:334" x14ac:dyDescent="0.2">
      <c r="A133" s="1" t="s">
        <v>8323</v>
      </c>
      <c r="B133" s="1" t="s">
        <v>1001</v>
      </c>
      <c r="D133" s="1" t="s">
        <v>8318</v>
      </c>
      <c r="E133" s="1" t="s">
        <v>7</v>
      </c>
      <c r="F133" s="1" t="s">
        <v>8319</v>
      </c>
      <c r="H133" s="1" t="s">
        <v>8320</v>
      </c>
      <c r="J133" s="1" t="s">
        <v>8321</v>
      </c>
      <c r="K133" s="1">
        <v>1993</v>
      </c>
      <c r="L133" s="1" t="s">
        <v>8322</v>
      </c>
      <c r="M133" s="1" t="s">
        <v>7657</v>
      </c>
      <c r="N133" s="17" t="s">
        <v>7945</v>
      </c>
      <c r="O133" s="33"/>
      <c r="P133" s="33"/>
      <c r="Q133" s="33"/>
      <c r="R133" s="33"/>
      <c r="S133" s="33">
        <v>3.85</v>
      </c>
      <c r="T133" s="33">
        <v>96.2</v>
      </c>
      <c r="U133" s="33"/>
      <c r="V133" s="33"/>
      <c r="W133" s="33"/>
      <c r="X133" s="33"/>
      <c r="Y133" s="33"/>
      <c r="Z133" s="33">
        <v>24.3</v>
      </c>
      <c r="AA133" s="33"/>
      <c r="AB133" s="33"/>
      <c r="AC133" s="33"/>
      <c r="AD133" s="33">
        <v>8.35</v>
      </c>
      <c r="AE133" s="33"/>
      <c r="AF133" s="33">
        <v>60.5</v>
      </c>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v>2.97</v>
      </c>
      <c r="CP133" s="33">
        <v>4.08</v>
      </c>
      <c r="CQ133" s="33"/>
      <c r="CR133" s="33">
        <v>4.97</v>
      </c>
      <c r="CS133" s="33">
        <v>4.1399999999999997</v>
      </c>
      <c r="CT133" s="33"/>
      <c r="CU133" s="33">
        <v>2752</v>
      </c>
      <c r="CV133" s="33">
        <v>138</v>
      </c>
      <c r="CW133" s="33">
        <v>2.0099999999999998</v>
      </c>
      <c r="CX133" s="33" t="s">
        <v>9357</v>
      </c>
      <c r="CY133" s="33"/>
      <c r="CZ133" s="33"/>
      <c r="DA133" s="33">
        <v>4.7699999999999996</v>
      </c>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c r="IV133" s="33"/>
      <c r="IW133" s="33"/>
      <c r="IX133" s="33"/>
      <c r="IY133" s="33"/>
      <c r="IZ133" s="33"/>
      <c r="JA133" s="33"/>
      <c r="JB133" s="33"/>
      <c r="JC133" s="33"/>
      <c r="JD133" s="33"/>
      <c r="JE133" s="33"/>
      <c r="JF133" s="33"/>
      <c r="JG133" s="33"/>
      <c r="JH133" s="33"/>
      <c r="JI133" s="33"/>
      <c r="JJ133" s="33"/>
      <c r="JK133" s="33"/>
      <c r="JL133" s="33"/>
      <c r="JM133" s="33"/>
      <c r="JN133" s="33"/>
      <c r="JO133" s="33"/>
      <c r="JP133" s="33"/>
      <c r="JQ133" s="33"/>
      <c r="JR133" s="33"/>
      <c r="JU133" s="42">
        <v>1769.0400000000002</v>
      </c>
      <c r="JV133" s="42">
        <v>1042.47</v>
      </c>
      <c r="JX133" s="42">
        <v>3013.2</v>
      </c>
      <c r="JY133" s="42">
        <v>29.16</v>
      </c>
      <c r="KB133" s="42">
        <v>4932.8999999999996</v>
      </c>
      <c r="KC133" s="42">
        <v>1222.2900000000002</v>
      </c>
      <c r="KD133" s="42">
        <v>823.7700000000001</v>
      </c>
      <c r="KE133" s="42">
        <v>1178.55</v>
      </c>
      <c r="KF133" s="42">
        <v>2238.0300000000002</v>
      </c>
      <c r="KG133" s="42">
        <v>998.73</v>
      </c>
      <c r="KH133" s="42">
        <v>167.67</v>
      </c>
      <c r="KJ133" s="42">
        <v>1176.1200000000001</v>
      </c>
      <c r="KK133" s="42">
        <v>1431.27</v>
      </c>
      <c r="KL133" s="42">
        <v>1440.99</v>
      </c>
      <c r="KN133" s="42">
        <v>940.41000000000008</v>
      </c>
      <c r="KP133" s="42">
        <v>123.93</v>
      </c>
      <c r="KQ133" s="42">
        <v>1759.3200000000002</v>
      </c>
      <c r="KZ133" s="33"/>
      <c r="LA133" s="33"/>
      <c r="LB133" s="33"/>
      <c r="LC133" s="33"/>
      <c r="LD133" s="33"/>
      <c r="LE133" s="33"/>
      <c r="LF133" s="33"/>
      <c r="LG133" s="33"/>
      <c r="LH133" s="33"/>
      <c r="LI133" s="33"/>
      <c r="LJ133" s="33"/>
      <c r="LK133" s="33"/>
      <c r="LL133" s="33"/>
      <c r="LM133" s="33"/>
      <c r="LN133" s="33"/>
      <c r="LO133" s="33"/>
      <c r="LP133" s="44"/>
      <c r="LQ133" s="44"/>
      <c r="LR133" s="44"/>
      <c r="LS133" s="44"/>
      <c r="LT133" s="44"/>
      <c r="LU133" s="44"/>
      <c r="LV133" s="44"/>
    </row>
    <row r="134" spans="1:334" x14ac:dyDescent="0.2">
      <c r="A134" s="1" t="s">
        <v>8324</v>
      </c>
      <c r="B134" s="1" t="s">
        <v>1001</v>
      </c>
      <c r="D134" s="1" t="s">
        <v>8318</v>
      </c>
      <c r="E134" s="1" t="s">
        <v>7</v>
      </c>
      <c r="F134" s="1" t="s">
        <v>8319</v>
      </c>
      <c r="H134" s="1" t="s">
        <v>8325</v>
      </c>
      <c r="J134" s="1" t="s">
        <v>8321</v>
      </c>
      <c r="K134" s="1">
        <v>1993</v>
      </c>
      <c r="L134" s="1" t="s">
        <v>8322</v>
      </c>
      <c r="M134" s="1" t="s">
        <v>7657</v>
      </c>
      <c r="N134" s="17" t="s">
        <v>7945</v>
      </c>
      <c r="O134" s="33"/>
      <c r="P134" s="33"/>
      <c r="Q134" s="33"/>
      <c r="R134" s="33"/>
      <c r="S134" s="33">
        <v>3.12</v>
      </c>
      <c r="T134" s="33">
        <v>96.9</v>
      </c>
      <c r="U134" s="33"/>
      <c r="V134" s="33"/>
      <c r="W134" s="33"/>
      <c r="X134" s="33"/>
      <c r="Y134" s="33"/>
      <c r="Z134" s="33">
        <v>27.2</v>
      </c>
      <c r="AA134" s="33"/>
      <c r="AB134" s="33"/>
      <c r="AC134" s="33"/>
      <c r="AD134" s="33">
        <v>9.4700000000000006</v>
      </c>
      <c r="AE134" s="33"/>
      <c r="AF134" s="33">
        <v>57.4</v>
      </c>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v>2.77</v>
      </c>
      <c r="CP134" s="33">
        <v>3.45</v>
      </c>
      <c r="CQ134" s="33"/>
      <c r="CR134" s="33">
        <v>1.18</v>
      </c>
      <c r="CS134" s="33">
        <v>2.72</v>
      </c>
      <c r="CT134" s="33"/>
      <c r="CU134" s="33">
        <v>1171</v>
      </c>
      <c r="CV134" s="33">
        <v>138</v>
      </c>
      <c r="CW134" s="33">
        <v>1.23</v>
      </c>
      <c r="CX134" s="33" t="s">
        <v>9358</v>
      </c>
      <c r="CY134" s="33"/>
      <c r="CZ134" s="33"/>
      <c r="DA134" s="33">
        <v>3.22</v>
      </c>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c r="IV134" s="33"/>
      <c r="IW134" s="33"/>
      <c r="IX134" s="33"/>
      <c r="IY134" s="33"/>
      <c r="IZ134" s="33"/>
      <c r="JA134" s="33"/>
      <c r="JB134" s="33"/>
      <c r="JC134" s="33"/>
      <c r="JD134" s="33"/>
      <c r="JE134" s="33"/>
      <c r="JF134" s="33"/>
      <c r="JG134" s="33"/>
      <c r="JH134" s="33"/>
      <c r="JI134" s="33"/>
      <c r="JJ134" s="33"/>
      <c r="JK134" s="33"/>
      <c r="JL134" s="33"/>
      <c r="JM134" s="33"/>
      <c r="JN134" s="33"/>
      <c r="JO134" s="33"/>
      <c r="JP134" s="33"/>
      <c r="JQ134" s="33"/>
      <c r="JR134" s="33"/>
      <c r="JU134" s="42">
        <v>1803.36</v>
      </c>
      <c r="JV134" s="42">
        <v>1172.3199999999997</v>
      </c>
      <c r="JX134" s="42">
        <v>3345.6</v>
      </c>
      <c r="JY134" s="42">
        <v>32.639999999999993</v>
      </c>
      <c r="KB134" s="42">
        <v>5956.7999999999993</v>
      </c>
      <c r="KC134" s="42">
        <v>1243.04</v>
      </c>
      <c r="KD134" s="42">
        <v>927.51999999999987</v>
      </c>
      <c r="KE134" s="42">
        <v>1449.76</v>
      </c>
      <c r="KF134" s="42">
        <v>2747.2</v>
      </c>
      <c r="KG134" s="42">
        <v>1136.9599999999998</v>
      </c>
      <c r="KH134" s="42">
        <v>0</v>
      </c>
      <c r="KJ134" s="42">
        <v>1460.6399999999999</v>
      </c>
      <c r="KK134" s="42">
        <v>1457.92</v>
      </c>
      <c r="KL134" s="42">
        <v>1433.44</v>
      </c>
      <c r="KN134" s="42">
        <v>883.99999999999989</v>
      </c>
      <c r="KP134" s="42">
        <v>51.680000000000007</v>
      </c>
      <c r="KQ134" s="42">
        <v>2075.3599999999997</v>
      </c>
      <c r="KZ134" s="33"/>
      <c r="LA134" s="33"/>
      <c r="LB134" s="33"/>
      <c r="LC134" s="33"/>
      <c r="LD134" s="33"/>
      <c r="LE134" s="33"/>
      <c r="LF134" s="33"/>
      <c r="LG134" s="33"/>
      <c r="LH134" s="33"/>
      <c r="LI134" s="33"/>
      <c r="LJ134" s="33"/>
      <c r="LK134" s="33"/>
      <c r="LL134" s="33"/>
      <c r="LM134" s="33"/>
      <c r="LN134" s="33"/>
      <c r="LO134" s="33"/>
      <c r="LP134" s="44"/>
      <c r="LQ134" s="44"/>
      <c r="LR134" s="44"/>
      <c r="LS134" s="44"/>
      <c r="LT134" s="44"/>
      <c r="LU134" s="44"/>
      <c r="LV134" s="44"/>
    </row>
    <row r="135" spans="1:334" x14ac:dyDescent="0.2">
      <c r="A135" s="1" t="s">
        <v>8326</v>
      </c>
      <c r="B135" s="1" t="s">
        <v>1001</v>
      </c>
      <c r="D135" s="1" t="s">
        <v>8318</v>
      </c>
      <c r="E135" s="1" t="s">
        <v>7</v>
      </c>
      <c r="F135" s="1" t="s">
        <v>8319</v>
      </c>
      <c r="H135" s="1" t="s">
        <v>8327</v>
      </c>
      <c r="J135" s="1" t="s">
        <v>8321</v>
      </c>
      <c r="K135" s="1">
        <v>1993</v>
      </c>
      <c r="L135" s="1" t="s">
        <v>8322</v>
      </c>
      <c r="M135" s="1" t="s">
        <v>7657</v>
      </c>
      <c r="N135" s="17" t="s">
        <v>7945</v>
      </c>
      <c r="O135" s="33"/>
      <c r="P135" s="33"/>
      <c r="Q135" s="33"/>
      <c r="R135" s="33"/>
      <c r="S135" s="33">
        <v>2.0699999999999998</v>
      </c>
      <c r="T135" s="33">
        <v>97.9</v>
      </c>
      <c r="U135" s="33"/>
      <c r="V135" s="33"/>
      <c r="W135" s="33"/>
      <c r="X135" s="33"/>
      <c r="Y135" s="33"/>
      <c r="Z135" s="33">
        <v>25.9</v>
      </c>
      <c r="AA135" s="33"/>
      <c r="AB135" s="33"/>
      <c r="AC135" s="33"/>
      <c r="AD135" s="33">
        <v>7.47</v>
      </c>
      <c r="AE135" s="33"/>
      <c r="AF135" s="33">
        <v>61.5</v>
      </c>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v>3.07</v>
      </c>
      <c r="CP135" s="33">
        <v>3.62</v>
      </c>
      <c r="CQ135" s="33"/>
      <c r="CR135" s="33">
        <v>1.17</v>
      </c>
      <c r="CS135" s="33">
        <v>4.1399999999999997</v>
      </c>
      <c r="CT135" s="33"/>
      <c r="CU135" s="33">
        <v>1908</v>
      </c>
      <c r="CV135" s="33">
        <v>137</v>
      </c>
      <c r="CW135" s="33">
        <v>1.97</v>
      </c>
      <c r="CX135" s="33" t="s">
        <v>9359</v>
      </c>
      <c r="CY135" s="33"/>
      <c r="CZ135" s="33"/>
      <c r="DA135" s="33">
        <v>4.54</v>
      </c>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c r="IV135" s="33"/>
      <c r="IW135" s="33"/>
      <c r="IX135" s="33"/>
      <c r="IY135" s="33"/>
      <c r="IZ135" s="33"/>
      <c r="JA135" s="33"/>
      <c r="JB135" s="33"/>
      <c r="JC135" s="33"/>
      <c r="JD135" s="33"/>
      <c r="JE135" s="33"/>
      <c r="JF135" s="33"/>
      <c r="JG135" s="33"/>
      <c r="JH135" s="33"/>
      <c r="JI135" s="33"/>
      <c r="JJ135" s="33"/>
      <c r="JK135" s="33"/>
      <c r="JL135" s="33"/>
      <c r="JM135" s="33"/>
      <c r="JN135" s="33"/>
      <c r="JO135" s="33"/>
      <c r="JP135" s="33"/>
      <c r="JQ135" s="33"/>
      <c r="JR135" s="33"/>
      <c r="JU135" s="42">
        <v>1888.1099999999997</v>
      </c>
      <c r="JV135" s="42">
        <v>1142.19</v>
      </c>
      <c r="JX135" s="42">
        <v>3056.2</v>
      </c>
      <c r="JY135" s="42">
        <v>0</v>
      </c>
      <c r="KB135" s="42">
        <v>5568.5</v>
      </c>
      <c r="KC135" s="42">
        <v>1507.3799999999999</v>
      </c>
      <c r="KD135" s="42">
        <v>849.51999999999987</v>
      </c>
      <c r="KE135" s="42">
        <v>883.19</v>
      </c>
      <c r="KF135" s="42">
        <v>1875.1599999999999</v>
      </c>
      <c r="KG135" s="42">
        <v>942.75999999999988</v>
      </c>
      <c r="KH135" s="42">
        <v>251.22999999999996</v>
      </c>
      <c r="KJ135" s="42">
        <v>1258.74</v>
      </c>
      <c r="KK135" s="42">
        <v>1675.7299999999998</v>
      </c>
      <c r="KL135" s="42">
        <v>1947.6799999999996</v>
      </c>
      <c r="KN135" s="42">
        <v>1235.4299999999998</v>
      </c>
      <c r="KP135" s="42">
        <v>176.12000000000003</v>
      </c>
      <c r="KQ135" s="42">
        <v>1642.06</v>
      </c>
      <c r="KZ135" s="33"/>
      <c r="LA135" s="33"/>
      <c r="LB135" s="33"/>
      <c r="LC135" s="33"/>
      <c r="LD135" s="33"/>
      <c r="LE135" s="33"/>
      <c r="LF135" s="33"/>
      <c r="LG135" s="33"/>
      <c r="LH135" s="33"/>
      <c r="LI135" s="33"/>
      <c r="LJ135" s="33"/>
      <c r="LK135" s="33"/>
      <c r="LL135" s="33"/>
      <c r="LM135" s="33"/>
      <c r="LN135" s="33"/>
      <c r="LO135" s="33"/>
      <c r="LP135" s="44"/>
      <c r="LQ135" s="44"/>
      <c r="LR135" s="44"/>
      <c r="LS135" s="44"/>
      <c r="LT135" s="44"/>
      <c r="LU135" s="44"/>
      <c r="LV135" s="44"/>
    </row>
    <row r="136" spans="1:334" x14ac:dyDescent="0.2">
      <c r="A136" s="1" t="s">
        <v>8328</v>
      </c>
      <c r="B136" s="1" t="s">
        <v>1001</v>
      </c>
      <c r="D136" s="1" t="s">
        <v>8318</v>
      </c>
      <c r="E136" s="1" t="s">
        <v>7</v>
      </c>
      <c r="F136" s="1" t="s">
        <v>8319</v>
      </c>
      <c r="H136" s="1" t="s">
        <v>8329</v>
      </c>
      <c r="J136" s="1" t="s">
        <v>8321</v>
      </c>
      <c r="K136" s="1">
        <v>1993</v>
      </c>
      <c r="L136" s="1" t="s">
        <v>8322</v>
      </c>
      <c r="M136" s="1" t="s">
        <v>7657</v>
      </c>
      <c r="N136" s="17" t="s">
        <v>7945</v>
      </c>
      <c r="O136" s="33"/>
      <c r="P136" s="33"/>
      <c r="Q136" s="33"/>
      <c r="R136" s="33"/>
      <c r="S136" s="33">
        <v>4.38</v>
      </c>
      <c r="T136" s="33">
        <v>95.6</v>
      </c>
      <c r="U136" s="33"/>
      <c r="V136" s="33"/>
      <c r="W136" s="33"/>
      <c r="X136" s="33"/>
      <c r="Y136" s="33"/>
      <c r="Z136" s="33">
        <v>23.4</v>
      </c>
      <c r="AA136" s="33"/>
      <c r="AB136" s="33"/>
      <c r="AC136" s="33"/>
      <c r="AD136" s="33">
        <v>7.93</v>
      </c>
      <c r="AE136" s="33"/>
      <c r="AF136" s="33">
        <v>61.4</v>
      </c>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v>2.91</v>
      </c>
      <c r="CP136" s="33">
        <v>3.66</v>
      </c>
      <c r="CQ136" s="33"/>
      <c r="CR136" s="33">
        <v>1.48</v>
      </c>
      <c r="CS136" s="33">
        <v>3.28</v>
      </c>
      <c r="CT136" s="33"/>
      <c r="CU136" s="33">
        <v>1639</v>
      </c>
      <c r="CV136" s="33">
        <v>137</v>
      </c>
      <c r="CW136" s="33">
        <v>1.48</v>
      </c>
      <c r="CX136" s="33" t="s">
        <v>9360</v>
      </c>
      <c r="CY136" s="33"/>
      <c r="CZ136" s="33"/>
      <c r="DA136" s="33">
        <v>3.28</v>
      </c>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c r="IV136" s="33"/>
      <c r="IW136" s="33"/>
      <c r="IX136" s="33"/>
      <c r="IY136" s="33"/>
      <c r="IZ136" s="33"/>
      <c r="JA136" s="33"/>
      <c r="JB136" s="33"/>
      <c r="JC136" s="33"/>
      <c r="JD136" s="33"/>
      <c r="JE136" s="33"/>
      <c r="JF136" s="33"/>
      <c r="JG136" s="33"/>
      <c r="JH136" s="33"/>
      <c r="JI136" s="33"/>
      <c r="JJ136" s="33"/>
      <c r="JK136" s="33"/>
      <c r="JL136" s="33"/>
      <c r="JM136" s="33"/>
      <c r="JN136" s="33"/>
      <c r="JO136" s="33"/>
      <c r="JP136" s="33"/>
      <c r="JQ136" s="33"/>
      <c r="JR136" s="33"/>
      <c r="JU136" s="42">
        <v>1602.9</v>
      </c>
      <c r="JV136" s="42">
        <v>985.13999999999987</v>
      </c>
      <c r="JX136" s="42">
        <v>2878.2000000000003</v>
      </c>
      <c r="JY136" s="42">
        <v>2.34</v>
      </c>
      <c r="KB136" s="42">
        <v>5031</v>
      </c>
      <c r="KC136" s="42">
        <v>1024.9199999999998</v>
      </c>
      <c r="KD136" s="42">
        <v>727.73999999999978</v>
      </c>
      <c r="KE136" s="42">
        <v>1205.1000000000001</v>
      </c>
      <c r="KF136" s="42">
        <v>2213.64</v>
      </c>
      <c r="KG136" s="42">
        <v>1340.82</v>
      </c>
      <c r="KH136" s="42">
        <v>11.7</v>
      </c>
      <c r="KJ136" s="42">
        <v>1347.84</v>
      </c>
      <c r="KK136" s="42">
        <v>1209.7799999999997</v>
      </c>
      <c r="KL136" s="42">
        <v>1151.2799999999997</v>
      </c>
      <c r="KN136" s="42">
        <v>765.18</v>
      </c>
      <c r="KP136" s="42">
        <v>198.89999999999998</v>
      </c>
      <c r="KQ136" s="42">
        <v>1623.9599999999998</v>
      </c>
      <c r="KZ136" s="33"/>
      <c r="LA136" s="33"/>
      <c r="LB136" s="33"/>
      <c r="LC136" s="33"/>
      <c r="LD136" s="33"/>
      <c r="LE136" s="33"/>
      <c r="LF136" s="33"/>
      <c r="LG136" s="33"/>
      <c r="LH136" s="33"/>
      <c r="LI136" s="33"/>
      <c r="LJ136" s="33"/>
      <c r="LK136" s="33"/>
      <c r="LL136" s="33"/>
      <c r="LM136" s="33"/>
      <c r="LN136" s="33"/>
      <c r="LO136" s="33"/>
      <c r="LP136" s="44"/>
      <c r="LQ136" s="44"/>
      <c r="LR136" s="44"/>
      <c r="LS136" s="44"/>
      <c r="LT136" s="44"/>
      <c r="LU136" s="44"/>
      <c r="LV136" s="44"/>
    </row>
    <row r="137" spans="1:334" x14ac:dyDescent="0.2">
      <c r="A137" s="1" t="s">
        <v>8330</v>
      </c>
      <c r="B137" s="1" t="s">
        <v>8331</v>
      </c>
      <c r="D137" s="1" t="s">
        <v>8332</v>
      </c>
      <c r="E137" s="1" t="s">
        <v>7966</v>
      </c>
      <c r="F137" s="1" t="s">
        <v>8319</v>
      </c>
      <c r="H137" s="1" t="s">
        <v>8333</v>
      </c>
      <c r="I137" s="1">
        <v>3</v>
      </c>
      <c r="J137" s="1" t="s">
        <v>8334</v>
      </c>
      <c r="K137" s="1">
        <v>1993</v>
      </c>
      <c r="L137" s="1" t="s">
        <v>8335</v>
      </c>
      <c r="M137" s="1" t="s">
        <v>7657</v>
      </c>
      <c r="N137" s="17" t="s">
        <v>7945</v>
      </c>
      <c r="O137" s="33"/>
      <c r="P137" s="33">
        <v>318.61719999999997</v>
      </c>
      <c r="Q137" s="33"/>
      <c r="R137" s="33"/>
      <c r="S137" s="33">
        <v>9.1999999999999993</v>
      </c>
      <c r="T137" s="33"/>
      <c r="U137" s="33">
        <v>6.25</v>
      </c>
      <c r="V137" s="33"/>
      <c r="W137" s="33"/>
      <c r="X137" s="33"/>
      <c r="Y137" s="33"/>
      <c r="Z137" s="33">
        <v>24</v>
      </c>
      <c r="AA137" s="33"/>
      <c r="AB137" s="33"/>
      <c r="AC137" s="33">
        <v>1.7</v>
      </c>
      <c r="AD137" s="33"/>
      <c r="AE137" s="33">
        <v>59.9</v>
      </c>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v>2.1</v>
      </c>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v>3.1</v>
      </c>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c r="IV137" s="33"/>
      <c r="IW137" s="33"/>
      <c r="IX137" s="33"/>
      <c r="IY137" s="33"/>
      <c r="IZ137" s="33"/>
      <c r="JA137" s="33"/>
      <c r="JB137" s="33"/>
      <c r="JC137" s="33"/>
      <c r="JD137" s="33"/>
      <c r="JE137" s="33"/>
      <c r="JF137" s="33"/>
      <c r="JG137" s="33"/>
      <c r="JH137" s="33"/>
      <c r="JI137" s="33"/>
      <c r="JJ137" s="33"/>
      <c r="JK137" s="33"/>
      <c r="JL137" s="33"/>
      <c r="JM137" s="33"/>
      <c r="JN137" s="33"/>
      <c r="JO137" s="33"/>
      <c r="JP137" s="33"/>
      <c r="JQ137" s="33"/>
      <c r="JR137" s="33"/>
      <c r="KZ137" s="33"/>
      <c r="LA137" s="33"/>
      <c r="LB137" s="33"/>
      <c r="LC137" s="33"/>
      <c r="LD137" s="33"/>
      <c r="LE137" s="33"/>
      <c r="LF137" s="33"/>
      <c r="LG137" s="33"/>
      <c r="LH137" s="33"/>
      <c r="LI137" s="33"/>
      <c r="LJ137" s="33"/>
      <c r="LK137" s="33"/>
      <c r="LL137" s="33"/>
      <c r="LM137" s="33"/>
      <c r="LN137" s="33"/>
      <c r="LO137" s="33"/>
      <c r="LP137" s="44"/>
      <c r="LQ137" s="44"/>
      <c r="LR137" s="44"/>
      <c r="LS137" s="44"/>
      <c r="LT137" s="44"/>
      <c r="LU137" s="44"/>
      <c r="LV137" s="44"/>
    </row>
    <row r="138" spans="1:334" x14ac:dyDescent="0.2">
      <c r="A138" s="1" t="s">
        <v>8336</v>
      </c>
      <c r="B138" s="1" t="s">
        <v>8331</v>
      </c>
      <c r="D138" s="1" t="s">
        <v>8337</v>
      </c>
      <c r="E138" s="1" t="s">
        <v>8338</v>
      </c>
      <c r="F138" s="1" t="s">
        <v>8319</v>
      </c>
      <c r="H138" s="1" t="s">
        <v>8333</v>
      </c>
      <c r="I138" s="1">
        <v>3</v>
      </c>
      <c r="J138" s="1" t="s">
        <v>8334</v>
      </c>
      <c r="K138" s="1">
        <v>1993</v>
      </c>
      <c r="L138" s="1" t="s">
        <v>8335</v>
      </c>
      <c r="M138" s="1" t="s">
        <v>7657</v>
      </c>
      <c r="N138" s="17" t="s">
        <v>7945</v>
      </c>
      <c r="O138" s="33"/>
      <c r="P138" s="33">
        <v>303.846</v>
      </c>
      <c r="Q138" s="33"/>
      <c r="R138" s="33"/>
      <c r="S138" s="33">
        <v>11</v>
      </c>
      <c r="T138" s="33"/>
      <c r="U138" s="33">
        <v>6.25</v>
      </c>
      <c r="V138" s="33"/>
      <c r="W138" s="33"/>
      <c r="X138" s="33"/>
      <c r="Y138" s="33"/>
      <c r="Z138" s="33">
        <v>24.9</v>
      </c>
      <c r="AA138" s="33"/>
      <c r="AB138" s="33"/>
      <c r="AC138" s="33">
        <v>1.4</v>
      </c>
      <c r="AD138" s="33"/>
      <c r="AE138" s="33">
        <v>57.3</v>
      </c>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v>2.2000000000000002</v>
      </c>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v>3.2</v>
      </c>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c r="IV138" s="33"/>
      <c r="IW138" s="33"/>
      <c r="IX138" s="33"/>
      <c r="IY138" s="33"/>
      <c r="IZ138" s="33"/>
      <c r="JA138" s="33"/>
      <c r="JB138" s="33"/>
      <c r="JC138" s="33"/>
      <c r="JD138" s="33"/>
      <c r="JE138" s="33"/>
      <c r="JF138" s="33"/>
      <c r="JG138" s="33"/>
      <c r="JH138" s="33"/>
      <c r="JI138" s="33"/>
      <c r="JJ138" s="33"/>
      <c r="JK138" s="33"/>
      <c r="JL138" s="33"/>
      <c r="JM138" s="33"/>
      <c r="JN138" s="33"/>
      <c r="JO138" s="33"/>
      <c r="JP138" s="33"/>
      <c r="JQ138" s="33"/>
      <c r="JR138" s="33"/>
      <c r="KZ138" s="33"/>
      <c r="LA138" s="33"/>
      <c r="LB138" s="33"/>
      <c r="LC138" s="33"/>
      <c r="LD138" s="33"/>
      <c r="LE138" s="33"/>
      <c r="LF138" s="33"/>
      <c r="LG138" s="33"/>
      <c r="LH138" s="33"/>
      <c r="LI138" s="33"/>
      <c r="LJ138" s="33"/>
      <c r="LK138" s="33"/>
      <c r="LL138" s="33"/>
      <c r="LM138" s="33"/>
      <c r="LN138" s="33"/>
      <c r="LO138" s="33"/>
      <c r="LP138" s="44"/>
      <c r="LQ138" s="44"/>
      <c r="LR138" s="44"/>
      <c r="LS138" s="44"/>
      <c r="LT138" s="44"/>
      <c r="LU138" s="44"/>
      <c r="LV138" s="44"/>
    </row>
    <row r="139" spans="1:334" x14ac:dyDescent="0.2">
      <c r="A139" s="1" t="s">
        <v>8339</v>
      </c>
      <c r="B139" s="1" t="s">
        <v>8331</v>
      </c>
      <c r="D139" s="1" t="s">
        <v>8340</v>
      </c>
      <c r="E139" s="1" t="s">
        <v>8338</v>
      </c>
      <c r="F139" s="1" t="s">
        <v>8319</v>
      </c>
      <c r="H139" s="1" t="s">
        <v>8333</v>
      </c>
      <c r="I139" s="1">
        <v>3</v>
      </c>
      <c r="J139" s="1" t="s">
        <v>8334</v>
      </c>
      <c r="K139" s="1">
        <v>1993</v>
      </c>
      <c r="L139" s="1" t="s">
        <v>8335</v>
      </c>
      <c r="M139" s="1" t="s">
        <v>7657</v>
      </c>
      <c r="N139" s="17" t="s">
        <v>7945</v>
      </c>
      <c r="O139" s="33"/>
      <c r="P139" s="33">
        <v>308.88869999999997</v>
      </c>
      <c r="Q139" s="33"/>
      <c r="R139" s="33"/>
      <c r="S139" s="33">
        <v>10.7</v>
      </c>
      <c r="T139" s="33"/>
      <c r="U139" s="33">
        <v>6.25</v>
      </c>
      <c r="V139" s="33"/>
      <c r="W139" s="33"/>
      <c r="X139" s="33"/>
      <c r="Y139" s="33"/>
      <c r="Z139" s="33">
        <v>24.6</v>
      </c>
      <c r="AA139" s="33"/>
      <c r="AB139" s="33"/>
      <c r="AC139" s="33">
        <v>1.9</v>
      </c>
      <c r="AD139" s="33"/>
      <c r="AE139" s="33">
        <v>57.6</v>
      </c>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v>2</v>
      </c>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v>3.2</v>
      </c>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c r="IV139" s="33"/>
      <c r="IW139" s="33"/>
      <c r="IX139" s="33"/>
      <c r="IY139" s="33"/>
      <c r="IZ139" s="33"/>
      <c r="JA139" s="33"/>
      <c r="JB139" s="33"/>
      <c r="JC139" s="33"/>
      <c r="JD139" s="33"/>
      <c r="JE139" s="33"/>
      <c r="JF139" s="33"/>
      <c r="JG139" s="33"/>
      <c r="JH139" s="33"/>
      <c r="JI139" s="33"/>
      <c r="JJ139" s="33"/>
      <c r="JK139" s="33"/>
      <c r="JL139" s="33"/>
      <c r="JM139" s="33"/>
      <c r="JN139" s="33"/>
      <c r="JO139" s="33"/>
      <c r="JP139" s="33"/>
      <c r="JQ139" s="33"/>
      <c r="JR139" s="33"/>
      <c r="KZ139" s="33"/>
      <c r="LA139" s="33"/>
      <c r="LB139" s="33"/>
      <c r="LC139" s="33"/>
      <c r="LD139" s="33"/>
      <c r="LE139" s="33"/>
      <c r="LF139" s="33"/>
      <c r="LG139" s="33"/>
      <c r="LH139" s="33"/>
      <c r="LI139" s="33"/>
      <c r="LJ139" s="33"/>
      <c r="LK139" s="33"/>
      <c r="LL139" s="33"/>
      <c r="LM139" s="33"/>
      <c r="LN139" s="33"/>
      <c r="LO139" s="33"/>
      <c r="LP139" s="44"/>
      <c r="LQ139" s="44"/>
      <c r="LR139" s="44"/>
      <c r="LS139" s="44"/>
      <c r="LT139" s="44"/>
      <c r="LU139" s="44"/>
      <c r="LV139" s="44"/>
    </row>
    <row r="140" spans="1:334" x14ac:dyDescent="0.2">
      <c r="A140" s="1" t="s">
        <v>8341</v>
      </c>
      <c r="B140" s="1" t="s">
        <v>8331</v>
      </c>
      <c r="D140" s="1" t="s">
        <v>8342</v>
      </c>
      <c r="E140" s="1" t="s">
        <v>8338</v>
      </c>
      <c r="F140" s="1" t="s">
        <v>8319</v>
      </c>
      <c r="H140" s="1" t="s">
        <v>8333</v>
      </c>
      <c r="I140" s="1">
        <v>3</v>
      </c>
      <c r="J140" s="1" t="s">
        <v>8334</v>
      </c>
      <c r="K140" s="1">
        <v>1993</v>
      </c>
      <c r="L140" s="1" t="s">
        <v>8335</v>
      </c>
      <c r="M140" s="1" t="s">
        <v>7657</v>
      </c>
      <c r="N140" s="17" t="s">
        <v>7945</v>
      </c>
      <c r="O140" s="33"/>
      <c r="P140" s="33">
        <v>309.73410000000001</v>
      </c>
      <c r="Q140" s="33"/>
      <c r="R140" s="33"/>
      <c r="S140" s="33">
        <v>10.3</v>
      </c>
      <c r="T140" s="33"/>
      <c r="U140" s="33">
        <v>6.25</v>
      </c>
      <c r="V140" s="33"/>
      <c r="W140" s="33"/>
      <c r="X140" s="33"/>
      <c r="Y140" s="33"/>
      <c r="Z140" s="33">
        <v>22.7</v>
      </c>
      <c r="AA140" s="33"/>
      <c r="AB140" s="33"/>
      <c r="AC140" s="33">
        <v>1.7</v>
      </c>
      <c r="AD140" s="33"/>
      <c r="AE140" s="33">
        <v>59.8</v>
      </c>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v>2.2999999999999998</v>
      </c>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v>3.2</v>
      </c>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c r="IV140" s="33"/>
      <c r="IW140" s="33"/>
      <c r="IX140" s="33"/>
      <c r="IY140" s="33"/>
      <c r="IZ140" s="33"/>
      <c r="JA140" s="33"/>
      <c r="JB140" s="33"/>
      <c r="JC140" s="33"/>
      <c r="JD140" s="33"/>
      <c r="JE140" s="33"/>
      <c r="JF140" s="33"/>
      <c r="JG140" s="33"/>
      <c r="JH140" s="33"/>
      <c r="JI140" s="33"/>
      <c r="JJ140" s="33"/>
      <c r="JK140" s="33"/>
      <c r="JL140" s="33"/>
      <c r="JM140" s="33"/>
      <c r="JN140" s="33"/>
      <c r="JO140" s="33"/>
      <c r="JP140" s="33"/>
      <c r="JQ140" s="33"/>
      <c r="JR140" s="33"/>
      <c r="KZ140" s="33"/>
      <c r="LA140" s="33"/>
      <c r="LB140" s="33"/>
      <c r="LC140" s="33"/>
      <c r="LD140" s="33"/>
      <c r="LE140" s="33"/>
      <c r="LF140" s="33"/>
      <c r="LG140" s="33"/>
      <c r="LH140" s="33"/>
      <c r="LI140" s="33"/>
      <c r="LJ140" s="33"/>
      <c r="LK140" s="33"/>
      <c r="LL140" s="33"/>
      <c r="LM140" s="33"/>
      <c r="LN140" s="33"/>
      <c r="LO140" s="33"/>
      <c r="LP140" s="44"/>
      <c r="LQ140" s="44"/>
      <c r="LR140" s="44"/>
      <c r="LS140" s="44"/>
      <c r="LT140" s="44"/>
      <c r="LU140" s="44"/>
      <c r="LV140" s="44"/>
    </row>
    <row r="141" spans="1:334" x14ac:dyDescent="0.2">
      <c r="A141" s="1" t="s">
        <v>8343</v>
      </c>
      <c r="B141" s="1" t="s">
        <v>8344</v>
      </c>
      <c r="C141" s="1" t="s">
        <v>8345</v>
      </c>
      <c r="D141" s="1" t="s">
        <v>8346</v>
      </c>
      <c r="E141" s="1" t="s">
        <v>7</v>
      </c>
      <c r="F141" s="1" t="s">
        <v>6268</v>
      </c>
      <c r="H141" s="1" t="s">
        <v>8347</v>
      </c>
      <c r="I141" s="1" t="s">
        <v>8348</v>
      </c>
      <c r="J141" s="1" t="s">
        <v>8349</v>
      </c>
      <c r="K141" s="1">
        <v>2010</v>
      </c>
      <c r="L141" s="1" t="s">
        <v>8350</v>
      </c>
      <c r="M141" s="1" t="s">
        <v>7657</v>
      </c>
      <c r="N141" s="17" t="s">
        <v>7945</v>
      </c>
      <c r="O141" s="33"/>
      <c r="P141" s="33"/>
      <c r="Q141" s="33"/>
      <c r="R141" s="33"/>
      <c r="S141" s="33"/>
      <c r="T141" s="33">
        <v>93.33</v>
      </c>
      <c r="U141" s="33">
        <v>6.25</v>
      </c>
      <c r="V141" s="33"/>
      <c r="W141" s="33"/>
      <c r="X141" s="33"/>
      <c r="Y141" s="33"/>
      <c r="Z141" s="33">
        <v>21.979215</v>
      </c>
      <c r="AA141" s="33"/>
      <c r="AB141" s="33">
        <v>1.287954</v>
      </c>
      <c r="AC141" s="33"/>
      <c r="AD141" s="33"/>
      <c r="AE141" s="33">
        <v>63.959048999999993</v>
      </c>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v>2.5479089999999998</v>
      </c>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v>3.5465399999999998</v>
      </c>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c r="IV141" s="33"/>
      <c r="IW141" s="33"/>
      <c r="IX141" s="33"/>
      <c r="IY141" s="33"/>
      <c r="IZ141" s="33"/>
      <c r="JA141" s="33"/>
      <c r="JB141" s="33"/>
      <c r="JC141" s="33"/>
      <c r="JD141" s="33"/>
      <c r="JE141" s="33"/>
      <c r="JF141" s="33"/>
      <c r="JG141" s="33"/>
      <c r="JH141" s="33"/>
      <c r="JI141" s="33"/>
      <c r="JJ141" s="33"/>
      <c r="JK141" s="33"/>
      <c r="JL141" s="33"/>
      <c r="JM141" s="33"/>
      <c r="JN141" s="33"/>
      <c r="JO141" s="33"/>
      <c r="JP141" s="33"/>
      <c r="JQ141" s="33"/>
      <c r="JR141" s="33"/>
      <c r="JU141" s="42">
        <v>914.6339999999999</v>
      </c>
      <c r="JV141" s="42">
        <v>1502.6130000000001</v>
      </c>
      <c r="JX141" s="42">
        <v>2491.9110000000001</v>
      </c>
      <c r="JY141" s="42">
        <v>233.32500000000002</v>
      </c>
      <c r="KB141" s="42">
        <v>3770.5320000000002</v>
      </c>
      <c r="KC141" s="42">
        <v>830.63699999999994</v>
      </c>
      <c r="KD141" s="42">
        <v>690.64199999999994</v>
      </c>
      <c r="KE141" s="42">
        <v>914.6339999999999</v>
      </c>
      <c r="KF141" s="42">
        <v>1670.607</v>
      </c>
      <c r="KG141" s="42">
        <v>1493.28</v>
      </c>
      <c r="KH141" s="42">
        <v>307.98900000000003</v>
      </c>
      <c r="KJ141" s="42">
        <v>1175.9580000000001</v>
      </c>
      <c r="KK141" s="42">
        <v>970.63199999999995</v>
      </c>
      <c r="KL141" s="42">
        <v>1063.9619999999998</v>
      </c>
      <c r="KN141" s="42">
        <v>821.30399999999997</v>
      </c>
      <c r="KO141" s="42">
        <v>223.99199999999999</v>
      </c>
      <c r="KP141" s="42">
        <v>653.30999999999983</v>
      </c>
      <c r="KQ141" s="42">
        <v>1073.2949999999998</v>
      </c>
      <c r="KT141" s="42">
        <v>541.31399999999996</v>
      </c>
      <c r="KU141" s="42">
        <v>9874.3140000000003</v>
      </c>
      <c r="KV141" s="42">
        <v>10928.943000000003</v>
      </c>
      <c r="KZ141" s="33"/>
      <c r="LA141" s="33"/>
      <c r="LB141" s="33"/>
      <c r="LC141" s="33"/>
      <c r="LD141" s="33"/>
      <c r="LE141" s="33"/>
      <c r="LF141" s="33"/>
      <c r="LG141" s="33"/>
      <c r="LH141" s="33"/>
      <c r="LI141" s="33"/>
      <c r="LJ141" s="33"/>
      <c r="LK141" s="33"/>
      <c r="LL141" s="33"/>
      <c r="LM141" s="33"/>
      <c r="LN141" s="33"/>
      <c r="LO141" s="33"/>
      <c r="LP141" s="44"/>
      <c r="LQ141" s="44"/>
      <c r="LR141" s="44"/>
      <c r="LS141" s="44"/>
      <c r="LT141" s="44"/>
      <c r="LU141" s="44"/>
      <c r="LV141" s="44"/>
    </row>
    <row r="142" spans="1:334" x14ac:dyDescent="0.2">
      <c r="A142" s="1" t="s">
        <v>8351</v>
      </c>
      <c r="B142" s="1" t="s">
        <v>8344</v>
      </c>
      <c r="C142" s="1" t="s">
        <v>8345</v>
      </c>
      <c r="D142" s="1" t="s">
        <v>8352</v>
      </c>
      <c r="E142" s="1" t="s">
        <v>8037</v>
      </c>
      <c r="F142" s="1" t="s">
        <v>6268</v>
      </c>
      <c r="H142" s="1" t="s">
        <v>8353</v>
      </c>
      <c r="I142" s="1" t="s">
        <v>8348</v>
      </c>
      <c r="J142" s="1" t="s">
        <v>8349</v>
      </c>
      <c r="K142" s="1">
        <v>2010</v>
      </c>
      <c r="L142" s="1" t="s">
        <v>8350</v>
      </c>
      <c r="M142" s="1" t="s">
        <v>7657</v>
      </c>
      <c r="N142" s="17" t="s">
        <v>7945</v>
      </c>
      <c r="O142" s="33"/>
      <c r="P142" s="33"/>
      <c r="Q142" s="33"/>
      <c r="R142" s="33"/>
      <c r="S142" s="33"/>
      <c r="T142" s="33">
        <v>91.81</v>
      </c>
      <c r="U142" s="33">
        <v>6.25</v>
      </c>
      <c r="V142" s="33"/>
      <c r="W142" s="33"/>
      <c r="X142" s="33"/>
      <c r="Y142" s="33"/>
      <c r="Z142" s="33">
        <v>21.602893000000005</v>
      </c>
      <c r="AA142" s="33"/>
      <c r="AB142" s="33">
        <v>2.1942590000000002</v>
      </c>
      <c r="AC142" s="33"/>
      <c r="AD142" s="33"/>
      <c r="AE142" s="33">
        <v>63.789588000000002</v>
      </c>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v>3.0205490000000004</v>
      </c>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v>1.2027110000000001</v>
      </c>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c r="IV142" s="33"/>
      <c r="IW142" s="33"/>
      <c r="IX142" s="33"/>
      <c r="IY142" s="33"/>
      <c r="IZ142" s="33"/>
      <c r="JA142" s="33"/>
      <c r="JB142" s="33"/>
      <c r="JC142" s="33"/>
      <c r="JD142" s="33"/>
      <c r="JE142" s="33"/>
      <c r="JF142" s="33"/>
      <c r="JG142" s="33"/>
      <c r="JH142" s="33"/>
      <c r="JI142" s="33"/>
      <c r="JJ142" s="33"/>
      <c r="JK142" s="33"/>
      <c r="JL142" s="33"/>
      <c r="JM142" s="33"/>
      <c r="JN142" s="33"/>
      <c r="JO142" s="33"/>
      <c r="JP142" s="33"/>
      <c r="JQ142" s="33"/>
      <c r="JR142" s="33"/>
      <c r="KZ142" s="33"/>
      <c r="LA142" s="33"/>
      <c r="LB142" s="33"/>
      <c r="LC142" s="33"/>
      <c r="LD142" s="33"/>
      <c r="LE142" s="33"/>
      <c r="LF142" s="33"/>
      <c r="LG142" s="33"/>
      <c r="LH142" s="33"/>
      <c r="LI142" s="33"/>
      <c r="LJ142" s="33"/>
      <c r="LK142" s="33"/>
      <c r="LL142" s="33"/>
      <c r="LM142" s="33"/>
      <c r="LN142" s="33"/>
      <c r="LO142" s="33"/>
      <c r="LP142" s="44"/>
      <c r="LQ142" s="44"/>
      <c r="LR142" s="44"/>
      <c r="LS142" s="44"/>
      <c r="LT142" s="44"/>
      <c r="LU142" s="44"/>
      <c r="LV142" s="44"/>
    </row>
    <row r="143" spans="1:334" x14ac:dyDescent="0.2">
      <c r="A143" s="1" t="s">
        <v>8354</v>
      </c>
      <c r="B143" s="1" t="s">
        <v>8344</v>
      </c>
      <c r="C143" s="1" t="s">
        <v>8345</v>
      </c>
      <c r="D143" s="1" t="s">
        <v>8355</v>
      </c>
      <c r="E143" s="1" t="s">
        <v>8037</v>
      </c>
      <c r="F143" s="1" t="s">
        <v>6268</v>
      </c>
      <c r="H143" s="1" t="s">
        <v>8356</v>
      </c>
      <c r="I143" s="1" t="s">
        <v>8348</v>
      </c>
      <c r="J143" s="1" t="s">
        <v>8349</v>
      </c>
      <c r="K143" s="1">
        <v>2010</v>
      </c>
      <c r="L143" s="1" t="s">
        <v>8350</v>
      </c>
      <c r="M143" s="1" t="s">
        <v>7657</v>
      </c>
      <c r="N143" s="17" t="s">
        <v>7945</v>
      </c>
      <c r="O143" s="33"/>
      <c r="P143" s="33"/>
      <c r="Q143" s="33"/>
      <c r="R143" s="33"/>
      <c r="S143" s="33"/>
      <c r="T143" s="33">
        <v>87.9</v>
      </c>
      <c r="U143" s="33">
        <v>6.25</v>
      </c>
      <c r="V143" s="33"/>
      <c r="W143" s="33"/>
      <c r="X143" s="33"/>
      <c r="Y143" s="33"/>
      <c r="Z143" s="33">
        <v>20.551019999999998</v>
      </c>
      <c r="AA143" s="33"/>
      <c r="AB143" s="33">
        <v>1.86348</v>
      </c>
      <c r="AC143" s="33"/>
      <c r="AD143" s="33"/>
      <c r="AE143" s="33">
        <v>61.442100000000011</v>
      </c>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v>3.1204499999999999</v>
      </c>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v>1.04</v>
      </c>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c r="IV143" s="33"/>
      <c r="IW143" s="33"/>
      <c r="IX143" s="33"/>
      <c r="IY143" s="33"/>
      <c r="IZ143" s="33"/>
      <c r="JA143" s="33"/>
      <c r="JB143" s="33"/>
      <c r="JC143" s="33"/>
      <c r="JD143" s="33"/>
      <c r="JE143" s="33"/>
      <c r="JF143" s="33"/>
      <c r="JG143" s="33"/>
      <c r="JH143" s="33"/>
      <c r="JI143" s="33"/>
      <c r="JJ143" s="33"/>
      <c r="JK143" s="33"/>
      <c r="JL143" s="33"/>
      <c r="JM143" s="33"/>
      <c r="JN143" s="33"/>
      <c r="JO143" s="33"/>
      <c r="JP143" s="33"/>
      <c r="JQ143" s="33"/>
      <c r="JR143" s="33"/>
      <c r="JU143" s="42">
        <v>843.84</v>
      </c>
      <c r="JV143" s="42">
        <v>1432.77</v>
      </c>
      <c r="JX143" s="42">
        <v>2373.3000000000002</v>
      </c>
      <c r="JY143" s="42">
        <v>158.22</v>
      </c>
      <c r="KB143" s="42">
        <v>3568.74</v>
      </c>
      <c r="KC143" s="42">
        <v>755.94</v>
      </c>
      <c r="KD143" s="42">
        <v>685.62000000000012</v>
      </c>
      <c r="KE143" s="42">
        <v>940.53000000000009</v>
      </c>
      <c r="KF143" s="42">
        <v>1758</v>
      </c>
      <c r="KG143" s="42">
        <v>1459.14</v>
      </c>
      <c r="KH143" s="42">
        <v>290.07000000000005</v>
      </c>
      <c r="KJ143" s="42">
        <v>1256.97</v>
      </c>
      <c r="KK143" s="42">
        <v>861.42000000000007</v>
      </c>
      <c r="KL143" s="42">
        <v>1081.17</v>
      </c>
      <c r="KN143" s="42">
        <v>738.36</v>
      </c>
      <c r="KO143" s="42">
        <v>210.96</v>
      </c>
      <c r="KP143" s="42">
        <v>676.83</v>
      </c>
      <c r="KQ143" s="42">
        <v>1089.96</v>
      </c>
      <c r="KT143" s="42">
        <v>448.29</v>
      </c>
      <c r="KU143" s="42">
        <v>9862.380000000001</v>
      </c>
      <c r="KV143" s="42">
        <v>10319.460000000001</v>
      </c>
      <c r="KZ143" s="33"/>
      <c r="LA143" s="33"/>
      <c r="LB143" s="33"/>
      <c r="LC143" s="33"/>
      <c r="LD143" s="33"/>
      <c r="LE143" s="33"/>
      <c r="LF143" s="33"/>
      <c r="LG143" s="33"/>
      <c r="LH143" s="33"/>
      <c r="LI143" s="33"/>
      <c r="LJ143" s="33"/>
      <c r="LK143" s="33"/>
      <c r="LL143" s="33"/>
      <c r="LM143" s="33"/>
      <c r="LN143" s="33"/>
      <c r="LO143" s="33"/>
      <c r="LP143" s="44"/>
      <c r="LQ143" s="44"/>
      <c r="LR143" s="44"/>
      <c r="LS143" s="44"/>
      <c r="LT143" s="44"/>
      <c r="LU143" s="44"/>
      <c r="LV143" s="44"/>
    </row>
    <row r="144" spans="1:334" x14ac:dyDescent="0.2">
      <c r="A144" s="1" t="s">
        <v>8357</v>
      </c>
      <c r="B144" s="1" t="s">
        <v>8344</v>
      </c>
      <c r="C144" s="1" t="s">
        <v>8345</v>
      </c>
      <c r="D144" s="1" t="s">
        <v>8358</v>
      </c>
      <c r="E144" s="1" t="s">
        <v>8037</v>
      </c>
      <c r="F144" s="1" t="s">
        <v>6268</v>
      </c>
      <c r="H144" s="1" t="s">
        <v>8359</v>
      </c>
      <c r="I144" s="1" t="s">
        <v>8348</v>
      </c>
      <c r="J144" s="1" t="s">
        <v>8349</v>
      </c>
      <c r="K144" s="1">
        <v>2010</v>
      </c>
      <c r="L144" s="1" t="s">
        <v>8350</v>
      </c>
      <c r="M144" s="1" t="s">
        <v>7657</v>
      </c>
      <c r="N144" s="17" t="s">
        <v>7945</v>
      </c>
      <c r="O144" s="33"/>
      <c r="P144" s="33"/>
      <c r="Q144" s="33"/>
      <c r="R144" s="33"/>
      <c r="S144" s="33"/>
      <c r="T144" s="33">
        <v>87.84</v>
      </c>
      <c r="U144" s="33">
        <v>6.25</v>
      </c>
      <c r="V144" s="33"/>
      <c r="W144" s="33"/>
      <c r="X144" s="33"/>
      <c r="Y144" s="33"/>
      <c r="Z144" s="33">
        <v>20.967407999999999</v>
      </c>
      <c r="AA144" s="33"/>
      <c r="AB144" s="33">
        <v>1.44936</v>
      </c>
      <c r="AC144" s="33"/>
      <c r="AD144" s="33"/>
      <c r="AE144" s="33">
        <v>59.476463999999993</v>
      </c>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v>2.5737120000000004</v>
      </c>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v>3.3730560000000001</v>
      </c>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c r="IV144" s="33"/>
      <c r="IW144" s="33"/>
      <c r="IX144" s="33"/>
      <c r="IY144" s="33"/>
      <c r="IZ144" s="33"/>
      <c r="JA144" s="33"/>
      <c r="JB144" s="33"/>
      <c r="JC144" s="33"/>
      <c r="JD144" s="33"/>
      <c r="JE144" s="33"/>
      <c r="JF144" s="33"/>
      <c r="JG144" s="33"/>
      <c r="JH144" s="33"/>
      <c r="JI144" s="33"/>
      <c r="JJ144" s="33"/>
      <c r="JK144" s="33"/>
      <c r="JL144" s="33"/>
      <c r="JM144" s="33"/>
      <c r="JN144" s="33"/>
      <c r="JO144" s="33"/>
      <c r="JP144" s="33"/>
      <c r="JQ144" s="33"/>
      <c r="JR144" s="33"/>
      <c r="JU144" s="42">
        <v>966.24000000000012</v>
      </c>
      <c r="JV144" s="42">
        <v>1361.52</v>
      </c>
      <c r="JX144" s="42">
        <v>2802.096</v>
      </c>
      <c r="JY144" s="42">
        <v>202.03200000000001</v>
      </c>
      <c r="KB144" s="42">
        <v>3469.6800000000003</v>
      </c>
      <c r="KC144" s="42">
        <v>746.64</v>
      </c>
      <c r="KD144" s="42">
        <v>658.8</v>
      </c>
      <c r="KE144" s="42">
        <v>878.40000000000009</v>
      </c>
      <c r="KF144" s="42">
        <v>1589.9040000000002</v>
      </c>
      <c r="KG144" s="42">
        <v>1326.3840000000002</v>
      </c>
      <c r="KH144" s="42">
        <v>272.30399999999997</v>
      </c>
      <c r="KJ144" s="42">
        <v>1177.056</v>
      </c>
      <c r="KK144" s="42">
        <v>878.40000000000009</v>
      </c>
      <c r="KL144" s="42">
        <v>1010.16</v>
      </c>
      <c r="KN144" s="42">
        <v>737.85600000000011</v>
      </c>
      <c r="KO144" s="42">
        <v>219.60000000000002</v>
      </c>
      <c r="KP144" s="42">
        <v>650.01599999999996</v>
      </c>
      <c r="KQ144" s="42">
        <v>1036.5120000000002</v>
      </c>
      <c r="KT144" s="42">
        <v>474.33600000000001</v>
      </c>
      <c r="KU144" s="42">
        <v>9258.3359999999993</v>
      </c>
      <c r="KV144" s="42">
        <v>10725.264000000003</v>
      </c>
      <c r="KZ144" s="33"/>
      <c r="LA144" s="33"/>
      <c r="LB144" s="33"/>
      <c r="LC144" s="33"/>
      <c r="LD144" s="33"/>
      <c r="LE144" s="33"/>
      <c r="LF144" s="33"/>
      <c r="LG144" s="33"/>
      <c r="LH144" s="33"/>
      <c r="LI144" s="33"/>
      <c r="LJ144" s="33"/>
      <c r="LK144" s="33"/>
      <c r="LL144" s="33"/>
      <c r="LM144" s="33"/>
      <c r="LN144" s="33"/>
      <c r="LO144" s="33"/>
      <c r="LP144" s="44"/>
      <c r="LQ144" s="44"/>
      <c r="LR144" s="44"/>
      <c r="LS144" s="44"/>
      <c r="LT144" s="44"/>
      <c r="LU144" s="44"/>
      <c r="LV144" s="44"/>
    </row>
    <row r="145" spans="1:334" x14ac:dyDescent="0.2">
      <c r="A145" s="1" t="s">
        <v>8360</v>
      </c>
      <c r="B145" s="1" t="s">
        <v>8344</v>
      </c>
      <c r="C145" s="1" t="s">
        <v>8345</v>
      </c>
      <c r="D145" s="1" t="s">
        <v>8361</v>
      </c>
      <c r="E145" s="1" t="s">
        <v>11</v>
      </c>
      <c r="F145" s="1" t="s">
        <v>6268</v>
      </c>
      <c r="H145" s="1" t="s">
        <v>8362</v>
      </c>
      <c r="I145" s="1" t="s">
        <v>8348</v>
      </c>
      <c r="J145" s="1" t="s">
        <v>8349</v>
      </c>
      <c r="K145" s="1">
        <v>2010</v>
      </c>
      <c r="L145" s="1" t="s">
        <v>8350</v>
      </c>
      <c r="M145" s="1" t="s">
        <v>7657</v>
      </c>
      <c r="N145" s="17" t="s">
        <v>7945</v>
      </c>
      <c r="O145" s="33"/>
      <c r="P145" s="33"/>
      <c r="Q145" s="33"/>
      <c r="R145" s="33"/>
      <c r="S145" s="33"/>
      <c r="T145" s="33">
        <v>95.58</v>
      </c>
      <c r="U145" s="33">
        <v>6.25</v>
      </c>
      <c r="V145" s="33"/>
      <c r="W145" s="33"/>
      <c r="X145" s="33"/>
      <c r="Y145" s="33"/>
      <c r="Z145" s="33">
        <v>22.193676</v>
      </c>
      <c r="AA145" s="33"/>
      <c r="AB145" s="33">
        <v>1.3476779999999999</v>
      </c>
      <c r="AC145" s="33"/>
      <c r="AD145" s="33"/>
      <c r="AE145" s="33">
        <v>65.883294000000006</v>
      </c>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v>2.48508</v>
      </c>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v>3.6702719999999998</v>
      </c>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c r="IV145" s="33"/>
      <c r="IW145" s="33"/>
      <c r="IX145" s="33"/>
      <c r="IY145" s="33"/>
      <c r="IZ145" s="33"/>
      <c r="JA145" s="33"/>
      <c r="JB145" s="33"/>
      <c r="JC145" s="33"/>
      <c r="JD145" s="33"/>
      <c r="JE145" s="33"/>
      <c r="JF145" s="33"/>
      <c r="JG145" s="33"/>
      <c r="JH145" s="33"/>
      <c r="JI145" s="33"/>
      <c r="JJ145" s="33"/>
      <c r="JK145" s="33"/>
      <c r="JL145" s="33"/>
      <c r="JM145" s="33"/>
      <c r="JN145" s="33"/>
      <c r="JO145" s="33"/>
      <c r="JP145" s="33"/>
      <c r="JQ145" s="33"/>
      <c r="JR145" s="33"/>
      <c r="JU145" s="42">
        <v>936.68399999999997</v>
      </c>
      <c r="JV145" s="42">
        <v>1519.7220000000002</v>
      </c>
      <c r="JX145" s="42">
        <v>2523.3119999999999</v>
      </c>
      <c r="JY145" s="42">
        <v>229.392</v>
      </c>
      <c r="KB145" s="42">
        <v>3823.2</v>
      </c>
      <c r="KC145" s="42">
        <v>850.66199999999992</v>
      </c>
      <c r="KD145" s="42">
        <v>688.17600000000004</v>
      </c>
      <c r="KE145" s="42">
        <v>917.56799999999998</v>
      </c>
      <c r="KF145" s="42">
        <v>1710.8820000000001</v>
      </c>
      <c r="KG145" s="42">
        <v>1443.258</v>
      </c>
      <c r="KH145" s="42">
        <v>296.298</v>
      </c>
      <c r="KJ145" s="42">
        <v>1194.75</v>
      </c>
      <c r="KK145" s="42">
        <v>898.45199999999988</v>
      </c>
      <c r="KL145" s="42">
        <v>1060.9379999999999</v>
      </c>
      <c r="KN145" s="42">
        <v>812.43</v>
      </c>
      <c r="KO145" s="42">
        <v>210.27599999999998</v>
      </c>
      <c r="KP145" s="42">
        <v>678.61800000000005</v>
      </c>
      <c r="KQ145" s="42">
        <v>1089.6119999999999</v>
      </c>
      <c r="KT145" s="42">
        <v>525.68999999999994</v>
      </c>
      <c r="KU145" s="42">
        <v>9949.8780000000006</v>
      </c>
      <c r="KV145" s="42">
        <v>11001.258</v>
      </c>
      <c r="KZ145" s="33"/>
      <c r="LA145" s="33"/>
      <c r="LB145" s="33"/>
      <c r="LC145" s="33"/>
      <c r="LD145" s="33"/>
      <c r="LE145" s="33"/>
      <c r="LF145" s="33"/>
      <c r="LG145" s="33"/>
      <c r="LH145" s="33"/>
      <c r="LI145" s="33"/>
      <c r="LJ145" s="33"/>
      <c r="LK145" s="33"/>
      <c r="LL145" s="33"/>
      <c r="LM145" s="33"/>
      <c r="LN145" s="33"/>
      <c r="LO145" s="33"/>
      <c r="LP145" s="44"/>
      <c r="LQ145" s="44"/>
      <c r="LR145" s="44"/>
      <c r="LS145" s="44"/>
      <c r="LT145" s="44"/>
      <c r="LU145" s="44"/>
      <c r="LV145" s="44"/>
    </row>
    <row r="146" spans="1:334" x14ac:dyDescent="0.2">
      <c r="A146" s="1" t="s">
        <v>8363</v>
      </c>
      <c r="B146" s="1" t="s">
        <v>8344</v>
      </c>
      <c r="C146" s="1" t="s">
        <v>8345</v>
      </c>
      <c r="D146" s="1" t="s">
        <v>8364</v>
      </c>
      <c r="E146" s="1" t="s">
        <v>8099</v>
      </c>
      <c r="F146" s="1" t="s">
        <v>6268</v>
      </c>
      <c r="H146" s="1" t="s">
        <v>8347</v>
      </c>
      <c r="I146" s="1" t="s">
        <v>8348</v>
      </c>
      <c r="J146" s="1" t="s">
        <v>8349</v>
      </c>
      <c r="K146" s="1">
        <v>2010</v>
      </c>
      <c r="L146" s="1" t="s">
        <v>8350</v>
      </c>
      <c r="M146" s="1" t="s">
        <v>7657</v>
      </c>
      <c r="N146" s="17" t="s">
        <v>7945</v>
      </c>
      <c r="O146" s="33"/>
      <c r="P146" s="33"/>
      <c r="Q146" s="33"/>
      <c r="R146" s="33"/>
      <c r="S146" s="33"/>
      <c r="T146" s="33">
        <v>93.12</v>
      </c>
      <c r="U146" s="33">
        <v>6.25</v>
      </c>
      <c r="V146" s="33"/>
      <c r="W146" s="33"/>
      <c r="X146" s="33"/>
      <c r="Y146" s="33"/>
      <c r="Z146" s="33">
        <v>21.073056000000001</v>
      </c>
      <c r="AA146" s="33"/>
      <c r="AB146" s="33">
        <v>1.2012480000000001</v>
      </c>
      <c r="AC146" s="33"/>
      <c r="AD146" s="33"/>
      <c r="AE146" s="33">
        <v>65.975520000000003</v>
      </c>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v>1.6296000000000002</v>
      </c>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v>3.2405760000000003</v>
      </c>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c r="IV146" s="33"/>
      <c r="IW146" s="33"/>
      <c r="IX146" s="33"/>
      <c r="IY146" s="33"/>
      <c r="IZ146" s="33"/>
      <c r="JA146" s="33"/>
      <c r="JB146" s="33"/>
      <c r="JC146" s="33"/>
      <c r="JD146" s="33"/>
      <c r="JE146" s="33"/>
      <c r="JF146" s="33"/>
      <c r="JG146" s="33"/>
      <c r="JH146" s="33"/>
      <c r="JI146" s="33"/>
      <c r="JJ146" s="33"/>
      <c r="JK146" s="33"/>
      <c r="JL146" s="33"/>
      <c r="JM146" s="33"/>
      <c r="JN146" s="33"/>
      <c r="JO146" s="33"/>
      <c r="JP146" s="33"/>
      <c r="JQ146" s="33"/>
      <c r="JR146" s="33"/>
      <c r="KZ146" s="33"/>
      <c r="LA146" s="33"/>
      <c r="LB146" s="33"/>
      <c r="LC146" s="33"/>
      <c r="LD146" s="33"/>
      <c r="LE146" s="33"/>
      <c r="LF146" s="33"/>
      <c r="LG146" s="33"/>
      <c r="LH146" s="33"/>
      <c r="LI146" s="33"/>
      <c r="LJ146" s="33"/>
      <c r="LK146" s="33"/>
      <c r="LL146" s="33"/>
      <c r="LM146" s="33"/>
      <c r="LN146" s="33"/>
      <c r="LO146" s="33"/>
      <c r="LP146" s="44"/>
      <c r="LQ146" s="44"/>
      <c r="LR146" s="44"/>
      <c r="LS146" s="44"/>
      <c r="LT146" s="44"/>
      <c r="LU146" s="44"/>
      <c r="LV146" s="44"/>
    </row>
    <row r="147" spans="1:334" x14ac:dyDescent="0.2">
      <c r="A147" s="1" t="s">
        <v>8365</v>
      </c>
      <c r="B147" s="1" t="s">
        <v>8344</v>
      </c>
      <c r="C147" s="1" t="s">
        <v>8345</v>
      </c>
      <c r="D147" s="1" t="s">
        <v>8366</v>
      </c>
      <c r="E147" s="1" t="s">
        <v>8037</v>
      </c>
      <c r="F147" s="1" t="s">
        <v>6268</v>
      </c>
      <c r="H147" s="1" t="s">
        <v>8367</v>
      </c>
      <c r="I147" s="1" t="s">
        <v>8348</v>
      </c>
      <c r="J147" s="1" t="s">
        <v>8349</v>
      </c>
      <c r="K147" s="1">
        <v>2010</v>
      </c>
      <c r="L147" s="1" t="s">
        <v>8350</v>
      </c>
      <c r="M147" s="1" t="s">
        <v>7657</v>
      </c>
      <c r="N147" s="17" t="s">
        <v>7945</v>
      </c>
      <c r="O147" s="33"/>
      <c r="P147" s="33"/>
      <c r="Q147" s="33"/>
      <c r="R147" s="33"/>
      <c r="S147" s="33"/>
      <c r="T147" s="33">
        <v>90.94</v>
      </c>
      <c r="U147" s="33">
        <v>6.25</v>
      </c>
      <c r="V147" s="33"/>
      <c r="W147" s="33"/>
      <c r="X147" s="33"/>
      <c r="Y147" s="33"/>
      <c r="Z147" s="33">
        <v>20.82526</v>
      </c>
      <c r="AA147" s="33"/>
      <c r="AB147" s="33">
        <v>2.0188680000000003</v>
      </c>
      <c r="AC147" s="33"/>
      <c r="AD147" s="33"/>
      <c r="AE147" s="33">
        <v>64.521929999999998</v>
      </c>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v>1.7096719999999999</v>
      </c>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v>1.8551759999999999</v>
      </c>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c r="IV147" s="33"/>
      <c r="IW147" s="33"/>
      <c r="IX147" s="33"/>
      <c r="IY147" s="33"/>
      <c r="IZ147" s="33"/>
      <c r="JA147" s="33"/>
      <c r="JB147" s="33"/>
      <c r="JC147" s="33"/>
      <c r="JD147" s="33"/>
      <c r="JE147" s="33"/>
      <c r="JF147" s="33"/>
      <c r="JG147" s="33"/>
      <c r="JH147" s="33"/>
      <c r="JI147" s="33"/>
      <c r="JJ147" s="33"/>
      <c r="JK147" s="33"/>
      <c r="JL147" s="33"/>
      <c r="JM147" s="33"/>
      <c r="JN147" s="33"/>
      <c r="JO147" s="33"/>
      <c r="JP147" s="33"/>
      <c r="JQ147" s="33"/>
      <c r="JR147" s="33"/>
      <c r="KZ147" s="33"/>
      <c r="LA147" s="33"/>
      <c r="LB147" s="33"/>
      <c r="LC147" s="33"/>
      <c r="LD147" s="33"/>
      <c r="LE147" s="33"/>
      <c r="LF147" s="33"/>
      <c r="LG147" s="33"/>
      <c r="LH147" s="33"/>
      <c r="LI147" s="33"/>
      <c r="LJ147" s="33"/>
      <c r="LK147" s="33"/>
      <c r="LL147" s="33"/>
      <c r="LM147" s="33"/>
      <c r="LN147" s="33"/>
      <c r="LO147" s="33"/>
      <c r="LP147" s="44"/>
      <c r="LQ147" s="44"/>
      <c r="LR147" s="44"/>
      <c r="LS147" s="44"/>
      <c r="LT147" s="44"/>
      <c r="LU147" s="44"/>
      <c r="LV147" s="44"/>
    </row>
    <row r="148" spans="1:334" x14ac:dyDescent="0.2">
      <c r="A148" s="1" t="s">
        <v>8368</v>
      </c>
      <c r="B148" s="1" t="s">
        <v>8344</v>
      </c>
      <c r="C148" s="1" t="s">
        <v>8345</v>
      </c>
      <c r="D148" s="1" t="s">
        <v>8369</v>
      </c>
      <c r="E148" s="1" t="s">
        <v>8037</v>
      </c>
      <c r="F148" s="1" t="s">
        <v>6268</v>
      </c>
      <c r="H148" s="1" t="s">
        <v>8353</v>
      </c>
      <c r="I148" s="1" t="s">
        <v>8348</v>
      </c>
      <c r="J148" s="1" t="s">
        <v>8349</v>
      </c>
      <c r="K148" s="1">
        <v>2010</v>
      </c>
      <c r="L148" s="1" t="s">
        <v>8350</v>
      </c>
      <c r="M148" s="1" t="s">
        <v>7657</v>
      </c>
      <c r="N148" s="17" t="s">
        <v>7945</v>
      </c>
      <c r="O148" s="33"/>
      <c r="P148" s="33"/>
      <c r="Q148" s="33"/>
      <c r="R148" s="33"/>
      <c r="S148" s="33"/>
      <c r="T148" s="33">
        <v>89.26</v>
      </c>
      <c r="U148" s="33">
        <v>6.25</v>
      </c>
      <c r="V148" s="33"/>
      <c r="W148" s="33"/>
      <c r="X148" s="33"/>
      <c r="Y148" s="33"/>
      <c r="Z148" s="33">
        <v>19.119492000000001</v>
      </c>
      <c r="AA148" s="33"/>
      <c r="AB148" s="33">
        <v>2.1333140000000004</v>
      </c>
      <c r="AC148" s="33"/>
      <c r="AD148" s="33"/>
      <c r="AE148" s="33">
        <v>65.266912000000005</v>
      </c>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v>1.9101640000000004</v>
      </c>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v>0.83011800000000013</v>
      </c>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c r="IV148" s="33"/>
      <c r="IW148" s="33"/>
      <c r="IX148" s="33"/>
      <c r="IY148" s="33"/>
      <c r="IZ148" s="33"/>
      <c r="JA148" s="33"/>
      <c r="JB148" s="33"/>
      <c r="JC148" s="33"/>
      <c r="JD148" s="33"/>
      <c r="JE148" s="33"/>
      <c r="JF148" s="33"/>
      <c r="JG148" s="33"/>
      <c r="JH148" s="33"/>
      <c r="JI148" s="33"/>
      <c r="JJ148" s="33"/>
      <c r="JK148" s="33"/>
      <c r="JL148" s="33"/>
      <c r="JM148" s="33"/>
      <c r="JN148" s="33"/>
      <c r="JO148" s="33"/>
      <c r="JP148" s="33"/>
      <c r="JQ148" s="33"/>
      <c r="JR148" s="33"/>
      <c r="KZ148" s="33"/>
      <c r="LA148" s="33"/>
      <c r="LB148" s="33"/>
      <c r="LC148" s="33"/>
      <c r="LD148" s="33"/>
      <c r="LE148" s="33"/>
      <c r="LF148" s="33"/>
      <c r="LG148" s="33"/>
      <c r="LH148" s="33"/>
      <c r="LI148" s="33"/>
      <c r="LJ148" s="33"/>
      <c r="LK148" s="33"/>
      <c r="LL148" s="33"/>
      <c r="LM148" s="33"/>
      <c r="LN148" s="33"/>
      <c r="LO148" s="33"/>
      <c r="LP148" s="44"/>
      <c r="LQ148" s="44"/>
      <c r="LR148" s="44"/>
      <c r="LS148" s="44"/>
      <c r="LT148" s="44"/>
      <c r="LU148" s="44"/>
      <c r="LV148" s="44"/>
    </row>
    <row r="149" spans="1:334" x14ac:dyDescent="0.2">
      <c r="A149" s="1" t="s">
        <v>8370</v>
      </c>
      <c r="B149" s="1" t="s">
        <v>8344</v>
      </c>
      <c r="C149" s="1" t="s">
        <v>8345</v>
      </c>
      <c r="D149" s="1" t="s">
        <v>8369</v>
      </c>
      <c r="E149" s="1" t="s">
        <v>8037</v>
      </c>
      <c r="F149" s="1" t="s">
        <v>6268</v>
      </c>
      <c r="H149" s="1" t="s">
        <v>8371</v>
      </c>
      <c r="I149" s="1" t="s">
        <v>8348</v>
      </c>
      <c r="J149" s="1" t="s">
        <v>8349</v>
      </c>
      <c r="K149" s="1">
        <v>2010</v>
      </c>
      <c r="L149" s="1" t="s">
        <v>8350</v>
      </c>
      <c r="M149" s="1" t="s">
        <v>7657</v>
      </c>
      <c r="N149" s="17" t="s">
        <v>7945</v>
      </c>
      <c r="O149" s="33"/>
      <c r="P149" s="33"/>
      <c r="Q149" s="33"/>
      <c r="R149" s="33"/>
      <c r="S149" s="33"/>
      <c r="T149" s="33">
        <v>88.67</v>
      </c>
      <c r="U149" s="33">
        <v>6.25</v>
      </c>
      <c r="V149" s="33"/>
      <c r="W149" s="33"/>
      <c r="X149" s="33"/>
      <c r="Y149" s="33"/>
      <c r="Z149" s="33">
        <v>20.402967</v>
      </c>
      <c r="AA149" s="33"/>
      <c r="AB149" s="33">
        <v>1.7734000000000001</v>
      </c>
      <c r="AC149" s="33"/>
      <c r="AD149" s="33"/>
      <c r="AE149" s="33">
        <v>63.771464000000009</v>
      </c>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v>1.8266020000000001</v>
      </c>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v>0.89556700000000011</v>
      </c>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c r="IV149" s="33"/>
      <c r="IW149" s="33"/>
      <c r="IX149" s="33"/>
      <c r="IY149" s="33"/>
      <c r="IZ149" s="33"/>
      <c r="JA149" s="33"/>
      <c r="JB149" s="33"/>
      <c r="JC149" s="33"/>
      <c r="JD149" s="33"/>
      <c r="JE149" s="33"/>
      <c r="JF149" s="33"/>
      <c r="JG149" s="33"/>
      <c r="JH149" s="33"/>
      <c r="JI149" s="33"/>
      <c r="JJ149" s="33"/>
      <c r="JK149" s="33"/>
      <c r="JL149" s="33"/>
      <c r="JM149" s="33"/>
      <c r="JN149" s="33"/>
      <c r="JO149" s="33"/>
      <c r="JP149" s="33"/>
      <c r="JQ149" s="33"/>
      <c r="JR149" s="33"/>
      <c r="KZ149" s="33"/>
      <c r="LA149" s="33"/>
      <c r="LB149" s="33"/>
      <c r="LC149" s="33"/>
      <c r="LD149" s="33"/>
      <c r="LE149" s="33"/>
      <c r="LF149" s="33"/>
      <c r="LG149" s="33"/>
      <c r="LH149" s="33"/>
      <c r="LI149" s="33"/>
      <c r="LJ149" s="33"/>
      <c r="LK149" s="33"/>
      <c r="LL149" s="33"/>
      <c r="LM149" s="33"/>
      <c r="LN149" s="33"/>
      <c r="LO149" s="33"/>
      <c r="LP149" s="44"/>
      <c r="LQ149" s="44"/>
      <c r="LR149" s="44"/>
      <c r="LS149" s="44"/>
      <c r="LT149" s="44"/>
      <c r="LU149" s="44"/>
      <c r="LV149" s="44"/>
    </row>
    <row r="150" spans="1:334" x14ac:dyDescent="0.2">
      <c r="A150" s="1" t="s">
        <v>8372</v>
      </c>
      <c r="B150" s="1" t="s">
        <v>8344</v>
      </c>
      <c r="C150" s="1" t="s">
        <v>8345</v>
      </c>
      <c r="D150" s="1" t="s">
        <v>8361</v>
      </c>
      <c r="E150" s="1" t="s">
        <v>11</v>
      </c>
      <c r="F150" s="1" t="s">
        <v>6268</v>
      </c>
      <c r="H150" s="1" t="s">
        <v>8356</v>
      </c>
      <c r="I150" s="1" t="s">
        <v>8348</v>
      </c>
      <c r="J150" s="1" t="s">
        <v>8349</v>
      </c>
      <c r="K150" s="1">
        <v>2010</v>
      </c>
      <c r="L150" s="1" t="s">
        <v>8350</v>
      </c>
      <c r="M150" s="1" t="s">
        <v>7657</v>
      </c>
      <c r="N150" s="17" t="s">
        <v>7945</v>
      </c>
      <c r="O150" s="33"/>
      <c r="P150" s="33"/>
      <c r="Q150" s="33"/>
      <c r="R150" s="33"/>
      <c r="S150" s="33"/>
      <c r="T150" s="33">
        <v>88.46</v>
      </c>
      <c r="U150" s="33">
        <v>6.25</v>
      </c>
      <c r="V150" s="33"/>
      <c r="W150" s="33"/>
      <c r="X150" s="33"/>
      <c r="Y150" s="33"/>
      <c r="Z150" s="33">
        <v>18.735827999999998</v>
      </c>
      <c r="AA150" s="33"/>
      <c r="AB150" s="33">
        <v>1.733816</v>
      </c>
      <c r="AC150" s="33"/>
      <c r="AD150" s="33"/>
      <c r="AE150" s="33">
        <v>65.327709999999982</v>
      </c>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v>2.0080419999999997</v>
      </c>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v>0.65460399999999996</v>
      </c>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c r="IV150" s="33"/>
      <c r="IW150" s="33"/>
      <c r="IX150" s="33"/>
      <c r="IY150" s="33"/>
      <c r="IZ150" s="33"/>
      <c r="JA150" s="33"/>
      <c r="JB150" s="33"/>
      <c r="JC150" s="33"/>
      <c r="JD150" s="33"/>
      <c r="JE150" s="33"/>
      <c r="JF150" s="33"/>
      <c r="JG150" s="33"/>
      <c r="JH150" s="33"/>
      <c r="JI150" s="33"/>
      <c r="JJ150" s="33"/>
      <c r="JK150" s="33"/>
      <c r="JL150" s="33"/>
      <c r="JM150" s="33"/>
      <c r="JN150" s="33"/>
      <c r="JO150" s="33"/>
      <c r="JP150" s="33"/>
      <c r="JQ150" s="33"/>
      <c r="JR150" s="33"/>
      <c r="KZ150" s="33"/>
      <c r="LA150" s="33"/>
      <c r="LB150" s="33"/>
      <c r="LC150" s="33"/>
      <c r="LD150" s="33"/>
      <c r="LE150" s="33"/>
      <c r="LF150" s="33"/>
      <c r="LG150" s="33"/>
      <c r="LH150" s="33"/>
      <c r="LI150" s="33"/>
      <c r="LJ150" s="33"/>
      <c r="LK150" s="33"/>
      <c r="LL150" s="33"/>
      <c r="LM150" s="33"/>
      <c r="LN150" s="33"/>
      <c r="LO150" s="33"/>
      <c r="LP150" s="44"/>
      <c r="LQ150" s="44"/>
      <c r="LR150" s="44"/>
      <c r="LS150" s="44"/>
      <c r="LT150" s="44"/>
      <c r="LU150" s="44"/>
      <c r="LV150" s="44"/>
    </row>
    <row r="151" spans="1:334" x14ac:dyDescent="0.2">
      <c r="A151" s="1" t="s">
        <v>8373</v>
      </c>
      <c r="B151" s="1" t="s">
        <v>8374</v>
      </c>
      <c r="D151" s="1" t="s">
        <v>8375</v>
      </c>
      <c r="E151" s="1" t="s">
        <v>7</v>
      </c>
      <c r="F151" s="1" t="s">
        <v>8376</v>
      </c>
      <c r="G151" s="1" t="s">
        <v>8377</v>
      </c>
      <c r="J151" s="1" t="s">
        <v>8378</v>
      </c>
      <c r="K151" s="1">
        <v>2014</v>
      </c>
      <c r="L151" s="1" t="s">
        <v>8379</v>
      </c>
      <c r="M151" s="1" t="s">
        <v>7657</v>
      </c>
      <c r="N151" s="17" t="s">
        <v>7945</v>
      </c>
      <c r="O151" s="33"/>
      <c r="P151" s="33"/>
      <c r="Q151" s="33"/>
      <c r="R151" s="33"/>
      <c r="S151" s="33"/>
      <c r="T151" s="33">
        <v>89.38</v>
      </c>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v>1.2291180079999999</v>
      </c>
      <c r="GB151" s="33"/>
      <c r="GC151" s="33"/>
      <c r="GD151" s="33">
        <v>0.25899642599999995</v>
      </c>
      <c r="GE151" s="33">
        <v>0.172557028</v>
      </c>
      <c r="GF151" s="33">
        <v>0.79758243000000006</v>
      </c>
      <c r="GG151" s="33"/>
      <c r="GH151" s="33">
        <v>0.97013051999999989</v>
      </c>
      <c r="GI151" s="33"/>
      <c r="GJ151" s="33"/>
      <c r="GK151" s="33"/>
      <c r="GL151" s="33"/>
      <c r="GM151" s="33"/>
      <c r="GN151" s="33"/>
      <c r="GO151" s="33"/>
      <c r="GP151" s="33"/>
      <c r="GQ151" s="33"/>
      <c r="GR151" s="33"/>
      <c r="GS151" s="33"/>
      <c r="GT151" s="33"/>
      <c r="GU151" s="33">
        <v>8.6698600000000004E-4</v>
      </c>
      <c r="GV151" s="33">
        <v>2.574144E-3</v>
      </c>
      <c r="GW151" s="33"/>
      <c r="GX151" s="33">
        <v>0.19852191799999999</v>
      </c>
      <c r="GY151" s="33"/>
      <c r="GZ151" s="33">
        <v>4.0560644000000007E-2</v>
      </c>
      <c r="HA151" s="33">
        <v>1.1735594E-2</v>
      </c>
      <c r="HB151" s="33"/>
      <c r="HC151" s="33">
        <v>2.600958E-3</v>
      </c>
      <c r="HD151" s="33"/>
      <c r="HE151" s="33">
        <v>2.1361819999999999E-3</v>
      </c>
      <c r="HF151" s="33"/>
      <c r="HG151" s="33"/>
      <c r="HH151" s="33"/>
      <c r="HI151" s="33"/>
      <c r="HJ151" s="33"/>
      <c r="HK151" s="33"/>
      <c r="HL151" s="33">
        <v>2.8601599999999999E-4</v>
      </c>
      <c r="HM151" s="33">
        <v>4.0220999999999996E-4</v>
      </c>
      <c r="HN151" s="33"/>
      <c r="HO151" s="33"/>
      <c r="HP151" s="33"/>
      <c r="HQ151" s="33"/>
      <c r="HR151" s="33"/>
      <c r="HS151" s="33"/>
      <c r="HT151" s="33"/>
      <c r="HU151" s="33">
        <v>0.16206381599999997</v>
      </c>
      <c r="HV151" s="33"/>
      <c r="HW151" s="33"/>
      <c r="HX151" s="33"/>
      <c r="HY151" s="33">
        <v>6.3012899999999993E-3</v>
      </c>
      <c r="HZ151" s="33"/>
      <c r="IA151" s="33"/>
      <c r="IB151" s="33"/>
      <c r="IC151" s="33"/>
      <c r="ID151" s="33">
        <v>3.5036959999999997E-3</v>
      </c>
      <c r="IE151" s="33"/>
      <c r="IF151" s="33"/>
      <c r="IG151" s="33"/>
      <c r="IH151" s="33"/>
      <c r="II151" s="33"/>
      <c r="IJ151" s="33"/>
      <c r="IK151" s="33"/>
      <c r="IL151" s="33"/>
      <c r="IM151" s="33"/>
      <c r="IN151" s="33"/>
      <c r="IO151" s="33"/>
      <c r="IP151" s="33"/>
      <c r="IQ151" s="33"/>
      <c r="IR151" s="33"/>
      <c r="IS151" s="33">
        <v>0.70715668399999998</v>
      </c>
      <c r="IT151" s="33"/>
      <c r="IU151" s="33"/>
      <c r="IV151" s="33"/>
      <c r="IW151" s="33"/>
      <c r="IX151" s="44">
        <v>1.224506E-3</v>
      </c>
      <c r="IY151" s="33"/>
      <c r="IZ151" s="33"/>
      <c r="JA151" s="33"/>
      <c r="JB151" s="33">
        <v>8.7342136000000001E-2</v>
      </c>
      <c r="JC151" s="44">
        <v>8.9379999999999993E-4</v>
      </c>
      <c r="JD151" s="33"/>
      <c r="JE151" s="33"/>
      <c r="JF151" s="33"/>
      <c r="JG151" s="33"/>
      <c r="JH151" s="33"/>
      <c r="JI151" s="33"/>
      <c r="JJ151" s="33">
        <v>9.5636600000000005E-4</v>
      </c>
      <c r="JK151" s="33"/>
      <c r="JL151" s="33"/>
      <c r="JM151" s="33"/>
      <c r="JN151" s="33"/>
      <c r="JO151" s="33"/>
      <c r="JP151" s="33"/>
      <c r="JQ151" s="33"/>
      <c r="JR151" s="33"/>
      <c r="KZ151" s="33"/>
      <c r="LA151" s="33"/>
      <c r="LB151" s="33"/>
      <c r="LC151" s="33"/>
      <c r="LD151" s="33"/>
      <c r="LE151" s="33"/>
      <c r="LF151" s="33"/>
      <c r="LG151" s="33"/>
      <c r="LH151" s="33"/>
      <c r="LI151" s="33"/>
      <c r="LJ151" s="33"/>
      <c r="LK151" s="33"/>
      <c r="LL151" s="33"/>
      <c r="LM151" s="33"/>
      <c r="LN151" s="33"/>
      <c r="LO151" s="33"/>
      <c r="LP151" s="44"/>
      <c r="LQ151" s="44"/>
      <c r="LR151" s="44"/>
      <c r="LS151" s="44"/>
      <c r="LT151" s="44"/>
      <c r="LU151" s="44"/>
      <c r="LV151" s="44"/>
    </row>
    <row r="152" spans="1:334" x14ac:dyDescent="0.2">
      <c r="A152" s="1" t="s">
        <v>8380</v>
      </c>
      <c r="D152" s="1" t="s">
        <v>8381</v>
      </c>
      <c r="E152" s="1" t="s">
        <v>7</v>
      </c>
      <c r="F152" s="1" t="s">
        <v>8021</v>
      </c>
      <c r="J152" s="1" t="s">
        <v>8378</v>
      </c>
      <c r="K152" s="1">
        <v>2008</v>
      </c>
      <c r="L152" s="1" t="s">
        <v>8382</v>
      </c>
      <c r="M152" s="1" t="s">
        <v>7657</v>
      </c>
      <c r="N152" s="17" t="s">
        <v>7945</v>
      </c>
      <c r="O152" s="33"/>
      <c r="P152" s="33"/>
      <c r="Q152" s="33">
        <v>1669.44</v>
      </c>
      <c r="R152" s="33"/>
      <c r="S152" s="33"/>
      <c r="T152" s="33">
        <v>88.8</v>
      </c>
      <c r="U152" s="33">
        <v>6.25</v>
      </c>
      <c r="V152" s="33"/>
      <c r="W152" s="33"/>
      <c r="X152" s="33"/>
      <c r="Y152" s="33"/>
      <c r="Z152" s="33">
        <v>22.377599999999997</v>
      </c>
      <c r="AA152" s="33"/>
      <c r="AB152" s="33"/>
      <c r="AC152" s="33">
        <v>1.0478399999999999</v>
      </c>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v>37.828800000000001</v>
      </c>
      <c r="BD152" s="33">
        <v>10.0344</v>
      </c>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c r="IV152" s="33"/>
      <c r="IW152" s="33"/>
      <c r="IX152" s="33"/>
      <c r="IY152" s="33"/>
      <c r="IZ152" s="33"/>
      <c r="JA152" s="33"/>
      <c r="JB152" s="33"/>
      <c r="JC152" s="33"/>
      <c r="JD152" s="33"/>
      <c r="JE152" s="33"/>
      <c r="JF152" s="33"/>
      <c r="JG152" s="33"/>
      <c r="JH152" s="33"/>
      <c r="JI152" s="33"/>
      <c r="JJ152" s="33"/>
      <c r="JK152" s="33"/>
      <c r="JL152" s="33"/>
      <c r="JM152" s="33"/>
      <c r="JN152" s="33"/>
      <c r="JO152" s="33"/>
      <c r="JP152" s="33"/>
      <c r="JQ152" s="33"/>
      <c r="JR152" s="33"/>
      <c r="KZ152" s="33"/>
      <c r="LA152" s="33"/>
      <c r="LB152" s="33"/>
      <c r="LC152" s="33"/>
      <c r="LD152" s="33"/>
      <c r="LE152" s="33"/>
      <c r="LF152" s="33"/>
      <c r="LG152" s="33"/>
      <c r="LH152" s="33"/>
      <c r="LI152" s="33"/>
      <c r="LJ152" s="33"/>
      <c r="LK152" s="33"/>
      <c r="LL152" s="33"/>
      <c r="LM152" s="33"/>
      <c r="LN152" s="33"/>
      <c r="LO152" s="33"/>
      <c r="LP152" s="44"/>
      <c r="LQ152" s="44"/>
      <c r="LR152" s="44"/>
      <c r="LS152" s="44"/>
      <c r="LT152" s="44"/>
      <c r="LU152" s="44"/>
      <c r="LV152" s="44"/>
    </row>
    <row r="153" spans="1:334" x14ac:dyDescent="0.2">
      <c r="A153" s="1" t="s">
        <v>8383</v>
      </c>
      <c r="D153" s="1" t="s">
        <v>8384</v>
      </c>
      <c r="E153" s="1" t="s">
        <v>7</v>
      </c>
      <c r="F153" s="1" t="s">
        <v>8385</v>
      </c>
      <c r="J153" s="1" t="s">
        <v>8378</v>
      </c>
      <c r="K153" s="1">
        <v>2008</v>
      </c>
      <c r="L153" s="1" t="s">
        <v>8382</v>
      </c>
      <c r="M153" s="1" t="s">
        <v>7657</v>
      </c>
      <c r="N153" s="17" t="s">
        <v>7945</v>
      </c>
      <c r="O153" s="33"/>
      <c r="P153" s="33"/>
      <c r="Q153" s="33">
        <v>1734.28</v>
      </c>
      <c r="R153" s="33"/>
      <c r="S153" s="33"/>
      <c r="T153" s="33">
        <v>90.8</v>
      </c>
      <c r="U153" s="33">
        <v>6.25</v>
      </c>
      <c r="V153" s="33"/>
      <c r="W153" s="33"/>
      <c r="X153" s="33"/>
      <c r="Y153" s="33"/>
      <c r="Z153" s="33">
        <v>18.704799999999999</v>
      </c>
      <c r="AA153" s="33"/>
      <c r="AB153" s="33"/>
      <c r="AC153" s="33">
        <v>1.29844</v>
      </c>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v>38.4084</v>
      </c>
      <c r="BD153" s="33">
        <v>9.1707999999999998</v>
      </c>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c r="IV153" s="33"/>
      <c r="IW153" s="33"/>
      <c r="IX153" s="33"/>
      <c r="IY153" s="33"/>
      <c r="IZ153" s="33"/>
      <c r="JA153" s="33"/>
      <c r="JB153" s="33"/>
      <c r="JC153" s="33"/>
      <c r="JD153" s="33"/>
      <c r="JE153" s="33"/>
      <c r="JF153" s="33"/>
      <c r="JG153" s="33"/>
      <c r="JH153" s="33"/>
      <c r="JI153" s="33"/>
      <c r="JJ153" s="33"/>
      <c r="JK153" s="33"/>
      <c r="JL153" s="33"/>
      <c r="JM153" s="33"/>
      <c r="JN153" s="33"/>
      <c r="JO153" s="33"/>
      <c r="JP153" s="33"/>
      <c r="JQ153" s="33"/>
      <c r="JR153" s="33"/>
      <c r="KZ153" s="33"/>
      <c r="LA153" s="33"/>
      <c r="LB153" s="33"/>
      <c r="LC153" s="33"/>
      <c r="LD153" s="33"/>
      <c r="LE153" s="33"/>
      <c r="LF153" s="33"/>
      <c r="LG153" s="33"/>
      <c r="LH153" s="33"/>
      <c r="LI153" s="33"/>
      <c r="LJ153" s="33"/>
      <c r="LK153" s="33"/>
      <c r="LL153" s="33"/>
      <c r="LM153" s="33"/>
      <c r="LN153" s="33"/>
      <c r="LO153" s="33"/>
      <c r="LP153" s="44"/>
      <c r="LQ153" s="44"/>
      <c r="LR153" s="44"/>
      <c r="LS153" s="44"/>
      <c r="LT153" s="44"/>
      <c r="LU153" s="44"/>
      <c r="LV153" s="44"/>
    </row>
    <row r="154" spans="1:334" x14ac:dyDescent="0.2">
      <c r="A154" s="1" t="s">
        <v>8386</v>
      </c>
      <c r="B154" s="1" t="s">
        <v>8387</v>
      </c>
      <c r="D154" s="1" t="s">
        <v>8388</v>
      </c>
      <c r="E154" s="1" t="s">
        <v>11</v>
      </c>
      <c r="F154" s="1" t="s">
        <v>8389</v>
      </c>
      <c r="G154" s="1" t="s">
        <v>8390</v>
      </c>
      <c r="H154" s="1" t="s">
        <v>8391</v>
      </c>
      <c r="I154" s="1">
        <v>10</v>
      </c>
      <c r="K154" s="1">
        <v>2015</v>
      </c>
      <c r="L154" s="1" t="s">
        <v>8392</v>
      </c>
      <c r="M154" s="1" t="s">
        <v>7657</v>
      </c>
      <c r="N154" s="17" t="s">
        <v>7945</v>
      </c>
      <c r="O154" s="33"/>
      <c r="P154" s="33"/>
      <c r="Q154" s="33"/>
      <c r="R154" s="33"/>
      <c r="S154" s="33">
        <v>75</v>
      </c>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v>28.75</v>
      </c>
      <c r="CQ154" s="33"/>
      <c r="CR154" s="33"/>
      <c r="CS154" s="33">
        <v>1.1775</v>
      </c>
      <c r="CT154" s="33"/>
      <c r="CU154" s="33"/>
      <c r="CV154" s="33"/>
      <c r="CW154" s="33"/>
      <c r="CX154" s="33"/>
      <c r="CY154" s="33"/>
      <c r="CZ154" s="33"/>
      <c r="DA154" s="33">
        <v>1.1599999999999999</v>
      </c>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c r="IV154" s="33"/>
      <c r="IW154" s="33"/>
      <c r="IX154" s="33"/>
      <c r="IY154" s="33"/>
      <c r="IZ154" s="33"/>
      <c r="JA154" s="33"/>
      <c r="JB154" s="33"/>
      <c r="JC154" s="33"/>
      <c r="JD154" s="33"/>
      <c r="JE154" s="33"/>
      <c r="JF154" s="33"/>
      <c r="JG154" s="33"/>
      <c r="JH154" s="33"/>
      <c r="JI154" s="33"/>
      <c r="JJ154" s="33"/>
      <c r="JK154" s="33"/>
      <c r="JL154" s="33"/>
      <c r="JM154" s="33"/>
      <c r="JN154" s="33"/>
      <c r="JO154" s="33"/>
      <c r="JP154" s="33"/>
      <c r="JQ154" s="33"/>
      <c r="JR154" s="33"/>
      <c r="KZ154" s="33"/>
      <c r="LA154" s="33"/>
      <c r="LB154" s="33"/>
      <c r="LC154" s="33"/>
      <c r="LD154" s="33"/>
      <c r="LE154" s="33"/>
      <c r="LF154" s="33"/>
      <c r="LG154" s="33"/>
      <c r="LH154" s="33"/>
      <c r="LI154" s="33"/>
      <c r="LJ154" s="33"/>
      <c r="LK154" s="33">
        <v>292.5</v>
      </c>
      <c r="LL154" s="33"/>
      <c r="LM154" s="33"/>
      <c r="LN154" s="33"/>
      <c r="LO154" s="33"/>
      <c r="LP154" s="44"/>
      <c r="LQ154" s="44"/>
      <c r="LR154" s="44"/>
      <c r="LS154" s="44"/>
      <c r="LT154" s="44"/>
      <c r="LU154" s="44"/>
      <c r="LV154" s="44"/>
    </row>
    <row r="155" spans="1:334" x14ac:dyDescent="0.2">
      <c r="A155" s="1" t="s">
        <v>8393</v>
      </c>
      <c r="B155" s="1" t="s">
        <v>8387</v>
      </c>
      <c r="D155" s="1" t="s">
        <v>8394</v>
      </c>
      <c r="E155" s="1" t="s">
        <v>11</v>
      </c>
      <c r="F155" s="1" t="s">
        <v>8395</v>
      </c>
      <c r="G155" s="1" t="s">
        <v>8390</v>
      </c>
      <c r="H155" s="1" t="s">
        <v>8391</v>
      </c>
      <c r="I155" s="1">
        <v>10</v>
      </c>
      <c r="K155" s="1">
        <v>2015</v>
      </c>
      <c r="L155" s="1" t="s">
        <v>8392</v>
      </c>
      <c r="M155" s="1" t="s">
        <v>7657</v>
      </c>
      <c r="N155" s="17" t="s">
        <v>7945</v>
      </c>
      <c r="O155" s="33"/>
      <c r="P155" s="33"/>
      <c r="Q155" s="33"/>
      <c r="R155" s="33"/>
      <c r="S155" s="33">
        <v>62.6</v>
      </c>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v>48.994</v>
      </c>
      <c r="CQ155" s="33"/>
      <c r="CR155" s="33"/>
      <c r="CS155" s="33">
        <v>2.4048199999999995</v>
      </c>
      <c r="CT155" s="33"/>
      <c r="CU155" s="33"/>
      <c r="CV155" s="33"/>
      <c r="CW155" s="33"/>
      <c r="CX155" s="33"/>
      <c r="CY155" s="33"/>
      <c r="CZ155" s="33"/>
      <c r="DA155" s="33">
        <v>1.3052600000000001</v>
      </c>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c r="IV155" s="33"/>
      <c r="IW155" s="33"/>
      <c r="IX155" s="33"/>
      <c r="IY155" s="33"/>
      <c r="IZ155" s="33"/>
      <c r="JA155" s="33"/>
      <c r="JB155" s="33"/>
      <c r="JC155" s="33"/>
      <c r="JD155" s="33"/>
      <c r="JE155" s="33"/>
      <c r="JF155" s="33"/>
      <c r="JG155" s="33"/>
      <c r="JH155" s="33"/>
      <c r="JI155" s="33"/>
      <c r="JJ155" s="33"/>
      <c r="JK155" s="33"/>
      <c r="JL155" s="33"/>
      <c r="JM155" s="33"/>
      <c r="JN155" s="33"/>
      <c r="JO155" s="33"/>
      <c r="JP155" s="33"/>
      <c r="JQ155" s="33"/>
      <c r="JR155" s="33"/>
      <c r="KZ155" s="33"/>
      <c r="LA155" s="33"/>
      <c r="LB155" s="33"/>
      <c r="LC155" s="33"/>
      <c r="LD155" s="33"/>
      <c r="LE155" s="33"/>
      <c r="LF155" s="33"/>
      <c r="LG155" s="33"/>
      <c r="LH155" s="33"/>
      <c r="LI155" s="33"/>
      <c r="LJ155" s="33"/>
      <c r="LK155" s="33">
        <v>316.404</v>
      </c>
      <c r="LL155" s="33"/>
      <c r="LM155" s="33"/>
      <c r="LN155" s="33"/>
      <c r="LO155" s="33"/>
      <c r="LP155" s="44"/>
      <c r="LQ155" s="44"/>
      <c r="LR155" s="44"/>
      <c r="LS155" s="44"/>
      <c r="LT155" s="44"/>
      <c r="LU155" s="44"/>
      <c r="LV155" s="44"/>
    </row>
    <row r="156" spans="1:334" x14ac:dyDescent="0.2">
      <c r="A156" s="1" t="s">
        <v>8396</v>
      </c>
      <c r="B156" s="1" t="s">
        <v>237</v>
      </c>
      <c r="D156" s="1" t="s">
        <v>8020</v>
      </c>
      <c r="E156" s="1" t="s">
        <v>7</v>
      </c>
      <c r="F156" s="1" t="s">
        <v>8021</v>
      </c>
      <c r="K156" s="1">
        <v>2015</v>
      </c>
      <c r="L156" s="1" t="s">
        <v>8397</v>
      </c>
      <c r="M156" s="1" t="s">
        <v>7657</v>
      </c>
      <c r="N156" s="17" t="s">
        <v>7945</v>
      </c>
      <c r="O156" s="33">
        <v>360</v>
      </c>
      <c r="P156" s="33"/>
      <c r="Q156" s="33"/>
      <c r="R156" s="33"/>
      <c r="S156" s="33">
        <v>8.91</v>
      </c>
      <c r="T156" s="33"/>
      <c r="U156" s="33">
        <v>6.25</v>
      </c>
      <c r="V156" s="33"/>
      <c r="W156" s="33"/>
      <c r="X156" s="33"/>
      <c r="Y156" s="33"/>
      <c r="Z156" s="33">
        <v>25.55</v>
      </c>
      <c r="AA156" s="33"/>
      <c r="AB156" s="33">
        <v>1.62</v>
      </c>
      <c r="AC156" s="33"/>
      <c r="AD156" s="33"/>
      <c r="AE156" s="33"/>
      <c r="AF156" s="33">
        <v>60.8</v>
      </c>
      <c r="AG156" s="33"/>
      <c r="AH156" s="33"/>
      <c r="AI156" s="33"/>
      <c r="AJ156" s="33"/>
      <c r="AK156" s="33"/>
      <c r="AL156" s="33"/>
      <c r="AM156" s="33"/>
      <c r="AN156" s="33"/>
      <c r="AO156" s="33"/>
      <c r="AP156" s="33"/>
      <c r="AQ156" s="33"/>
      <c r="AR156" s="33"/>
      <c r="AS156" s="33"/>
      <c r="AT156" s="33"/>
      <c r="AU156" s="33"/>
      <c r="AV156" s="33">
        <v>1.9</v>
      </c>
      <c r="AW156" s="33"/>
      <c r="AX156" s="33"/>
      <c r="AY156" s="33"/>
      <c r="AZ156" s="33"/>
      <c r="BA156" s="33"/>
      <c r="BB156" s="33">
        <v>18.2</v>
      </c>
      <c r="BC156" s="33"/>
      <c r="BD156" s="33"/>
      <c r="BE156" s="33"/>
      <c r="BF156" s="33"/>
      <c r="BG156" s="33"/>
      <c r="BH156" s="33"/>
      <c r="BI156" s="33">
        <v>23.8</v>
      </c>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v>3.17</v>
      </c>
      <c r="CP156" s="33">
        <v>96.3</v>
      </c>
      <c r="CQ156" s="33"/>
      <c r="CR156" s="33"/>
      <c r="CS156" s="33">
        <v>5.4</v>
      </c>
      <c r="CT156" s="33"/>
      <c r="CU156" s="33">
        <v>1140</v>
      </c>
      <c r="CV156" s="33">
        <v>135</v>
      </c>
      <c r="CW156" s="33"/>
      <c r="CX156" s="33">
        <v>16.899999999999999</v>
      </c>
      <c r="CY156" s="33">
        <v>385</v>
      </c>
      <c r="CZ156" s="33">
        <v>20</v>
      </c>
      <c r="DA156" s="33">
        <v>4.78</v>
      </c>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t="s">
        <v>9361</v>
      </c>
      <c r="ED156" s="33"/>
      <c r="EE156" s="33"/>
      <c r="EF156" s="33">
        <v>84.2</v>
      </c>
      <c r="EG156" s="33"/>
      <c r="EH156" s="33"/>
      <c r="EI156" s="33"/>
      <c r="EJ156" s="33"/>
      <c r="EK156" s="33"/>
      <c r="EL156" s="33"/>
      <c r="EM156" s="33"/>
      <c r="EN156" s="33"/>
      <c r="EO156" s="33"/>
      <c r="EP156" s="33"/>
      <c r="EQ156" s="33"/>
      <c r="ER156" s="33"/>
      <c r="ES156" s="33"/>
      <c r="ET156" s="33">
        <v>7</v>
      </c>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v>0.379</v>
      </c>
      <c r="GE156" s="33">
        <v>0.38900000000000001</v>
      </c>
      <c r="GF156" s="33">
        <v>0.755</v>
      </c>
      <c r="GG156" s="33">
        <v>1.0999999999999999E-2</v>
      </c>
      <c r="GH156" s="33"/>
      <c r="GI156" s="33"/>
      <c r="GJ156" s="33">
        <v>4.7E-2</v>
      </c>
      <c r="GK156" s="33">
        <v>0.70799999999999996</v>
      </c>
      <c r="GL156" s="33"/>
      <c r="GM156" s="33"/>
      <c r="GN156" s="33"/>
      <c r="GO156" s="33" t="s">
        <v>9362</v>
      </c>
      <c r="GP156" s="33" t="s">
        <v>9362</v>
      </c>
      <c r="GQ156" s="33" t="s">
        <v>9362</v>
      </c>
      <c r="GR156" s="33" t="s">
        <v>9362</v>
      </c>
      <c r="GS156" s="33" t="s">
        <v>9362</v>
      </c>
      <c r="GT156" s="33"/>
      <c r="GU156" s="33" t="s">
        <v>9362</v>
      </c>
      <c r="GV156" s="33">
        <v>1.0999999999999999E-2</v>
      </c>
      <c r="GW156" s="33">
        <v>4.0000000000000001E-3</v>
      </c>
      <c r="GX156" s="33">
        <v>0.27500000000000002</v>
      </c>
      <c r="GY156" s="33">
        <v>3.0000000000000001E-3</v>
      </c>
      <c r="GZ156" s="33">
        <v>4.9000000000000002E-2</v>
      </c>
      <c r="HA156" s="33">
        <v>2.4E-2</v>
      </c>
      <c r="HB156" s="33"/>
      <c r="HC156" s="33">
        <v>0.08</v>
      </c>
      <c r="HD156" s="33"/>
      <c r="HE156" s="33">
        <v>4.0000000000000001E-3</v>
      </c>
      <c r="HF156" s="33"/>
      <c r="HG156" s="33"/>
      <c r="HH156" s="33" t="s">
        <v>9362</v>
      </c>
      <c r="HI156" s="33" t="s">
        <v>9362</v>
      </c>
      <c r="HJ156" s="33" t="s">
        <v>9362</v>
      </c>
      <c r="HK156" s="33"/>
      <c r="HL156" s="33" t="s">
        <v>9362</v>
      </c>
      <c r="HM156" s="33"/>
      <c r="HN156" s="33" t="s">
        <v>9362</v>
      </c>
      <c r="HO156" s="33"/>
      <c r="HP156" s="33"/>
      <c r="HQ156" s="33" t="s">
        <v>9362</v>
      </c>
      <c r="HR156" s="33"/>
      <c r="HS156" s="33"/>
      <c r="HT156" s="33"/>
      <c r="HU156" s="33"/>
      <c r="HV156" s="33">
        <v>0.36499999999999999</v>
      </c>
      <c r="HW156" s="33"/>
      <c r="HX156" s="33">
        <v>1.0999999999999999E-2</v>
      </c>
      <c r="HY156" s="33"/>
      <c r="HZ156" s="33"/>
      <c r="IA156" s="33"/>
      <c r="IB156" s="33"/>
      <c r="IC156" s="33"/>
      <c r="ID156" s="33"/>
      <c r="IE156" s="33">
        <v>0.01</v>
      </c>
      <c r="IF156" s="33"/>
      <c r="IG156" s="33"/>
      <c r="IH156" s="33"/>
      <c r="II156" s="33" t="s">
        <v>9362</v>
      </c>
      <c r="IJ156" s="33"/>
      <c r="IK156" s="33"/>
      <c r="IL156" s="33">
        <v>1.4999999999999999E-2</v>
      </c>
      <c r="IM156" s="33"/>
      <c r="IN156" s="33"/>
      <c r="IO156" s="33" t="s">
        <v>9362</v>
      </c>
      <c r="IP156" s="33"/>
      <c r="IQ156" s="33" t="s">
        <v>9362</v>
      </c>
      <c r="IR156" s="33"/>
      <c r="IS156" s="33">
        <v>0.70799999999999996</v>
      </c>
      <c r="IT156" s="33"/>
      <c r="IU156" s="33"/>
      <c r="IV156" s="33" t="s">
        <v>9362</v>
      </c>
      <c r="IW156" s="33"/>
      <c r="IX156" s="33"/>
      <c r="IY156" s="33"/>
      <c r="IZ156" s="33"/>
      <c r="JA156" s="33"/>
      <c r="JB156" s="33">
        <v>4.7E-2</v>
      </c>
      <c r="JC156" s="33" t="s">
        <v>9362</v>
      </c>
      <c r="JD156" s="33" t="s">
        <v>9362</v>
      </c>
      <c r="JE156" s="33"/>
      <c r="JF156" s="33" t="s">
        <v>9362</v>
      </c>
      <c r="JG156" s="33" t="s">
        <v>9362</v>
      </c>
      <c r="JH156" s="33" t="s">
        <v>9362</v>
      </c>
      <c r="JI156" s="33" t="s">
        <v>9362</v>
      </c>
      <c r="JJ156" s="33" t="s">
        <v>9362</v>
      </c>
      <c r="JK156" s="33" t="s">
        <v>9362</v>
      </c>
      <c r="JL156" s="33"/>
      <c r="JM156" s="33" t="s">
        <v>9362</v>
      </c>
      <c r="JN156" s="33" t="s">
        <v>9362</v>
      </c>
      <c r="JO156" s="33"/>
      <c r="JP156" s="33"/>
      <c r="JQ156" s="33"/>
      <c r="JR156" s="33"/>
      <c r="KZ156" s="33"/>
      <c r="LA156" s="33"/>
      <c r="LB156" s="33"/>
      <c r="LC156" s="33"/>
      <c r="LD156" s="33"/>
      <c r="LE156" s="33"/>
      <c r="LF156" s="33"/>
      <c r="LG156" s="33"/>
      <c r="LH156" s="33"/>
      <c r="LI156" s="33"/>
      <c r="LJ156" s="33"/>
      <c r="LK156" s="33"/>
      <c r="LL156" s="33"/>
      <c r="LM156" s="33"/>
      <c r="LN156" s="33"/>
      <c r="LO156" s="33"/>
      <c r="LP156" s="44"/>
      <c r="LQ156" s="44"/>
      <c r="LR156" s="44"/>
      <c r="LS156" s="44"/>
      <c r="LT156" s="44"/>
      <c r="LU156" s="44"/>
      <c r="LV156" s="44"/>
    </row>
    <row r="157" spans="1:334" x14ac:dyDescent="0.2">
      <c r="A157" s="1" t="s">
        <v>8398</v>
      </c>
      <c r="B157" s="1" t="s">
        <v>237</v>
      </c>
      <c r="D157" s="1" t="s">
        <v>8399</v>
      </c>
      <c r="E157" s="1" t="s">
        <v>11</v>
      </c>
      <c r="F157" s="1" t="s">
        <v>8021</v>
      </c>
      <c r="K157" s="1">
        <v>2015</v>
      </c>
      <c r="L157" s="1" t="s">
        <v>8397</v>
      </c>
      <c r="M157" s="1" t="s">
        <v>7657</v>
      </c>
      <c r="N157" s="17" t="s">
        <v>7945</v>
      </c>
      <c r="O157" s="33">
        <v>122</v>
      </c>
      <c r="P157" s="33"/>
      <c r="Q157" s="33"/>
      <c r="R157" s="33"/>
      <c r="S157" s="33">
        <v>69.25</v>
      </c>
      <c r="T157" s="33"/>
      <c r="U157" s="33">
        <v>6.25</v>
      </c>
      <c r="V157" s="33"/>
      <c r="W157" s="33"/>
      <c r="X157" s="33"/>
      <c r="Y157" s="33"/>
      <c r="Z157" s="33">
        <v>8.69</v>
      </c>
      <c r="AA157" s="33"/>
      <c r="AB157" s="33">
        <v>0.48</v>
      </c>
      <c r="AC157" s="33"/>
      <c r="AD157" s="33"/>
      <c r="AE157" s="33"/>
      <c r="AF157" s="33">
        <v>20.6</v>
      </c>
      <c r="AG157" s="33"/>
      <c r="AH157" s="33"/>
      <c r="AI157" s="33"/>
      <c r="AJ157" s="33"/>
      <c r="AK157" s="33"/>
      <c r="AL157" s="33"/>
      <c r="AM157" s="33"/>
      <c r="AN157" s="33"/>
      <c r="AO157" s="33"/>
      <c r="AP157" s="33"/>
      <c r="AQ157" s="33"/>
      <c r="AR157" s="33"/>
      <c r="AS157" s="33"/>
      <c r="AT157" s="33"/>
      <c r="AU157" s="33"/>
      <c r="AV157" s="33">
        <v>0.46</v>
      </c>
      <c r="AW157" s="33"/>
      <c r="AX157" s="33"/>
      <c r="AY157" s="33"/>
      <c r="AZ157" s="33"/>
      <c r="BA157" s="33"/>
      <c r="BB157" s="33"/>
      <c r="BC157" s="33"/>
      <c r="BD157" s="33"/>
      <c r="BE157" s="33"/>
      <c r="BF157" s="33"/>
      <c r="BG157" s="33"/>
      <c r="BH157" s="33"/>
      <c r="BI157" s="33">
        <v>8.8000000000000007</v>
      </c>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v>0.94</v>
      </c>
      <c r="CP157" s="33">
        <v>37.6</v>
      </c>
      <c r="CQ157" s="33"/>
      <c r="CR157" s="33"/>
      <c r="CS157" s="33">
        <v>1.8</v>
      </c>
      <c r="CT157" s="33"/>
      <c r="CU157" s="33">
        <v>349</v>
      </c>
      <c r="CV157" s="33">
        <v>45.4</v>
      </c>
      <c r="CW157" s="33"/>
      <c r="CX157" s="33">
        <v>6.7</v>
      </c>
      <c r="CY157" s="33">
        <v>126</v>
      </c>
      <c r="CZ157" s="33">
        <v>40</v>
      </c>
      <c r="DA157" s="33">
        <v>1.76</v>
      </c>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t="s">
        <v>9361</v>
      </c>
      <c r="ED157" s="33"/>
      <c r="EE157" s="33"/>
      <c r="EF157" s="33">
        <v>37.5</v>
      </c>
      <c r="EG157" s="33"/>
      <c r="EH157" s="33"/>
      <c r="EI157" s="33"/>
      <c r="EJ157" s="33"/>
      <c r="EK157" s="33"/>
      <c r="EL157" s="33"/>
      <c r="EM157" s="33"/>
      <c r="EN157" s="33"/>
      <c r="EO157" s="33"/>
      <c r="EP157" s="33"/>
      <c r="EQ157" s="33"/>
      <c r="ER157" s="33"/>
      <c r="ES157" s="33"/>
      <c r="ET157" s="33" t="s">
        <v>9363</v>
      </c>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v>0.14399999999999999</v>
      </c>
      <c r="GE157" s="33">
        <v>0.10299999999999999</v>
      </c>
      <c r="GF157" s="33">
        <v>0.189</v>
      </c>
      <c r="GG157" s="33">
        <v>1.0999999999999999E-2</v>
      </c>
      <c r="GH157" s="33"/>
      <c r="GI157" s="33"/>
      <c r="GJ157" s="33">
        <v>1.2E-2</v>
      </c>
      <c r="GK157" s="33">
        <v>0.17699999999999999</v>
      </c>
      <c r="GL157" s="33"/>
      <c r="GM157" s="33"/>
      <c r="GN157" s="33"/>
      <c r="GO157" s="33" t="s">
        <v>9362</v>
      </c>
      <c r="GP157" s="33" t="s">
        <v>9362</v>
      </c>
      <c r="GQ157" s="33" t="s">
        <v>9362</v>
      </c>
      <c r="GR157" s="33" t="s">
        <v>9362</v>
      </c>
      <c r="GS157" s="33" t="s">
        <v>9362</v>
      </c>
      <c r="GT157" s="33"/>
      <c r="GU157" s="33" t="s">
        <v>9362</v>
      </c>
      <c r="GV157" s="33">
        <v>8.9999999999999993E-3</v>
      </c>
      <c r="GW157" s="33">
        <v>2E-3</v>
      </c>
      <c r="GX157" s="33">
        <v>0.10100000000000001</v>
      </c>
      <c r="GY157" s="33">
        <v>1E-3</v>
      </c>
      <c r="GZ157" s="33">
        <v>2.1999999999999999E-2</v>
      </c>
      <c r="HA157" s="33">
        <v>8.0000000000000002E-3</v>
      </c>
      <c r="HB157" s="33"/>
      <c r="HC157" s="33" t="s">
        <v>9362</v>
      </c>
      <c r="HD157" s="33"/>
      <c r="HE157" s="33">
        <v>2E-3</v>
      </c>
      <c r="HF157" s="33"/>
      <c r="HG157" s="33"/>
      <c r="HH157" s="33" t="s">
        <v>9362</v>
      </c>
      <c r="HI157" s="33" t="s">
        <v>9362</v>
      </c>
      <c r="HJ157" s="33" t="s">
        <v>9362</v>
      </c>
      <c r="HK157" s="33"/>
      <c r="HL157" s="33" t="s">
        <v>9362</v>
      </c>
      <c r="HM157" s="33"/>
      <c r="HN157" s="33" t="s">
        <v>9362</v>
      </c>
      <c r="HO157" s="33"/>
      <c r="HP157" s="33"/>
      <c r="HQ157" s="33" t="s">
        <v>9362</v>
      </c>
      <c r="HR157" s="33"/>
      <c r="HS157" s="33"/>
      <c r="HT157" s="33"/>
      <c r="HU157" s="33"/>
      <c r="HV157" s="33">
        <v>9.5000000000000001E-2</v>
      </c>
      <c r="HW157" s="33"/>
      <c r="HX157" s="33">
        <v>1.0999999999999999E-2</v>
      </c>
      <c r="HY157" s="33"/>
      <c r="HZ157" s="33"/>
      <c r="IA157" s="33"/>
      <c r="IB157" s="33"/>
      <c r="IC157" s="33"/>
      <c r="ID157" s="33"/>
      <c r="IE157" s="33">
        <v>2E-3</v>
      </c>
      <c r="IF157" s="33"/>
      <c r="IG157" s="33"/>
      <c r="IH157" s="33"/>
      <c r="II157" s="33" t="s">
        <v>9362</v>
      </c>
      <c r="IJ157" s="33"/>
      <c r="IK157" s="33"/>
      <c r="IL157" s="33">
        <v>6.0000000000000001E-3</v>
      </c>
      <c r="IM157" s="33"/>
      <c r="IN157" s="33"/>
      <c r="IO157" s="33" t="s">
        <v>9362</v>
      </c>
      <c r="IP157" s="33"/>
      <c r="IQ157" s="33" t="s">
        <v>9362</v>
      </c>
      <c r="IR157" s="33"/>
      <c r="IS157" s="33">
        <v>0.17699999999999999</v>
      </c>
      <c r="IT157" s="33"/>
      <c r="IU157" s="33"/>
      <c r="IV157" s="33" t="s">
        <v>9362</v>
      </c>
      <c r="IW157" s="33"/>
      <c r="IX157" s="33"/>
      <c r="IY157" s="33"/>
      <c r="IZ157" s="33"/>
      <c r="JA157" s="33"/>
      <c r="JB157" s="33">
        <v>1.2E-2</v>
      </c>
      <c r="JC157" s="33" t="s">
        <v>9362</v>
      </c>
      <c r="JD157" s="33" t="s">
        <v>9362</v>
      </c>
      <c r="JE157" s="33"/>
      <c r="JF157" s="33" t="s">
        <v>9362</v>
      </c>
      <c r="JG157" s="33" t="s">
        <v>9362</v>
      </c>
      <c r="JH157" s="33" t="s">
        <v>9362</v>
      </c>
      <c r="JI157" s="33" t="s">
        <v>9362</v>
      </c>
      <c r="JJ157" s="33" t="s">
        <v>9362</v>
      </c>
      <c r="JK157" s="33" t="s">
        <v>9362</v>
      </c>
      <c r="JL157" s="33"/>
      <c r="JM157" s="33" t="s">
        <v>9362</v>
      </c>
      <c r="JN157" s="33" t="s">
        <v>9362</v>
      </c>
      <c r="JO157" s="33"/>
      <c r="JP157" s="33"/>
      <c r="JQ157" s="33"/>
      <c r="JR157" s="33"/>
      <c r="KZ157" s="33"/>
      <c r="LA157" s="33"/>
      <c r="LB157" s="33"/>
      <c r="LC157" s="33"/>
      <c r="LD157" s="33"/>
      <c r="LE157" s="33"/>
      <c r="LF157" s="33"/>
      <c r="LG157" s="33"/>
      <c r="LH157" s="33"/>
      <c r="LI157" s="33"/>
      <c r="LJ157" s="33"/>
      <c r="LK157" s="33"/>
      <c r="LL157" s="33"/>
      <c r="LM157" s="33"/>
      <c r="LN157" s="33"/>
      <c r="LO157" s="33"/>
      <c r="LP157" s="44"/>
      <c r="LQ157" s="44"/>
      <c r="LR157" s="44"/>
      <c r="LS157" s="44"/>
      <c r="LT157" s="44"/>
      <c r="LU157" s="44"/>
      <c r="LV157" s="44"/>
    </row>
    <row r="158" spans="1:334" x14ac:dyDescent="0.2">
      <c r="A158" s="1" t="s">
        <v>8400</v>
      </c>
      <c r="D158" s="1" t="s">
        <v>8401</v>
      </c>
      <c r="E158" s="1" t="s">
        <v>7</v>
      </c>
      <c r="F158" s="1" t="s">
        <v>8402</v>
      </c>
      <c r="H158" s="1" t="s">
        <v>8403</v>
      </c>
      <c r="I158" s="1">
        <v>2</v>
      </c>
      <c r="K158" s="1">
        <v>2004</v>
      </c>
      <c r="L158" s="1" t="s">
        <v>8404</v>
      </c>
      <c r="M158" s="1" t="s">
        <v>7657</v>
      </c>
      <c r="N158" s="17" t="s">
        <v>7945</v>
      </c>
      <c r="O158" s="33"/>
      <c r="P158" s="33"/>
      <c r="Q158" s="33"/>
      <c r="R158" s="33"/>
      <c r="S158" s="33">
        <v>12.1</v>
      </c>
      <c r="T158" s="33"/>
      <c r="U158" s="33"/>
      <c r="V158" s="33"/>
      <c r="W158" s="33"/>
      <c r="X158" s="33"/>
      <c r="Y158" s="33"/>
      <c r="Z158" s="33"/>
      <c r="AA158" s="33">
        <v>20.216999999999999</v>
      </c>
      <c r="AB158" s="33"/>
      <c r="AC158" s="33"/>
      <c r="AD158" s="33">
        <v>1.3185000000000002</v>
      </c>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v>15.373709999999999</v>
      </c>
      <c r="BC158" s="33"/>
      <c r="BD158" s="33"/>
      <c r="BE158" s="33"/>
      <c r="BF158" s="33"/>
      <c r="BG158" s="33">
        <v>13.281690000000001</v>
      </c>
      <c r="BH158" s="33">
        <v>1.13391</v>
      </c>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v>3.0765000000000002</v>
      </c>
      <c r="CP158" s="33">
        <v>65.924999999999997</v>
      </c>
      <c r="CQ158" s="33"/>
      <c r="CR158" s="33"/>
      <c r="CS158" s="33">
        <v>6.2408999999999999</v>
      </c>
      <c r="CT158" s="33"/>
      <c r="CU158" s="33"/>
      <c r="CV158" s="33"/>
      <c r="CW158" s="33"/>
      <c r="CX158" s="33"/>
      <c r="CY158" s="33">
        <v>280.40100000000001</v>
      </c>
      <c r="CZ158" s="33"/>
      <c r="DA158" s="33"/>
      <c r="DB158" s="33"/>
      <c r="DC158" s="33"/>
      <c r="DD158" s="33"/>
      <c r="DE158" s="33"/>
      <c r="DF158" s="33"/>
      <c r="DG158" s="33"/>
      <c r="DH158" s="33"/>
      <c r="DI158" s="33"/>
      <c r="DJ158" s="33"/>
      <c r="DK158" s="33"/>
      <c r="DL158" s="33"/>
      <c r="DM158" s="33"/>
      <c r="DN158" s="33"/>
      <c r="DO158" s="33"/>
      <c r="DP158" s="33">
        <v>0.42192000000000002</v>
      </c>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c r="IV158" s="33"/>
      <c r="IW158" s="33"/>
      <c r="IX158" s="33"/>
      <c r="IY158" s="33"/>
      <c r="IZ158" s="33"/>
      <c r="JA158" s="33"/>
      <c r="JB158" s="33"/>
      <c r="JC158" s="33"/>
      <c r="JD158" s="33"/>
      <c r="JE158" s="33"/>
      <c r="JF158" s="33"/>
      <c r="JG158" s="33"/>
      <c r="JH158" s="33"/>
      <c r="JI158" s="33"/>
      <c r="JJ158" s="33"/>
      <c r="JK158" s="33"/>
      <c r="JL158" s="33"/>
      <c r="JM158" s="33"/>
      <c r="JN158" s="33"/>
      <c r="JO158" s="33"/>
      <c r="JP158" s="33"/>
      <c r="JQ158" s="33"/>
      <c r="JR158" s="33"/>
      <c r="KZ158" s="33"/>
      <c r="LA158" s="33"/>
      <c r="LB158" s="33"/>
      <c r="LC158" s="33"/>
      <c r="LD158" s="33"/>
      <c r="LE158" s="33"/>
      <c r="LF158" s="33"/>
      <c r="LG158" s="33"/>
      <c r="LH158" s="33"/>
      <c r="LI158" s="33"/>
      <c r="LJ158" s="33"/>
      <c r="LK158" s="33"/>
      <c r="LL158" s="33"/>
      <c r="LM158" s="33"/>
      <c r="LN158" s="33"/>
      <c r="LO158" s="33"/>
      <c r="LP158" s="44"/>
      <c r="LQ158" s="44"/>
      <c r="LR158" s="44"/>
      <c r="LS158" s="44"/>
      <c r="LT158" s="44"/>
      <c r="LU158" s="44"/>
      <c r="LV158" s="44"/>
    </row>
    <row r="159" spans="1:334" x14ac:dyDescent="0.2">
      <c r="A159" s="1" t="s">
        <v>8405</v>
      </c>
      <c r="D159" s="1" t="s">
        <v>8406</v>
      </c>
      <c r="E159" s="1" t="s">
        <v>11</v>
      </c>
      <c r="F159" s="1" t="s">
        <v>8402</v>
      </c>
      <c r="H159" s="1" t="s">
        <v>8407</v>
      </c>
      <c r="I159" s="1">
        <v>2</v>
      </c>
      <c r="K159" s="1">
        <v>2004</v>
      </c>
      <c r="L159" s="1" t="s">
        <v>8404</v>
      </c>
      <c r="M159" s="1" t="s">
        <v>7657</v>
      </c>
      <c r="N159" s="17" t="s">
        <v>7945</v>
      </c>
      <c r="O159" s="33"/>
      <c r="P159" s="33"/>
      <c r="Q159" s="33"/>
      <c r="R159" s="33"/>
      <c r="S159" s="33">
        <v>65.8</v>
      </c>
      <c r="T159" s="33"/>
      <c r="U159" s="33"/>
      <c r="V159" s="33"/>
      <c r="W159" s="33"/>
      <c r="X159" s="33"/>
      <c r="Y159" s="33"/>
      <c r="Z159" s="33"/>
      <c r="AA159" s="33">
        <v>8.0028000000000006</v>
      </c>
      <c r="AB159" s="33"/>
      <c r="AC159" s="33"/>
      <c r="AD159" s="33">
        <v>0.51300000000000001</v>
      </c>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v>5.5677600000000007</v>
      </c>
      <c r="BC159" s="33"/>
      <c r="BD159" s="33"/>
      <c r="BE159" s="33"/>
      <c r="BF159" s="33"/>
      <c r="BG159" s="33">
        <v>5.2839</v>
      </c>
      <c r="BH159" s="33">
        <v>0.4788</v>
      </c>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v>1.026</v>
      </c>
      <c r="CP159" s="33">
        <v>21.546000000000003</v>
      </c>
      <c r="CQ159" s="33"/>
      <c r="CR159" s="33"/>
      <c r="CS159" s="33">
        <v>2.3940000000000001</v>
      </c>
      <c r="CT159" s="33"/>
      <c r="CU159" s="33"/>
      <c r="CV159" s="33"/>
      <c r="CW159" s="33"/>
      <c r="CX159" s="33"/>
      <c r="CY159" s="33">
        <v>107.04600000000001</v>
      </c>
      <c r="CZ159" s="33"/>
      <c r="DA159" s="33"/>
      <c r="DB159" s="33"/>
      <c r="DC159" s="33"/>
      <c r="DD159" s="33"/>
      <c r="DE159" s="33"/>
      <c r="DF159" s="33"/>
      <c r="DG159" s="33"/>
      <c r="DH159" s="33"/>
      <c r="DI159" s="33"/>
      <c r="DJ159" s="33"/>
      <c r="DK159" s="33"/>
      <c r="DL159" s="33"/>
      <c r="DM159" s="33"/>
      <c r="DN159" s="33"/>
      <c r="DO159" s="33"/>
      <c r="DP159" s="33">
        <v>0.10602</v>
      </c>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c r="IV159" s="33"/>
      <c r="IW159" s="33"/>
      <c r="IX159" s="33"/>
      <c r="IY159" s="33"/>
      <c r="IZ159" s="33"/>
      <c r="JA159" s="33"/>
      <c r="JB159" s="33"/>
      <c r="JC159" s="33"/>
      <c r="JD159" s="33"/>
      <c r="JE159" s="33"/>
      <c r="JF159" s="33"/>
      <c r="JG159" s="33"/>
      <c r="JH159" s="33"/>
      <c r="JI159" s="33"/>
      <c r="JJ159" s="33"/>
      <c r="JK159" s="33"/>
      <c r="JL159" s="33"/>
      <c r="JM159" s="33"/>
      <c r="JN159" s="33"/>
      <c r="JO159" s="33"/>
      <c r="JP159" s="33"/>
      <c r="JQ159" s="33"/>
      <c r="JR159" s="33"/>
      <c r="KZ159" s="33"/>
      <c r="LA159" s="33"/>
      <c r="LB159" s="33"/>
      <c r="LC159" s="33"/>
      <c r="LD159" s="33"/>
      <c r="LE159" s="33"/>
      <c r="LF159" s="33"/>
      <c r="LG159" s="33"/>
      <c r="LH159" s="33"/>
      <c r="LI159" s="33"/>
      <c r="LJ159" s="33"/>
      <c r="LK159" s="33"/>
      <c r="LL159" s="33"/>
      <c r="LM159" s="33"/>
      <c r="LN159" s="33"/>
      <c r="LO159" s="33"/>
      <c r="LP159" s="44"/>
      <c r="LQ159" s="44"/>
      <c r="LR159" s="44"/>
      <c r="LS159" s="44"/>
      <c r="LT159" s="44"/>
      <c r="LU159" s="44"/>
      <c r="LV159" s="44"/>
    </row>
    <row r="160" spans="1:334" x14ac:dyDescent="0.2">
      <c r="A160" s="1" t="s">
        <v>8408</v>
      </c>
      <c r="D160" s="1" t="s">
        <v>8409</v>
      </c>
      <c r="E160" s="1" t="s">
        <v>11</v>
      </c>
      <c r="F160" s="1" t="s">
        <v>8402</v>
      </c>
      <c r="H160" s="1" t="s">
        <v>8407</v>
      </c>
      <c r="I160" s="1">
        <v>2</v>
      </c>
      <c r="K160" s="1">
        <v>2004</v>
      </c>
      <c r="L160" s="1" t="s">
        <v>8404</v>
      </c>
      <c r="M160" s="1" t="s">
        <v>7657</v>
      </c>
      <c r="N160" s="17" t="s">
        <v>7945</v>
      </c>
      <c r="O160" s="33"/>
      <c r="P160" s="33"/>
      <c r="Q160" s="33"/>
      <c r="R160" s="33"/>
      <c r="S160" s="33">
        <v>70.3</v>
      </c>
      <c r="T160" s="33"/>
      <c r="U160" s="33"/>
      <c r="V160" s="33"/>
      <c r="W160" s="33"/>
      <c r="X160" s="33"/>
      <c r="Y160" s="33"/>
      <c r="Z160" s="33"/>
      <c r="AA160" s="33">
        <v>6.7122000000000011</v>
      </c>
      <c r="AB160" s="33"/>
      <c r="AC160" s="33"/>
      <c r="AD160" s="33">
        <v>0.44550000000000006</v>
      </c>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v>5.2509600000000001</v>
      </c>
      <c r="BC160" s="33"/>
      <c r="BD160" s="33"/>
      <c r="BE160" s="33"/>
      <c r="BF160" s="33"/>
      <c r="BG160" s="33">
        <v>4.8678300000000005</v>
      </c>
      <c r="BH160" s="33">
        <v>0.5375700000000001</v>
      </c>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v>0.77220000000000011</v>
      </c>
      <c r="CP160" s="33">
        <v>18.414000000000001</v>
      </c>
      <c r="CQ160" s="33"/>
      <c r="CR160" s="33"/>
      <c r="CS160" s="33">
        <v>2.0790000000000002</v>
      </c>
      <c r="CT160" s="33"/>
      <c r="CU160" s="33"/>
      <c r="CV160" s="33"/>
      <c r="CW160" s="33"/>
      <c r="CX160" s="33"/>
      <c r="CY160" s="33">
        <v>92.960999999999999</v>
      </c>
      <c r="CZ160" s="33"/>
      <c r="DA160" s="33"/>
      <c r="DB160" s="33"/>
      <c r="DC160" s="33"/>
      <c r="DD160" s="33"/>
      <c r="DE160" s="33"/>
      <c r="DF160" s="33"/>
      <c r="DG160" s="33"/>
      <c r="DH160" s="33"/>
      <c r="DI160" s="33"/>
      <c r="DJ160" s="33"/>
      <c r="DK160" s="33"/>
      <c r="DL160" s="33"/>
      <c r="DM160" s="33"/>
      <c r="DN160" s="33"/>
      <c r="DO160" s="33"/>
      <c r="DP160" s="33">
        <v>8.0190000000000025E-2</v>
      </c>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c r="IV160" s="33"/>
      <c r="IW160" s="33"/>
      <c r="IX160" s="33"/>
      <c r="IY160" s="33"/>
      <c r="IZ160" s="33"/>
      <c r="JA160" s="33"/>
      <c r="JB160" s="33"/>
      <c r="JC160" s="33"/>
      <c r="JD160" s="33"/>
      <c r="JE160" s="33"/>
      <c r="JF160" s="33"/>
      <c r="JG160" s="33"/>
      <c r="JH160" s="33"/>
      <c r="JI160" s="33"/>
      <c r="JJ160" s="33"/>
      <c r="JK160" s="33"/>
      <c r="JL160" s="33"/>
      <c r="JM160" s="33"/>
      <c r="JN160" s="33"/>
      <c r="JO160" s="33"/>
      <c r="JP160" s="33"/>
      <c r="JQ160" s="33"/>
      <c r="JR160" s="33"/>
      <c r="KZ160" s="33"/>
      <c r="LA160" s="33"/>
      <c r="LB160" s="33"/>
      <c r="LC160" s="33"/>
      <c r="LD160" s="33"/>
      <c r="LE160" s="33"/>
      <c r="LF160" s="33"/>
      <c r="LG160" s="33"/>
      <c r="LH160" s="33"/>
      <c r="LI160" s="33"/>
      <c r="LJ160" s="33"/>
      <c r="LK160" s="33"/>
      <c r="LL160" s="33"/>
      <c r="LM160" s="33"/>
      <c r="LN160" s="33"/>
      <c r="LO160" s="33"/>
      <c r="LP160" s="44"/>
      <c r="LQ160" s="44"/>
      <c r="LR160" s="44"/>
      <c r="LS160" s="44"/>
      <c r="LT160" s="44"/>
      <c r="LU160" s="44"/>
      <c r="LV160" s="44"/>
    </row>
    <row r="161" spans="1:334" x14ac:dyDescent="0.2">
      <c r="A161" s="1" t="s">
        <v>8410</v>
      </c>
      <c r="D161" s="1" t="s">
        <v>8411</v>
      </c>
      <c r="E161" s="1" t="s">
        <v>7</v>
      </c>
      <c r="F161" s="1" t="s">
        <v>688</v>
      </c>
      <c r="H161" s="1" t="s">
        <v>8403</v>
      </c>
      <c r="I161" s="1">
        <v>2</v>
      </c>
      <c r="K161" s="1">
        <v>2004</v>
      </c>
      <c r="L161" s="1" t="s">
        <v>8404</v>
      </c>
      <c r="M161" s="1" t="s">
        <v>7657</v>
      </c>
      <c r="N161" s="17" t="s">
        <v>7945</v>
      </c>
      <c r="O161" s="33"/>
      <c r="P161" s="33"/>
      <c r="Q161" s="33"/>
      <c r="R161" s="33"/>
      <c r="S161" s="33">
        <v>7.4</v>
      </c>
      <c r="T161" s="33"/>
      <c r="U161" s="33"/>
      <c r="V161" s="33"/>
      <c r="W161" s="33"/>
      <c r="X161" s="33"/>
      <c r="Y161" s="33"/>
      <c r="Z161" s="33"/>
      <c r="AA161" s="33">
        <v>14.075199999999997</v>
      </c>
      <c r="AB161" s="33"/>
      <c r="AC161" s="33"/>
      <c r="AD161" s="33">
        <v>5.093</v>
      </c>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v>26.705839999999998</v>
      </c>
      <c r="BC161" s="33"/>
      <c r="BD161" s="33"/>
      <c r="BE161" s="33"/>
      <c r="BF161" s="33"/>
      <c r="BG161" s="33">
        <v>25.77984</v>
      </c>
      <c r="BH161" s="33">
        <v>1.3149199999999999</v>
      </c>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v>2.4076</v>
      </c>
      <c r="CP161" s="33">
        <v>100.934</v>
      </c>
      <c r="CQ161" s="33"/>
      <c r="CR161" s="33"/>
      <c r="CS161" s="33">
        <v>6.7597999999999994</v>
      </c>
      <c r="CT161" s="33"/>
      <c r="CU161" s="33"/>
      <c r="CV161" s="33"/>
      <c r="CW161" s="33"/>
      <c r="CX161" s="33"/>
      <c r="CY161" s="33">
        <v>179.64399999999998</v>
      </c>
      <c r="CZ161" s="33"/>
      <c r="DA161" s="33"/>
      <c r="DB161" s="33"/>
      <c r="DC161" s="33"/>
      <c r="DD161" s="33"/>
      <c r="DE161" s="33"/>
      <c r="DF161" s="33"/>
      <c r="DG161" s="33"/>
      <c r="DH161" s="33"/>
      <c r="DI161" s="33"/>
      <c r="DJ161" s="33"/>
      <c r="DK161" s="33"/>
      <c r="DL161" s="33"/>
      <c r="DM161" s="33"/>
      <c r="DN161" s="33"/>
      <c r="DO161" s="33"/>
      <c r="DP161" s="33">
        <v>0.38891999999999993</v>
      </c>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c r="IV161" s="33"/>
      <c r="IW161" s="33"/>
      <c r="IX161" s="33"/>
      <c r="IY161" s="33"/>
      <c r="IZ161" s="33"/>
      <c r="JA161" s="33"/>
      <c r="JB161" s="33"/>
      <c r="JC161" s="33"/>
      <c r="JD161" s="33"/>
      <c r="JE161" s="33"/>
      <c r="JF161" s="33"/>
      <c r="JG161" s="33"/>
      <c r="JH161" s="33"/>
      <c r="JI161" s="33"/>
      <c r="JJ161" s="33"/>
      <c r="JK161" s="33"/>
      <c r="JL161" s="33"/>
      <c r="JM161" s="33"/>
      <c r="JN161" s="33"/>
      <c r="JO161" s="33"/>
      <c r="JP161" s="33"/>
      <c r="JQ161" s="33"/>
      <c r="JR161" s="33"/>
      <c r="KZ161" s="33"/>
      <c r="LA161" s="33"/>
      <c r="LB161" s="33"/>
      <c r="LC161" s="33"/>
      <c r="LD161" s="33"/>
      <c r="LE161" s="33"/>
      <c r="LF161" s="33"/>
      <c r="LG161" s="33"/>
      <c r="LH161" s="33"/>
      <c r="LI161" s="33"/>
      <c r="LJ161" s="33"/>
      <c r="LK161" s="33"/>
      <c r="LL161" s="33"/>
      <c r="LM161" s="33"/>
      <c r="LN161" s="33"/>
      <c r="LO161" s="33"/>
      <c r="LP161" s="44"/>
      <c r="LQ161" s="44"/>
      <c r="LR161" s="44"/>
      <c r="LS161" s="44"/>
      <c r="LT161" s="44"/>
      <c r="LU161" s="44"/>
      <c r="LV161" s="44"/>
    </row>
    <row r="162" spans="1:334" x14ac:dyDescent="0.2">
      <c r="A162" s="1" t="s">
        <v>8412</v>
      </c>
      <c r="D162" s="1" t="s">
        <v>8413</v>
      </c>
      <c r="E162" s="1" t="s">
        <v>11</v>
      </c>
      <c r="F162" s="1" t="s">
        <v>688</v>
      </c>
      <c r="H162" s="1" t="s">
        <v>8407</v>
      </c>
      <c r="I162" s="1">
        <v>2</v>
      </c>
      <c r="K162" s="1">
        <v>2004</v>
      </c>
      <c r="L162" s="1" t="s">
        <v>8404</v>
      </c>
      <c r="M162" s="1" t="s">
        <v>7657</v>
      </c>
      <c r="N162" s="17" t="s">
        <v>7945</v>
      </c>
      <c r="O162" s="33"/>
      <c r="P162" s="33"/>
      <c r="Q162" s="33"/>
      <c r="R162" s="33"/>
      <c r="S162" s="33">
        <v>64.3</v>
      </c>
      <c r="T162" s="33"/>
      <c r="U162" s="33"/>
      <c r="V162" s="33"/>
      <c r="W162" s="33"/>
      <c r="X162" s="33"/>
      <c r="Y162" s="33"/>
      <c r="Z162" s="33"/>
      <c r="AA162" s="33">
        <v>5.2478999999999996</v>
      </c>
      <c r="AB162" s="33"/>
      <c r="AC162" s="33"/>
      <c r="AD162" s="33">
        <v>2.1063000000000001</v>
      </c>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v>9.6497100000000007</v>
      </c>
      <c r="BC162" s="33"/>
      <c r="BD162" s="33"/>
      <c r="BE162" s="33"/>
      <c r="BF162" s="33"/>
      <c r="BG162" s="33">
        <v>9.3569700000000005</v>
      </c>
      <c r="BH162" s="33">
        <v>0.6283200000000001</v>
      </c>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v>0.74970000000000014</v>
      </c>
      <c r="CP162" s="33">
        <v>35.700000000000003</v>
      </c>
      <c r="CQ162" s="33"/>
      <c r="CR162" s="33"/>
      <c r="CS162" s="33">
        <v>2.2491000000000003</v>
      </c>
      <c r="CT162" s="33"/>
      <c r="CU162" s="33"/>
      <c r="CV162" s="33"/>
      <c r="CW162" s="33"/>
      <c r="CX162" s="33"/>
      <c r="CY162" s="33">
        <v>92.82</v>
      </c>
      <c r="CZ162" s="33"/>
      <c r="DA162" s="33"/>
      <c r="DB162" s="33"/>
      <c r="DC162" s="33"/>
      <c r="DD162" s="33"/>
      <c r="DE162" s="33"/>
      <c r="DF162" s="33"/>
      <c r="DG162" s="33"/>
      <c r="DH162" s="33"/>
      <c r="DI162" s="33"/>
      <c r="DJ162" s="33"/>
      <c r="DK162" s="33"/>
      <c r="DL162" s="33"/>
      <c r="DM162" s="33"/>
      <c r="DN162" s="33"/>
      <c r="DO162" s="33"/>
      <c r="DP162" s="33">
        <v>0.10353</v>
      </c>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c r="IV162" s="33"/>
      <c r="IW162" s="33"/>
      <c r="IX162" s="33"/>
      <c r="IY162" s="33"/>
      <c r="IZ162" s="33"/>
      <c r="JA162" s="33"/>
      <c r="JB162" s="33"/>
      <c r="JC162" s="33"/>
      <c r="JD162" s="33"/>
      <c r="JE162" s="33"/>
      <c r="JF162" s="33"/>
      <c r="JG162" s="33"/>
      <c r="JH162" s="33"/>
      <c r="JI162" s="33"/>
      <c r="JJ162" s="33"/>
      <c r="JK162" s="33"/>
      <c r="JL162" s="33"/>
      <c r="JM162" s="33"/>
      <c r="JN162" s="33"/>
      <c r="JO162" s="33"/>
      <c r="JP162" s="33"/>
      <c r="JQ162" s="33"/>
      <c r="JR162" s="33"/>
      <c r="KZ162" s="33"/>
      <c r="LA162" s="33"/>
      <c r="LB162" s="33"/>
      <c r="LC162" s="33"/>
      <c r="LD162" s="33"/>
      <c r="LE162" s="33"/>
      <c r="LF162" s="33"/>
      <c r="LG162" s="33"/>
      <c r="LH162" s="33"/>
      <c r="LI162" s="33"/>
      <c r="LJ162" s="33"/>
      <c r="LK162" s="33"/>
      <c r="LL162" s="33"/>
      <c r="LM162" s="33"/>
      <c r="LN162" s="33"/>
      <c r="LO162" s="33"/>
      <c r="LP162" s="44"/>
      <c r="LQ162" s="44"/>
      <c r="LR162" s="44"/>
      <c r="LS162" s="44"/>
      <c r="LT162" s="44"/>
      <c r="LU162" s="44"/>
      <c r="LV162" s="44"/>
    </row>
    <row r="163" spans="1:334" x14ac:dyDescent="0.2">
      <c r="A163" s="1" t="s">
        <v>8414</v>
      </c>
      <c r="D163" s="1" t="s">
        <v>8415</v>
      </c>
      <c r="E163" s="1" t="s">
        <v>11</v>
      </c>
      <c r="F163" s="1" t="s">
        <v>688</v>
      </c>
      <c r="H163" s="1" t="s">
        <v>8407</v>
      </c>
      <c r="I163" s="1">
        <v>2</v>
      </c>
      <c r="K163" s="1">
        <v>2004</v>
      </c>
      <c r="L163" s="1" t="s">
        <v>8404</v>
      </c>
      <c r="M163" s="1" t="s">
        <v>7657</v>
      </c>
      <c r="N163" s="17" t="s">
        <v>7945</v>
      </c>
      <c r="O163" s="33"/>
      <c r="P163" s="33"/>
      <c r="Q163" s="33"/>
      <c r="R163" s="33"/>
      <c r="S163" s="33">
        <v>63</v>
      </c>
      <c r="T163" s="33"/>
      <c r="U163" s="33"/>
      <c r="V163" s="33"/>
      <c r="W163" s="33"/>
      <c r="X163" s="33"/>
      <c r="Y163" s="33"/>
      <c r="Z163" s="33"/>
      <c r="AA163" s="33">
        <v>5.6350999999999996</v>
      </c>
      <c r="AB163" s="33"/>
      <c r="AC163" s="33"/>
      <c r="AD163" s="33">
        <v>2.109</v>
      </c>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v>10.463600000000001</v>
      </c>
      <c r="BC163" s="33"/>
      <c r="BD163" s="33"/>
      <c r="BE163" s="33"/>
      <c r="BF163" s="33"/>
      <c r="BG163" s="33">
        <v>10.223099999999999</v>
      </c>
      <c r="BH163" s="33">
        <v>0.68820000000000003</v>
      </c>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v>0.81400000000000006</v>
      </c>
      <c r="CP163" s="33">
        <v>39.22</v>
      </c>
      <c r="CQ163" s="33"/>
      <c r="CR163" s="33"/>
      <c r="CS163" s="33">
        <v>2.2200000000000002</v>
      </c>
      <c r="CT163" s="33"/>
      <c r="CU163" s="33"/>
      <c r="CV163" s="33"/>
      <c r="CW163" s="33"/>
      <c r="CX163" s="33"/>
      <c r="CY163" s="33">
        <v>92.13</v>
      </c>
      <c r="CZ163" s="33"/>
      <c r="DA163" s="33"/>
      <c r="DB163" s="33"/>
      <c r="DC163" s="33"/>
      <c r="DD163" s="33"/>
      <c r="DE163" s="33"/>
      <c r="DF163" s="33"/>
      <c r="DG163" s="33"/>
      <c r="DH163" s="33"/>
      <c r="DI163" s="33"/>
      <c r="DJ163" s="33"/>
      <c r="DK163" s="33"/>
      <c r="DL163" s="33"/>
      <c r="DM163" s="33"/>
      <c r="DN163" s="33"/>
      <c r="DO163" s="33"/>
      <c r="DP163" s="33">
        <v>0.10729999999999999</v>
      </c>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c r="IV163" s="33"/>
      <c r="IW163" s="33"/>
      <c r="IX163" s="33"/>
      <c r="IY163" s="33"/>
      <c r="IZ163" s="33"/>
      <c r="JA163" s="33"/>
      <c r="JB163" s="33"/>
      <c r="JC163" s="33"/>
      <c r="JD163" s="33"/>
      <c r="JE163" s="33"/>
      <c r="JF163" s="33"/>
      <c r="JG163" s="33"/>
      <c r="JH163" s="33"/>
      <c r="JI163" s="33"/>
      <c r="JJ163" s="33"/>
      <c r="JK163" s="33"/>
      <c r="JL163" s="33"/>
      <c r="JM163" s="33"/>
      <c r="JN163" s="33"/>
      <c r="JO163" s="33"/>
      <c r="JP163" s="33"/>
      <c r="JQ163" s="33"/>
      <c r="JR163" s="33"/>
      <c r="KZ163" s="33"/>
      <c r="LA163" s="33"/>
      <c r="LB163" s="33"/>
      <c r="LC163" s="33"/>
      <c r="LD163" s="33"/>
      <c r="LE163" s="33"/>
      <c r="LF163" s="33"/>
      <c r="LG163" s="33"/>
      <c r="LH163" s="33"/>
      <c r="LI163" s="33"/>
      <c r="LJ163" s="33"/>
      <c r="LK163" s="33"/>
      <c r="LL163" s="33"/>
      <c r="LM163" s="33"/>
      <c r="LN163" s="33"/>
      <c r="LO163" s="33"/>
      <c r="LP163" s="44"/>
      <c r="LQ163" s="44"/>
      <c r="LR163" s="44"/>
      <c r="LS163" s="44"/>
      <c r="LT163" s="44"/>
      <c r="LU163" s="44"/>
      <c r="LV163" s="44"/>
    </row>
    <row r="164" spans="1:334" x14ac:dyDescent="0.2">
      <c r="A164" s="1" t="s">
        <v>8416</v>
      </c>
      <c r="D164" s="1" t="s">
        <v>8417</v>
      </c>
      <c r="E164" s="1" t="s">
        <v>7</v>
      </c>
      <c r="F164" s="1" t="s">
        <v>8160</v>
      </c>
      <c r="H164" s="1" t="s">
        <v>8403</v>
      </c>
      <c r="I164" s="1">
        <v>2</v>
      </c>
      <c r="K164" s="1">
        <v>2004</v>
      </c>
      <c r="L164" s="1" t="s">
        <v>8404</v>
      </c>
      <c r="M164" s="1" t="s">
        <v>7657</v>
      </c>
      <c r="N164" s="17" t="s">
        <v>7945</v>
      </c>
      <c r="O164" s="33"/>
      <c r="P164" s="33"/>
      <c r="Q164" s="33"/>
      <c r="R164" s="33"/>
      <c r="S164" s="33">
        <v>9.6999999999999993</v>
      </c>
      <c r="T164" s="33"/>
      <c r="U164" s="33"/>
      <c r="V164" s="33"/>
      <c r="W164" s="33"/>
      <c r="X164" s="33"/>
      <c r="Y164" s="33"/>
      <c r="Z164" s="33"/>
      <c r="AA164" s="33">
        <v>21.852599999999999</v>
      </c>
      <c r="AB164" s="33"/>
      <c r="AC164" s="33"/>
      <c r="AD164" s="33">
        <v>1.1738999999999999</v>
      </c>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v>25.762589999999999</v>
      </c>
      <c r="BC164" s="33"/>
      <c r="BD164" s="33"/>
      <c r="BE164" s="33"/>
      <c r="BF164" s="33"/>
      <c r="BG164" s="33">
        <v>23.405760000000001</v>
      </c>
      <c r="BH164" s="33">
        <v>0.93008999999999997</v>
      </c>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v>3.4314</v>
      </c>
      <c r="CP164" s="33">
        <v>58.695</v>
      </c>
      <c r="CQ164" s="33"/>
      <c r="CR164" s="33"/>
      <c r="CS164" s="33">
        <v>6.5015999999999998</v>
      </c>
      <c r="CT164" s="33"/>
      <c r="CU164" s="33"/>
      <c r="CV164" s="33"/>
      <c r="CW164" s="33"/>
      <c r="CX164" s="33"/>
      <c r="CY164" s="33">
        <v>383.77499999999998</v>
      </c>
      <c r="CZ164" s="33"/>
      <c r="DA164" s="33"/>
      <c r="DB164" s="33"/>
      <c r="DC164" s="33"/>
      <c r="DD164" s="33"/>
      <c r="DE164" s="33"/>
      <c r="DF164" s="33"/>
      <c r="DG164" s="33"/>
      <c r="DH164" s="33"/>
      <c r="DI164" s="33"/>
      <c r="DJ164" s="33"/>
      <c r="DK164" s="33"/>
      <c r="DL164" s="33"/>
      <c r="DM164" s="33"/>
      <c r="DN164" s="33"/>
      <c r="DO164" s="33"/>
      <c r="DP164" s="33">
        <v>0.37925999999999993</v>
      </c>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c r="IV164" s="33"/>
      <c r="IW164" s="33"/>
      <c r="IX164" s="33"/>
      <c r="IY164" s="33"/>
      <c r="IZ164" s="33"/>
      <c r="JA164" s="33"/>
      <c r="JB164" s="33"/>
      <c r="JC164" s="33"/>
      <c r="JD164" s="33"/>
      <c r="JE164" s="33"/>
      <c r="JF164" s="33"/>
      <c r="JG164" s="33"/>
      <c r="JH164" s="33"/>
      <c r="JI164" s="33"/>
      <c r="JJ164" s="33"/>
      <c r="JK164" s="33"/>
      <c r="JL164" s="33"/>
      <c r="JM164" s="33"/>
      <c r="JN164" s="33"/>
      <c r="JO164" s="33"/>
      <c r="JP164" s="33"/>
      <c r="JQ164" s="33"/>
      <c r="JR164" s="33"/>
      <c r="KZ164" s="33"/>
      <c r="LA164" s="33"/>
      <c r="LB164" s="33"/>
      <c r="LC164" s="33"/>
      <c r="LD164" s="33"/>
      <c r="LE164" s="33"/>
      <c r="LF164" s="33"/>
      <c r="LG164" s="33"/>
      <c r="LH164" s="33"/>
      <c r="LI164" s="33"/>
      <c r="LJ164" s="33"/>
      <c r="LK164" s="33"/>
      <c r="LL164" s="33"/>
      <c r="LM164" s="33"/>
      <c r="LN164" s="33"/>
      <c r="LO164" s="33"/>
      <c r="LP164" s="44"/>
      <c r="LQ164" s="44"/>
      <c r="LR164" s="44"/>
      <c r="LS164" s="44"/>
      <c r="LT164" s="44"/>
      <c r="LU164" s="44"/>
      <c r="LV164" s="44"/>
    </row>
    <row r="165" spans="1:334" x14ac:dyDescent="0.2">
      <c r="A165" s="1" t="s">
        <v>8418</v>
      </c>
      <c r="D165" s="1" t="s">
        <v>8419</v>
      </c>
      <c r="E165" s="1" t="s">
        <v>11</v>
      </c>
      <c r="F165" s="1" t="s">
        <v>8160</v>
      </c>
      <c r="H165" s="1" t="s">
        <v>8407</v>
      </c>
      <c r="I165" s="1">
        <v>2</v>
      </c>
      <c r="K165" s="1">
        <v>2004</v>
      </c>
      <c r="L165" s="1" t="s">
        <v>8404</v>
      </c>
      <c r="M165" s="1" t="s">
        <v>7657</v>
      </c>
      <c r="N165" s="17" t="s">
        <v>7945</v>
      </c>
      <c r="O165" s="33"/>
      <c r="P165" s="33"/>
      <c r="Q165" s="33"/>
      <c r="R165" s="33"/>
      <c r="S165" s="33">
        <v>64.5</v>
      </c>
      <c r="T165" s="33"/>
      <c r="U165" s="33"/>
      <c r="V165" s="33"/>
      <c r="W165" s="33"/>
      <c r="X165" s="33"/>
      <c r="Y165" s="33"/>
      <c r="Z165" s="33"/>
      <c r="AA165" s="33">
        <v>8.52</v>
      </c>
      <c r="AB165" s="33"/>
      <c r="AC165" s="33"/>
      <c r="AD165" s="33">
        <v>0.46149999999999997</v>
      </c>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v>8.9353500000000015</v>
      </c>
      <c r="BC165" s="33"/>
      <c r="BD165" s="33"/>
      <c r="BE165" s="33"/>
      <c r="BF165" s="33"/>
      <c r="BG165" s="33">
        <v>8.3283000000000005</v>
      </c>
      <c r="BH165" s="33">
        <v>0.28045000000000003</v>
      </c>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v>1.1360000000000001</v>
      </c>
      <c r="CP165" s="33">
        <v>20.945</v>
      </c>
      <c r="CQ165" s="33"/>
      <c r="CR165" s="33"/>
      <c r="CS165" s="33">
        <v>2.3784999999999998</v>
      </c>
      <c r="CT165" s="33"/>
      <c r="CU165" s="33"/>
      <c r="CV165" s="33"/>
      <c r="CW165" s="33"/>
      <c r="CX165" s="33"/>
      <c r="CY165" s="33">
        <v>152.29499999999999</v>
      </c>
      <c r="CZ165" s="33"/>
      <c r="DA165" s="33"/>
      <c r="DB165" s="33"/>
      <c r="DC165" s="33"/>
      <c r="DD165" s="33"/>
      <c r="DE165" s="33"/>
      <c r="DF165" s="33"/>
      <c r="DG165" s="33"/>
      <c r="DH165" s="33"/>
      <c r="DI165" s="33"/>
      <c r="DJ165" s="33"/>
      <c r="DK165" s="33"/>
      <c r="DL165" s="33"/>
      <c r="DM165" s="33"/>
      <c r="DN165" s="33"/>
      <c r="DO165" s="33"/>
      <c r="DP165" s="33">
        <v>0.11359999999999999</v>
      </c>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c r="IV165" s="33"/>
      <c r="IW165" s="33"/>
      <c r="IX165" s="33"/>
      <c r="IY165" s="33"/>
      <c r="IZ165" s="33"/>
      <c r="JA165" s="33"/>
      <c r="JB165" s="33"/>
      <c r="JC165" s="33"/>
      <c r="JD165" s="33"/>
      <c r="JE165" s="33"/>
      <c r="JF165" s="33"/>
      <c r="JG165" s="33"/>
      <c r="JH165" s="33"/>
      <c r="JI165" s="33"/>
      <c r="JJ165" s="33"/>
      <c r="JK165" s="33"/>
      <c r="JL165" s="33"/>
      <c r="JM165" s="33"/>
      <c r="JN165" s="33"/>
      <c r="JO165" s="33"/>
      <c r="JP165" s="33"/>
      <c r="JQ165" s="33"/>
      <c r="JR165" s="33"/>
      <c r="KZ165" s="33"/>
      <c r="LA165" s="33"/>
      <c r="LB165" s="33"/>
      <c r="LC165" s="33"/>
      <c r="LD165" s="33"/>
      <c r="LE165" s="33"/>
      <c r="LF165" s="33"/>
      <c r="LG165" s="33"/>
      <c r="LH165" s="33"/>
      <c r="LI165" s="33"/>
      <c r="LJ165" s="33"/>
      <c r="LK165" s="33"/>
      <c r="LL165" s="33"/>
      <c r="LM165" s="33"/>
      <c r="LN165" s="33"/>
      <c r="LO165" s="33"/>
      <c r="LP165" s="44"/>
      <c r="LQ165" s="44"/>
      <c r="LR165" s="44"/>
      <c r="LS165" s="44"/>
      <c r="LT165" s="44"/>
      <c r="LU165" s="44"/>
      <c r="LV165" s="44"/>
    </row>
    <row r="166" spans="1:334" x14ac:dyDescent="0.2">
      <c r="A166" s="1" t="s">
        <v>8420</v>
      </c>
      <c r="D166" s="1" t="s">
        <v>8421</v>
      </c>
      <c r="E166" s="1" t="s">
        <v>11</v>
      </c>
      <c r="F166" s="1" t="s">
        <v>8160</v>
      </c>
      <c r="H166" s="1" t="s">
        <v>8407</v>
      </c>
      <c r="I166" s="1">
        <v>2</v>
      </c>
      <c r="K166" s="1">
        <v>2004</v>
      </c>
      <c r="L166" s="1" t="s">
        <v>8404</v>
      </c>
      <c r="M166" s="1" t="s">
        <v>7657</v>
      </c>
      <c r="N166" s="17" t="s">
        <v>7945</v>
      </c>
      <c r="O166" s="33"/>
      <c r="P166" s="33"/>
      <c r="Q166" s="33"/>
      <c r="R166" s="33"/>
      <c r="S166" s="33">
        <v>65.599999999999994</v>
      </c>
      <c r="T166" s="33"/>
      <c r="U166" s="33"/>
      <c r="V166" s="33"/>
      <c r="W166" s="33"/>
      <c r="X166" s="33"/>
      <c r="Y166" s="33"/>
      <c r="Z166" s="33"/>
      <c r="AA166" s="33">
        <v>8.2904000000000018</v>
      </c>
      <c r="AB166" s="33"/>
      <c r="AC166" s="33"/>
      <c r="AD166" s="33">
        <v>0.44720000000000004</v>
      </c>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v>8.6722400000000022</v>
      </c>
      <c r="BC166" s="33"/>
      <c r="BD166" s="33"/>
      <c r="BE166" s="33"/>
      <c r="BF166" s="33"/>
      <c r="BG166" s="33">
        <v>8.4176800000000007</v>
      </c>
      <c r="BH166" s="33">
        <v>0.38528000000000012</v>
      </c>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v>1.1008000000000002</v>
      </c>
      <c r="CP166" s="33">
        <v>19.264000000000003</v>
      </c>
      <c r="CQ166" s="33"/>
      <c r="CR166" s="33"/>
      <c r="CS166" s="33">
        <v>2.3392000000000004</v>
      </c>
      <c r="CT166" s="33"/>
      <c r="CU166" s="33"/>
      <c r="CV166" s="33"/>
      <c r="CW166" s="33"/>
      <c r="CX166" s="33"/>
      <c r="CY166" s="33">
        <v>147.57600000000002</v>
      </c>
      <c r="CZ166" s="33"/>
      <c r="DA166" s="33"/>
      <c r="DB166" s="33"/>
      <c r="DC166" s="33"/>
      <c r="DD166" s="33"/>
      <c r="DE166" s="33"/>
      <c r="DF166" s="33"/>
      <c r="DG166" s="33"/>
      <c r="DH166" s="33"/>
      <c r="DI166" s="33"/>
      <c r="DJ166" s="33"/>
      <c r="DK166" s="33"/>
      <c r="DL166" s="33"/>
      <c r="DM166" s="33"/>
      <c r="DN166" s="33"/>
      <c r="DO166" s="33"/>
      <c r="DP166" s="33">
        <v>8.6000000000000021E-2</v>
      </c>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c r="IV166" s="33"/>
      <c r="IW166" s="33"/>
      <c r="IX166" s="33"/>
      <c r="IY166" s="33"/>
      <c r="IZ166" s="33"/>
      <c r="JA166" s="33"/>
      <c r="JB166" s="33"/>
      <c r="JC166" s="33"/>
      <c r="JD166" s="33"/>
      <c r="JE166" s="33"/>
      <c r="JF166" s="33"/>
      <c r="JG166" s="33"/>
      <c r="JH166" s="33"/>
      <c r="JI166" s="33"/>
      <c r="JJ166" s="33"/>
      <c r="JK166" s="33"/>
      <c r="JL166" s="33"/>
      <c r="JM166" s="33"/>
      <c r="JN166" s="33"/>
      <c r="JO166" s="33"/>
      <c r="JP166" s="33"/>
      <c r="JQ166" s="33"/>
      <c r="JR166" s="33"/>
      <c r="KZ166" s="33"/>
      <c r="LA166" s="33"/>
      <c r="LB166" s="33"/>
      <c r="LC166" s="33"/>
      <c r="LD166" s="33"/>
      <c r="LE166" s="33"/>
      <c r="LF166" s="33"/>
      <c r="LG166" s="33"/>
      <c r="LH166" s="33"/>
      <c r="LI166" s="33"/>
      <c r="LJ166" s="33"/>
      <c r="LK166" s="33"/>
      <c r="LL166" s="33"/>
      <c r="LM166" s="33"/>
      <c r="LN166" s="33"/>
      <c r="LO166" s="33"/>
      <c r="LP166" s="44"/>
      <c r="LQ166" s="44"/>
      <c r="LR166" s="44"/>
      <c r="LS166" s="44"/>
      <c r="LT166" s="44"/>
      <c r="LU166" s="44"/>
      <c r="LV166" s="44"/>
    </row>
    <row r="167" spans="1:334" x14ac:dyDescent="0.2">
      <c r="A167" s="1" t="s">
        <v>8422</v>
      </c>
      <c r="D167" s="1" t="s">
        <v>8423</v>
      </c>
      <c r="E167" s="1" t="s">
        <v>7</v>
      </c>
      <c r="F167" s="1" t="s">
        <v>8168</v>
      </c>
      <c r="H167" s="1" t="s">
        <v>8403</v>
      </c>
      <c r="I167" s="1">
        <v>2</v>
      </c>
      <c r="K167" s="1">
        <v>2004</v>
      </c>
      <c r="L167" s="1" t="s">
        <v>8404</v>
      </c>
      <c r="M167" s="1" t="s">
        <v>7657</v>
      </c>
      <c r="N167" s="17" t="s">
        <v>7945</v>
      </c>
      <c r="O167" s="33"/>
      <c r="P167" s="33"/>
      <c r="Q167" s="33"/>
      <c r="R167" s="33"/>
      <c r="S167" s="33">
        <v>11.1</v>
      </c>
      <c r="T167" s="33"/>
      <c r="U167" s="33"/>
      <c r="V167" s="33"/>
      <c r="W167" s="33"/>
      <c r="X167" s="33"/>
      <c r="Y167" s="33"/>
      <c r="Z167" s="33"/>
      <c r="AA167" s="33">
        <v>19.646900000000002</v>
      </c>
      <c r="AB167" s="33"/>
      <c r="AC167" s="33"/>
      <c r="AD167" s="33">
        <v>0.71120000000000005</v>
      </c>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v>25.603200000000001</v>
      </c>
      <c r="BC167" s="33"/>
      <c r="BD167" s="33"/>
      <c r="BE167" s="33"/>
      <c r="BF167" s="33"/>
      <c r="BG167" s="33">
        <v>24.731980000000004</v>
      </c>
      <c r="BH167" s="33">
        <v>1.00457</v>
      </c>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v>2.5781000000000001</v>
      </c>
      <c r="CP167" s="33">
        <v>185.80100000000002</v>
      </c>
      <c r="CQ167" s="33"/>
      <c r="CR167" s="33"/>
      <c r="CS167" s="33">
        <v>5.3340000000000005</v>
      </c>
      <c r="CT167" s="33"/>
      <c r="CU167" s="33"/>
      <c r="CV167" s="33"/>
      <c r="CW167" s="33"/>
      <c r="CX167" s="33"/>
      <c r="CY167" s="33">
        <v>250.69800000000004</v>
      </c>
      <c r="CZ167" s="33"/>
      <c r="DA167" s="33"/>
      <c r="DB167" s="33"/>
      <c r="DC167" s="33"/>
      <c r="DD167" s="33"/>
      <c r="DE167" s="33"/>
      <c r="DF167" s="33"/>
      <c r="DG167" s="33"/>
      <c r="DH167" s="33"/>
      <c r="DI167" s="33"/>
      <c r="DJ167" s="33"/>
      <c r="DK167" s="33"/>
      <c r="DL167" s="33"/>
      <c r="DM167" s="33"/>
      <c r="DN167" s="33"/>
      <c r="DO167" s="33"/>
      <c r="DP167" s="33">
        <v>0.45339000000000007</v>
      </c>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c r="IV167" s="33"/>
      <c r="IW167" s="33"/>
      <c r="IX167" s="33"/>
      <c r="IY167" s="33"/>
      <c r="IZ167" s="33"/>
      <c r="JA167" s="33"/>
      <c r="JB167" s="33"/>
      <c r="JC167" s="33"/>
      <c r="JD167" s="33"/>
      <c r="JE167" s="33"/>
      <c r="JF167" s="33"/>
      <c r="JG167" s="33"/>
      <c r="JH167" s="33"/>
      <c r="JI167" s="33"/>
      <c r="JJ167" s="33"/>
      <c r="JK167" s="33"/>
      <c r="JL167" s="33"/>
      <c r="JM167" s="33"/>
      <c r="JN167" s="33"/>
      <c r="JO167" s="33"/>
      <c r="JP167" s="33"/>
      <c r="JQ167" s="33"/>
      <c r="JR167" s="33"/>
      <c r="KZ167" s="33"/>
      <c r="LA167" s="33"/>
      <c r="LB167" s="33"/>
      <c r="LC167" s="33"/>
      <c r="LD167" s="33"/>
      <c r="LE167" s="33"/>
      <c r="LF167" s="33"/>
      <c r="LG167" s="33"/>
      <c r="LH167" s="33"/>
      <c r="LI167" s="33"/>
      <c r="LJ167" s="33"/>
      <c r="LK167" s="33"/>
      <c r="LL167" s="33"/>
      <c r="LM167" s="33"/>
      <c r="LN167" s="33"/>
      <c r="LO167" s="33"/>
      <c r="LP167" s="44"/>
      <c r="LQ167" s="44"/>
      <c r="LR167" s="44"/>
      <c r="LS167" s="44"/>
      <c r="LT167" s="44"/>
      <c r="LU167" s="44"/>
      <c r="LV167" s="44"/>
    </row>
    <row r="168" spans="1:334" x14ac:dyDescent="0.2">
      <c r="A168" s="1" t="s">
        <v>8424</v>
      </c>
      <c r="D168" s="1" t="s">
        <v>8425</v>
      </c>
      <c r="E168" s="1" t="s">
        <v>11</v>
      </c>
      <c r="F168" s="1" t="s">
        <v>8168</v>
      </c>
      <c r="H168" s="1" t="s">
        <v>8407</v>
      </c>
      <c r="I168" s="1">
        <v>2</v>
      </c>
      <c r="K168" s="1">
        <v>2004</v>
      </c>
      <c r="L168" s="1" t="s">
        <v>8404</v>
      </c>
      <c r="M168" s="1" t="s">
        <v>7657</v>
      </c>
      <c r="N168" s="17" t="s">
        <v>7945</v>
      </c>
      <c r="O168" s="33"/>
      <c r="P168" s="33"/>
      <c r="Q168" s="33"/>
      <c r="R168" s="33"/>
      <c r="S168" s="33">
        <v>66</v>
      </c>
      <c r="T168" s="33"/>
      <c r="U168" s="33"/>
      <c r="V168" s="33"/>
      <c r="W168" s="33"/>
      <c r="X168" s="33"/>
      <c r="Y168" s="33"/>
      <c r="Z168" s="33"/>
      <c r="AA168" s="33">
        <v>7.854000000000001</v>
      </c>
      <c r="AB168" s="33"/>
      <c r="AC168" s="33"/>
      <c r="AD168" s="33">
        <v>0.30599999999999999</v>
      </c>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v>9.3024000000000004</v>
      </c>
      <c r="BC168" s="33"/>
      <c r="BD168" s="33"/>
      <c r="BE168" s="33"/>
      <c r="BF168" s="33"/>
      <c r="BG168" s="33">
        <v>9.1867999999999999</v>
      </c>
      <c r="BH168" s="33">
        <v>0.26179999999999998</v>
      </c>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v>0.74800000000000011</v>
      </c>
      <c r="CP168" s="33">
        <v>71.06</v>
      </c>
      <c r="CQ168" s="33"/>
      <c r="CR168" s="33"/>
      <c r="CS168" s="33">
        <v>2.7539999999999996</v>
      </c>
      <c r="CT168" s="33"/>
      <c r="CU168" s="33"/>
      <c r="CV168" s="33"/>
      <c r="CW168" s="33"/>
      <c r="CX168" s="33"/>
      <c r="CY168" s="33">
        <v>99.28</v>
      </c>
      <c r="CZ168" s="33"/>
      <c r="DA168" s="33"/>
      <c r="DB168" s="33"/>
      <c r="DC168" s="33"/>
      <c r="DD168" s="33"/>
      <c r="DE168" s="33"/>
      <c r="DF168" s="33"/>
      <c r="DG168" s="33"/>
      <c r="DH168" s="33"/>
      <c r="DI168" s="33"/>
      <c r="DJ168" s="33"/>
      <c r="DK168" s="33"/>
      <c r="DL168" s="33"/>
      <c r="DM168" s="33"/>
      <c r="DN168" s="33"/>
      <c r="DO168" s="33"/>
      <c r="DP168" s="33">
        <v>6.8000000000000005E-2</v>
      </c>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c r="IV168" s="33"/>
      <c r="IW168" s="33"/>
      <c r="IX168" s="33"/>
      <c r="IY168" s="33"/>
      <c r="IZ168" s="33"/>
      <c r="JA168" s="33"/>
      <c r="JB168" s="33"/>
      <c r="JC168" s="33"/>
      <c r="JD168" s="33"/>
      <c r="JE168" s="33"/>
      <c r="JF168" s="33"/>
      <c r="JG168" s="33"/>
      <c r="JH168" s="33"/>
      <c r="JI168" s="33"/>
      <c r="JJ168" s="33"/>
      <c r="JK168" s="33"/>
      <c r="JL168" s="33"/>
      <c r="JM168" s="33"/>
      <c r="JN168" s="33"/>
      <c r="JO168" s="33"/>
      <c r="JP168" s="33"/>
      <c r="JQ168" s="33"/>
      <c r="JR168" s="33"/>
      <c r="KZ168" s="33"/>
      <c r="LA168" s="33"/>
      <c r="LB168" s="33"/>
      <c r="LC168" s="33"/>
      <c r="LD168" s="33"/>
      <c r="LE168" s="33"/>
      <c r="LF168" s="33"/>
      <c r="LG168" s="33"/>
      <c r="LH168" s="33"/>
      <c r="LI168" s="33"/>
      <c r="LJ168" s="33"/>
      <c r="LK168" s="33"/>
      <c r="LL168" s="33"/>
      <c r="LM168" s="33"/>
      <c r="LN168" s="33"/>
      <c r="LO168" s="33"/>
      <c r="LP168" s="44"/>
      <c r="LQ168" s="44"/>
      <c r="LR168" s="44"/>
      <c r="LS168" s="44"/>
      <c r="LT168" s="44"/>
      <c r="LU168" s="44"/>
      <c r="LV168" s="44"/>
    </row>
    <row r="169" spans="1:334" x14ac:dyDescent="0.2">
      <c r="A169" s="1" t="s">
        <v>8426</v>
      </c>
      <c r="D169" s="1" t="s">
        <v>8427</v>
      </c>
      <c r="E169" s="1" t="s">
        <v>11</v>
      </c>
      <c r="F169" s="1" t="s">
        <v>8168</v>
      </c>
      <c r="H169" s="1" t="s">
        <v>8407</v>
      </c>
      <c r="I169" s="1">
        <v>2</v>
      </c>
      <c r="K169" s="1">
        <v>2004</v>
      </c>
      <c r="L169" s="1" t="s">
        <v>8404</v>
      </c>
      <c r="M169" s="1" t="s">
        <v>7657</v>
      </c>
      <c r="N169" s="17" t="s">
        <v>7945</v>
      </c>
      <c r="O169" s="33"/>
      <c r="P169" s="33"/>
      <c r="Q169" s="33"/>
      <c r="R169" s="33"/>
      <c r="S169" s="33">
        <v>62.8</v>
      </c>
      <c r="T169" s="33"/>
      <c r="U169" s="33"/>
      <c r="V169" s="33"/>
      <c r="W169" s="33"/>
      <c r="X169" s="33"/>
      <c r="Y169" s="33"/>
      <c r="Z169" s="33"/>
      <c r="AA169" s="33">
        <v>8.6304000000000016</v>
      </c>
      <c r="AB169" s="33"/>
      <c r="AC169" s="33"/>
      <c r="AD169" s="33">
        <v>0.33480000000000004</v>
      </c>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v>10.378800000000002</v>
      </c>
      <c r="BC169" s="33"/>
      <c r="BD169" s="33"/>
      <c r="BE169" s="33"/>
      <c r="BF169" s="33"/>
      <c r="BG169" s="33">
        <v>9.8208000000000002</v>
      </c>
      <c r="BH169" s="33">
        <v>0.33108000000000004</v>
      </c>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v>1.0788000000000002</v>
      </c>
      <c r="CP169" s="33">
        <v>76.260000000000005</v>
      </c>
      <c r="CQ169" s="33"/>
      <c r="CR169" s="33"/>
      <c r="CS169" s="33">
        <v>2.9016000000000002</v>
      </c>
      <c r="CT169" s="33"/>
      <c r="CU169" s="33"/>
      <c r="CV169" s="33"/>
      <c r="CW169" s="33"/>
      <c r="CX169" s="33"/>
      <c r="CY169" s="33">
        <v>107.50800000000001</v>
      </c>
      <c r="CZ169" s="33"/>
      <c r="DA169" s="33"/>
      <c r="DB169" s="33"/>
      <c r="DC169" s="33"/>
      <c r="DD169" s="33"/>
      <c r="DE169" s="33"/>
      <c r="DF169" s="33"/>
      <c r="DG169" s="33"/>
      <c r="DH169" s="33"/>
      <c r="DI169" s="33"/>
      <c r="DJ169" s="33"/>
      <c r="DK169" s="33"/>
      <c r="DL169" s="33"/>
      <c r="DM169" s="33"/>
      <c r="DN169" s="33"/>
      <c r="DO169" s="33"/>
      <c r="DP169" s="33">
        <v>5.2080000000000008E-2</v>
      </c>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c r="IV169" s="33"/>
      <c r="IW169" s="33"/>
      <c r="IX169" s="33"/>
      <c r="IY169" s="33"/>
      <c r="IZ169" s="33"/>
      <c r="JA169" s="33"/>
      <c r="JB169" s="33"/>
      <c r="JC169" s="33"/>
      <c r="JD169" s="33"/>
      <c r="JE169" s="33"/>
      <c r="JF169" s="33"/>
      <c r="JG169" s="33"/>
      <c r="JH169" s="33"/>
      <c r="JI169" s="33"/>
      <c r="JJ169" s="33"/>
      <c r="JK169" s="33"/>
      <c r="JL169" s="33"/>
      <c r="JM169" s="33"/>
      <c r="JN169" s="33"/>
      <c r="JO169" s="33"/>
      <c r="JP169" s="33"/>
      <c r="JQ169" s="33"/>
      <c r="JR169" s="33"/>
      <c r="KZ169" s="33"/>
      <c r="LA169" s="33"/>
      <c r="LB169" s="33"/>
      <c r="LC169" s="33"/>
      <c r="LD169" s="33"/>
      <c r="LE169" s="33"/>
      <c r="LF169" s="33"/>
      <c r="LG169" s="33"/>
      <c r="LH169" s="33"/>
      <c r="LI169" s="33"/>
      <c r="LJ169" s="33"/>
      <c r="LK169" s="33"/>
      <c r="LL169" s="33"/>
      <c r="LM169" s="33"/>
      <c r="LN169" s="33"/>
      <c r="LO169" s="33"/>
      <c r="LP169" s="44"/>
      <c r="LQ169" s="44"/>
      <c r="LR169" s="44"/>
      <c r="LS169" s="44"/>
      <c r="LT169" s="44"/>
      <c r="LU169" s="44"/>
      <c r="LV169" s="44"/>
    </row>
    <row r="170" spans="1:334" x14ac:dyDescent="0.2">
      <c r="A170" s="1" t="s">
        <v>8428</v>
      </c>
      <c r="D170" s="1" t="s">
        <v>8429</v>
      </c>
      <c r="E170" s="1" t="s">
        <v>7</v>
      </c>
      <c r="F170" s="1" t="s">
        <v>8395</v>
      </c>
      <c r="H170" s="1" t="s">
        <v>8403</v>
      </c>
      <c r="I170" s="1">
        <v>2</v>
      </c>
      <c r="K170" s="1">
        <v>2004</v>
      </c>
      <c r="L170" s="1" t="s">
        <v>8404</v>
      </c>
      <c r="M170" s="1" t="s">
        <v>7657</v>
      </c>
      <c r="N170" s="17" t="s">
        <v>7945</v>
      </c>
      <c r="O170" s="33"/>
      <c r="P170" s="33"/>
      <c r="Q170" s="33"/>
      <c r="R170" s="33"/>
      <c r="S170" s="33">
        <v>11.6</v>
      </c>
      <c r="T170" s="33"/>
      <c r="U170" s="33"/>
      <c r="V170" s="33"/>
      <c r="W170" s="33"/>
      <c r="X170" s="33"/>
      <c r="Y170" s="33"/>
      <c r="Z170" s="33"/>
      <c r="AA170" s="33">
        <v>21.039200000000001</v>
      </c>
      <c r="AB170" s="33"/>
      <c r="AC170" s="33"/>
      <c r="AD170" s="33">
        <v>0.88400000000000001</v>
      </c>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v>14.753960000000001</v>
      </c>
      <c r="BC170" s="33"/>
      <c r="BD170" s="33"/>
      <c r="BE170" s="33"/>
      <c r="BF170" s="33"/>
      <c r="BG170" s="33">
        <v>13.525200000000002</v>
      </c>
      <c r="BH170" s="33">
        <v>0.62763999999999998</v>
      </c>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v>2.3868000000000005</v>
      </c>
      <c r="CP170" s="33">
        <v>55.692000000000007</v>
      </c>
      <c r="CQ170" s="33"/>
      <c r="CR170" s="33"/>
      <c r="CS170" s="33">
        <v>7.1603999999999992</v>
      </c>
      <c r="CT170" s="33"/>
      <c r="CU170" s="33"/>
      <c r="CV170" s="33"/>
      <c r="CW170" s="33"/>
      <c r="CX170" s="33"/>
      <c r="CY170" s="33">
        <v>239.56400000000002</v>
      </c>
      <c r="CZ170" s="33"/>
      <c r="DA170" s="33"/>
      <c r="DB170" s="33"/>
      <c r="DC170" s="33"/>
      <c r="DD170" s="33"/>
      <c r="DE170" s="33"/>
      <c r="DF170" s="33"/>
      <c r="DG170" s="33"/>
      <c r="DH170" s="33"/>
      <c r="DI170" s="33"/>
      <c r="DJ170" s="33"/>
      <c r="DK170" s="33"/>
      <c r="DL170" s="33"/>
      <c r="DM170" s="33"/>
      <c r="DN170" s="33"/>
      <c r="DO170" s="33"/>
      <c r="DP170" s="33">
        <v>0.36243999999999998</v>
      </c>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c r="IV170" s="33"/>
      <c r="IW170" s="33"/>
      <c r="IX170" s="33"/>
      <c r="IY170" s="33"/>
      <c r="IZ170" s="33"/>
      <c r="JA170" s="33"/>
      <c r="JB170" s="33"/>
      <c r="JC170" s="33"/>
      <c r="JD170" s="33"/>
      <c r="JE170" s="33"/>
      <c r="JF170" s="33"/>
      <c r="JG170" s="33"/>
      <c r="JH170" s="33"/>
      <c r="JI170" s="33"/>
      <c r="JJ170" s="33"/>
      <c r="JK170" s="33"/>
      <c r="JL170" s="33"/>
      <c r="JM170" s="33"/>
      <c r="JN170" s="33"/>
      <c r="JO170" s="33"/>
      <c r="JP170" s="33"/>
      <c r="JQ170" s="33"/>
      <c r="JR170" s="33"/>
      <c r="KZ170" s="33"/>
      <c r="LA170" s="33"/>
      <c r="LB170" s="33"/>
      <c r="LC170" s="33"/>
      <c r="LD170" s="33"/>
      <c r="LE170" s="33"/>
      <c r="LF170" s="33"/>
      <c r="LG170" s="33"/>
      <c r="LH170" s="33"/>
      <c r="LI170" s="33"/>
      <c r="LJ170" s="33"/>
      <c r="LK170" s="33"/>
      <c r="LL170" s="33"/>
      <c r="LM170" s="33"/>
      <c r="LN170" s="33"/>
      <c r="LO170" s="33"/>
      <c r="LP170" s="44"/>
      <c r="LQ170" s="44"/>
      <c r="LR170" s="44"/>
      <c r="LS170" s="44"/>
      <c r="LT170" s="44"/>
      <c r="LU170" s="44"/>
      <c r="LV170" s="44"/>
    </row>
    <row r="171" spans="1:334" x14ac:dyDescent="0.2">
      <c r="A171" s="1" t="s">
        <v>8430</v>
      </c>
      <c r="D171" s="1" t="s">
        <v>8431</v>
      </c>
      <c r="E171" s="1" t="s">
        <v>11</v>
      </c>
      <c r="F171" s="1" t="s">
        <v>8395</v>
      </c>
      <c r="H171" s="1" t="s">
        <v>8407</v>
      </c>
      <c r="I171" s="1">
        <v>2</v>
      </c>
      <c r="K171" s="1">
        <v>2004</v>
      </c>
      <c r="L171" s="1" t="s">
        <v>8404</v>
      </c>
      <c r="M171" s="1" t="s">
        <v>7657</v>
      </c>
      <c r="N171" s="17" t="s">
        <v>7945</v>
      </c>
      <c r="O171" s="33"/>
      <c r="P171" s="33"/>
      <c r="Q171" s="33"/>
      <c r="R171" s="33"/>
      <c r="S171" s="33">
        <v>69.400000000000006</v>
      </c>
      <c r="T171" s="33"/>
      <c r="U171" s="33"/>
      <c r="V171" s="33"/>
      <c r="W171" s="33"/>
      <c r="X171" s="33"/>
      <c r="Y171" s="33"/>
      <c r="Z171" s="33"/>
      <c r="AA171" s="33">
        <v>7.4357999999999995</v>
      </c>
      <c r="AB171" s="33"/>
      <c r="AC171" s="33"/>
      <c r="AD171" s="33">
        <v>0.36719999999999992</v>
      </c>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v>4.8806999999999992</v>
      </c>
      <c r="BC171" s="33"/>
      <c r="BD171" s="33"/>
      <c r="BE171" s="33"/>
      <c r="BF171" s="33"/>
      <c r="BG171" s="33">
        <v>4.8133799999999987</v>
      </c>
      <c r="BH171" s="33">
        <v>3.3659999999999995E-2</v>
      </c>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v>0.64259999999999995</v>
      </c>
      <c r="CP171" s="33">
        <v>20.195999999999998</v>
      </c>
      <c r="CQ171" s="33"/>
      <c r="CR171" s="33"/>
      <c r="CS171" s="33">
        <v>2.3867999999999996</v>
      </c>
      <c r="CT171" s="33"/>
      <c r="CU171" s="33"/>
      <c r="CV171" s="33"/>
      <c r="CW171" s="33"/>
      <c r="CX171" s="33"/>
      <c r="CY171" s="33">
        <v>84.455999999999989</v>
      </c>
      <c r="CZ171" s="33"/>
      <c r="DA171" s="33"/>
      <c r="DB171" s="33"/>
      <c r="DC171" s="33"/>
      <c r="DD171" s="33"/>
      <c r="DE171" s="33"/>
      <c r="DF171" s="33"/>
      <c r="DG171" s="33"/>
      <c r="DH171" s="33"/>
      <c r="DI171" s="33"/>
      <c r="DJ171" s="33"/>
      <c r="DK171" s="33"/>
      <c r="DL171" s="33"/>
      <c r="DM171" s="33"/>
      <c r="DN171" s="33"/>
      <c r="DO171" s="33"/>
      <c r="DP171" s="33">
        <v>9.1799999999999979E-2</v>
      </c>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c r="IV171" s="33"/>
      <c r="IW171" s="33"/>
      <c r="IX171" s="33"/>
      <c r="IY171" s="33"/>
      <c r="IZ171" s="33"/>
      <c r="JA171" s="33"/>
      <c r="JB171" s="33"/>
      <c r="JC171" s="33"/>
      <c r="JD171" s="33"/>
      <c r="JE171" s="33"/>
      <c r="JF171" s="33"/>
      <c r="JG171" s="33"/>
      <c r="JH171" s="33"/>
      <c r="JI171" s="33"/>
      <c r="JJ171" s="33"/>
      <c r="JK171" s="33"/>
      <c r="JL171" s="33"/>
      <c r="JM171" s="33"/>
      <c r="JN171" s="33"/>
      <c r="JO171" s="33"/>
      <c r="JP171" s="33"/>
      <c r="JQ171" s="33"/>
      <c r="JR171" s="33"/>
      <c r="KZ171" s="33"/>
      <c r="LA171" s="33"/>
      <c r="LB171" s="33"/>
      <c r="LC171" s="33"/>
      <c r="LD171" s="33"/>
      <c r="LE171" s="33"/>
      <c r="LF171" s="33"/>
      <c r="LG171" s="33"/>
      <c r="LH171" s="33"/>
      <c r="LI171" s="33"/>
      <c r="LJ171" s="33"/>
      <c r="LK171" s="33"/>
      <c r="LL171" s="33"/>
      <c r="LM171" s="33"/>
      <c r="LN171" s="33"/>
      <c r="LO171" s="33"/>
      <c r="LP171" s="44"/>
      <c r="LQ171" s="44"/>
      <c r="LR171" s="44"/>
      <c r="LS171" s="44"/>
      <c r="LT171" s="44"/>
      <c r="LU171" s="44"/>
      <c r="LV171" s="44"/>
    </row>
    <row r="172" spans="1:334" x14ac:dyDescent="0.2">
      <c r="A172" s="1" t="s">
        <v>8432</v>
      </c>
      <c r="D172" s="1" t="s">
        <v>8433</v>
      </c>
      <c r="E172" s="1" t="s">
        <v>11</v>
      </c>
      <c r="F172" s="1" t="s">
        <v>8395</v>
      </c>
      <c r="H172" s="1" t="s">
        <v>8407</v>
      </c>
      <c r="I172" s="1">
        <v>2</v>
      </c>
      <c r="K172" s="1">
        <v>2004</v>
      </c>
      <c r="L172" s="1" t="s">
        <v>8404</v>
      </c>
      <c r="M172" s="1" t="s">
        <v>7657</v>
      </c>
      <c r="N172" s="17" t="s">
        <v>7945</v>
      </c>
      <c r="O172" s="33"/>
      <c r="P172" s="33"/>
      <c r="Q172" s="33"/>
      <c r="R172" s="33"/>
      <c r="S172" s="33">
        <v>67</v>
      </c>
      <c r="T172" s="33"/>
      <c r="U172" s="33"/>
      <c r="V172" s="33"/>
      <c r="W172" s="33"/>
      <c r="X172" s="33"/>
      <c r="Y172" s="33"/>
      <c r="Z172" s="33"/>
      <c r="AA172" s="33">
        <v>8.0190000000000001</v>
      </c>
      <c r="AB172" s="33"/>
      <c r="AC172" s="33"/>
      <c r="AD172" s="33">
        <v>0.39600000000000002</v>
      </c>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v>5.4318000000000008</v>
      </c>
      <c r="BC172" s="33"/>
      <c r="BD172" s="33"/>
      <c r="BE172" s="33"/>
      <c r="BF172" s="33"/>
      <c r="BG172" s="33">
        <v>5.2106999999999992</v>
      </c>
      <c r="BH172" s="33">
        <v>1.32E-2</v>
      </c>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v>0.56100000000000005</v>
      </c>
      <c r="CP172" s="33">
        <v>20.13</v>
      </c>
      <c r="CQ172" s="33"/>
      <c r="CR172" s="33"/>
      <c r="CS172" s="33">
        <v>2.8380000000000001</v>
      </c>
      <c r="CT172" s="33"/>
      <c r="CU172" s="33"/>
      <c r="CV172" s="33"/>
      <c r="CW172" s="33"/>
      <c r="CX172" s="33"/>
      <c r="CY172" s="33">
        <v>91.41</v>
      </c>
      <c r="CZ172" s="33"/>
      <c r="DA172" s="33"/>
      <c r="DB172" s="33"/>
      <c r="DC172" s="33"/>
      <c r="DD172" s="33"/>
      <c r="DE172" s="33"/>
      <c r="DF172" s="33"/>
      <c r="DG172" s="33"/>
      <c r="DH172" s="33"/>
      <c r="DI172" s="33"/>
      <c r="DJ172" s="33"/>
      <c r="DK172" s="33"/>
      <c r="DL172" s="33"/>
      <c r="DM172" s="33"/>
      <c r="DN172" s="33"/>
      <c r="DO172" s="33"/>
      <c r="DP172" s="33">
        <v>9.9000000000000005E-2</v>
      </c>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c r="IV172" s="33"/>
      <c r="IW172" s="33"/>
      <c r="IX172" s="33"/>
      <c r="IY172" s="33"/>
      <c r="IZ172" s="33"/>
      <c r="JA172" s="33"/>
      <c r="JB172" s="33"/>
      <c r="JC172" s="33"/>
      <c r="JD172" s="33"/>
      <c r="JE172" s="33"/>
      <c r="JF172" s="33"/>
      <c r="JG172" s="33"/>
      <c r="JH172" s="33"/>
      <c r="JI172" s="33"/>
      <c r="JJ172" s="33"/>
      <c r="JK172" s="33"/>
      <c r="JL172" s="33"/>
      <c r="JM172" s="33"/>
      <c r="JN172" s="33"/>
      <c r="JO172" s="33"/>
      <c r="JP172" s="33"/>
      <c r="JQ172" s="33"/>
      <c r="JR172" s="33"/>
      <c r="KZ172" s="33"/>
      <c r="LA172" s="33"/>
      <c r="LB172" s="33"/>
      <c r="LC172" s="33"/>
      <c r="LD172" s="33"/>
      <c r="LE172" s="33"/>
      <c r="LF172" s="33"/>
      <c r="LG172" s="33"/>
      <c r="LH172" s="33"/>
      <c r="LI172" s="33"/>
      <c r="LJ172" s="33"/>
      <c r="LK172" s="33"/>
      <c r="LL172" s="33"/>
      <c r="LM172" s="33"/>
      <c r="LN172" s="33"/>
      <c r="LO172" s="33"/>
      <c r="LP172" s="44"/>
      <c r="LQ172" s="44"/>
      <c r="LR172" s="44"/>
      <c r="LS172" s="44"/>
      <c r="LT172" s="44"/>
      <c r="LU172" s="44"/>
      <c r="LV172" s="44"/>
    </row>
    <row r="173" spans="1:334" x14ac:dyDescent="0.2">
      <c r="A173" s="1" t="s">
        <v>8434</v>
      </c>
      <c r="D173" s="1" t="s">
        <v>8435</v>
      </c>
      <c r="E173" s="1" t="s">
        <v>7</v>
      </c>
      <c r="F173" s="1" t="s">
        <v>8436</v>
      </c>
      <c r="H173" s="1" t="s">
        <v>8403</v>
      </c>
      <c r="I173" s="1">
        <v>2</v>
      </c>
      <c r="K173" s="1">
        <v>2004</v>
      </c>
      <c r="L173" s="1" t="s">
        <v>8404</v>
      </c>
      <c r="M173" s="1" t="s">
        <v>7657</v>
      </c>
      <c r="N173" s="17" t="s">
        <v>7945</v>
      </c>
      <c r="O173" s="33"/>
      <c r="P173" s="33"/>
      <c r="Q173" s="33"/>
      <c r="R173" s="33"/>
      <c r="S173" s="33">
        <v>11.7</v>
      </c>
      <c r="T173" s="33"/>
      <c r="U173" s="33"/>
      <c r="V173" s="33"/>
      <c r="W173" s="33"/>
      <c r="X173" s="33"/>
      <c r="Y173" s="33"/>
      <c r="Z173" s="33"/>
      <c r="AA173" s="33">
        <v>21.1037</v>
      </c>
      <c r="AB173" s="33"/>
      <c r="AC173" s="33"/>
      <c r="AD173" s="33">
        <v>0.97130000000000005</v>
      </c>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v>21.792439999999996</v>
      </c>
      <c r="BC173" s="33"/>
      <c r="BD173" s="33"/>
      <c r="BE173" s="33"/>
      <c r="BF173" s="33"/>
      <c r="BG173" s="33">
        <v>21.041889999999999</v>
      </c>
      <c r="BH173" s="33">
        <v>0.53862999999999994</v>
      </c>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v>2.6489999999999996</v>
      </c>
      <c r="CP173" s="33">
        <v>49.448</v>
      </c>
      <c r="CQ173" s="33"/>
      <c r="CR173" s="33"/>
      <c r="CS173" s="33">
        <v>2.6489999999999996</v>
      </c>
      <c r="CT173" s="33"/>
      <c r="CU173" s="33"/>
      <c r="CV173" s="33"/>
      <c r="CW173" s="33"/>
      <c r="CX173" s="33"/>
      <c r="CY173" s="33">
        <v>383.22199999999998</v>
      </c>
      <c r="CZ173" s="33"/>
      <c r="DA173" s="33"/>
      <c r="DB173" s="33"/>
      <c r="DC173" s="33"/>
      <c r="DD173" s="33"/>
      <c r="DE173" s="33"/>
      <c r="DF173" s="33"/>
      <c r="DG173" s="33"/>
      <c r="DH173" s="33"/>
      <c r="DI173" s="33"/>
      <c r="DJ173" s="33"/>
      <c r="DK173" s="33"/>
      <c r="DL173" s="33"/>
      <c r="DM173" s="33"/>
      <c r="DN173" s="33"/>
      <c r="DO173" s="33"/>
      <c r="DP173" s="33">
        <v>0.40618000000000004</v>
      </c>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c r="IV173" s="33"/>
      <c r="IW173" s="33"/>
      <c r="IX173" s="33"/>
      <c r="IY173" s="33"/>
      <c r="IZ173" s="33"/>
      <c r="JA173" s="33"/>
      <c r="JB173" s="33"/>
      <c r="JC173" s="33"/>
      <c r="JD173" s="33"/>
      <c r="JE173" s="33"/>
      <c r="JF173" s="33"/>
      <c r="JG173" s="33"/>
      <c r="JH173" s="33"/>
      <c r="JI173" s="33"/>
      <c r="JJ173" s="33"/>
      <c r="JK173" s="33"/>
      <c r="JL173" s="33"/>
      <c r="JM173" s="33"/>
      <c r="JN173" s="33"/>
      <c r="JO173" s="33"/>
      <c r="JP173" s="33"/>
      <c r="JQ173" s="33"/>
      <c r="JR173" s="33"/>
      <c r="KZ173" s="33"/>
      <c r="LA173" s="33"/>
      <c r="LB173" s="33"/>
      <c r="LC173" s="33"/>
      <c r="LD173" s="33"/>
      <c r="LE173" s="33"/>
      <c r="LF173" s="33"/>
      <c r="LG173" s="33"/>
      <c r="LH173" s="33"/>
      <c r="LI173" s="33"/>
      <c r="LJ173" s="33"/>
      <c r="LK173" s="33"/>
      <c r="LL173" s="33"/>
      <c r="LM173" s="33"/>
      <c r="LN173" s="33"/>
      <c r="LO173" s="33"/>
      <c r="LP173" s="44"/>
      <c r="LQ173" s="44"/>
      <c r="LR173" s="44"/>
      <c r="LS173" s="44"/>
      <c r="LT173" s="44"/>
      <c r="LU173" s="44"/>
      <c r="LV173" s="44"/>
    </row>
    <row r="174" spans="1:334" x14ac:dyDescent="0.2">
      <c r="A174" s="1" t="s">
        <v>8437</v>
      </c>
      <c r="D174" s="1" t="s">
        <v>8438</v>
      </c>
      <c r="E174" s="1" t="s">
        <v>11</v>
      </c>
      <c r="F174" s="1" t="s">
        <v>8436</v>
      </c>
      <c r="H174" s="1" t="s">
        <v>8407</v>
      </c>
      <c r="I174" s="1">
        <v>2</v>
      </c>
      <c r="K174" s="1">
        <v>2004</v>
      </c>
      <c r="L174" s="1" t="s">
        <v>8404</v>
      </c>
      <c r="M174" s="1" t="s">
        <v>7657</v>
      </c>
      <c r="N174" s="17" t="s">
        <v>7945</v>
      </c>
      <c r="O174" s="33"/>
      <c r="P174" s="33"/>
      <c r="Q174" s="33"/>
      <c r="R174" s="33"/>
      <c r="S174" s="33">
        <v>69.3</v>
      </c>
      <c r="T174" s="33"/>
      <c r="U174" s="33"/>
      <c r="V174" s="33"/>
      <c r="W174" s="33"/>
      <c r="X174" s="33"/>
      <c r="Y174" s="33"/>
      <c r="Z174" s="33"/>
      <c r="AA174" s="33">
        <v>7.2452000000000005</v>
      </c>
      <c r="AB174" s="33"/>
      <c r="AC174" s="33"/>
      <c r="AD174" s="33">
        <v>0.36840000000000006</v>
      </c>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v>7.3004600000000002</v>
      </c>
      <c r="BC174" s="33"/>
      <c r="BD174" s="33"/>
      <c r="BE174" s="33"/>
      <c r="BF174" s="33"/>
      <c r="BG174" s="33">
        <v>6.8860099999999997</v>
      </c>
      <c r="BH174" s="33">
        <v>0.26095000000000002</v>
      </c>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v>0.82890000000000019</v>
      </c>
      <c r="CP174" s="33">
        <v>15.350000000000001</v>
      </c>
      <c r="CQ174" s="33"/>
      <c r="CR174" s="33"/>
      <c r="CS174" s="33">
        <v>1.0131000000000001</v>
      </c>
      <c r="CT174" s="33"/>
      <c r="CU174" s="33"/>
      <c r="CV174" s="33"/>
      <c r="CW174" s="33"/>
      <c r="CX174" s="33"/>
      <c r="CY174" s="33">
        <v>126.791</v>
      </c>
      <c r="CZ174" s="33"/>
      <c r="DA174" s="33"/>
      <c r="DB174" s="33"/>
      <c r="DC174" s="33"/>
      <c r="DD174" s="33"/>
      <c r="DE174" s="33"/>
      <c r="DF174" s="33"/>
      <c r="DG174" s="33"/>
      <c r="DH174" s="33"/>
      <c r="DI174" s="33"/>
      <c r="DJ174" s="33"/>
      <c r="DK174" s="33"/>
      <c r="DL174" s="33"/>
      <c r="DM174" s="33"/>
      <c r="DN174" s="33"/>
      <c r="DO174" s="33"/>
      <c r="DP174" s="33">
        <v>6.447E-2</v>
      </c>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c r="IV174" s="33"/>
      <c r="IW174" s="33"/>
      <c r="IX174" s="33"/>
      <c r="IY174" s="33"/>
      <c r="IZ174" s="33"/>
      <c r="JA174" s="33"/>
      <c r="JB174" s="33"/>
      <c r="JC174" s="33"/>
      <c r="JD174" s="33"/>
      <c r="JE174" s="33"/>
      <c r="JF174" s="33"/>
      <c r="JG174" s="33"/>
      <c r="JH174" s="33"/>
      <c r="JI174" s="33"/>
      <c r="JJ174" s="33"/>
      <c r="JK174" s="33"/>
      <c r="JL174" s="33"/>
      <c r="JM174" s="33"/>
      <c r="JN174" s="33"/>
      <c r="JO174" s="33"/>
      <c r="JP174" s="33"/>
      <c r="JQ174" s="33"/>
      <c r="JR174" s="33"/>
      <c r="KZ174" s="33"/>
      <c r="LA174" s="33"/>
      <c r="LB174" s="33"/>
      <c r="LC174" s="33"/>
      <c r="LD174" s="33"/>
      <c r="LE174" s="33"/>
      <c r="LF174" s="33"/>
      <c r="LG174" s="33"/>
      <c r="LH174" s="33"/>
      <c r="LI174" s="33"/>
      <c r="LJ174" s="33"/>
      <c r="LK174" s="33"/>
      <c r="LL174" s="33"/>
      <c r="LM174" s="33"/>
      <c r="LN174" s="33"/>
      <c r="LO174" s="33"/>
      <c r="LP174" s="44"/>
      <c r="LQ174" s="44"/>
      <c r="LR174" s="44"/>
      <c r="LS174" s="44"/>
      <c r="LT174" s="44"/>
      <c r="LU174" s="44"/>
      <c r="LV174" s="44"/>
    </row>
    <row r="175" spans="1:334" x14ac:dyDescent="0.2">
      <c r="A175" s="1" t="s">
        <v>8439</v>
      </c>
      <c r="D175" s="1" t="s">
        <v>8440</v>
      </c>
      <c r="E175" s="1" t="s">
        <v>11</v>
      </c>
      <c r="F175" s="1" t="s">
        <v>8436</v>
      </c>
      <c r="H175" s="1" t="s">
        <v>8407</v>
      </c>
      <c r="I175" s="1">
        <v>2</v>
      </c>
      <c r="K175" s="1">
        <v>2004</v>
      </c>
      <c r="L175" s="1" t="s">
        <v>8404</v>
      </c>
      <c r="M175" s="1" t="s">
        <v>7657</v>
      </c>
      <c r="N175" s="17" t="s">
        <v>7945</v>
      </c>
      <c r="O175" s="33"/>
      <c r="P175" s="33"/>
      <c r="Q175" s="33"/>
      <c r="R175" s="33"/>
      <c r="S175" s="33">
        <v>69.599999999999994</v>
      </c>
      <c r="T175" s="33"/>
      <c r="U175" s="33"/>
      <c r="V175" s="33"/>
      <c r="W175" s="33"/>
      <c r="X175" s="33"/>
      <c r="Y175" s="33"/>
      <c r="Z175" s="33"/>
      <c r="AA175" s="33">
        <v>7.0832000000000015</v>
      </c>
      <c r="AB175" s="33"/>
      <c r="AC175" s="33"/>
      <c r="AD175" s="33">
        <v>0.36480000000000001</v>
      </c>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v>7.6608000000000018</v>
      </c>
      <c r="BC175" s="33"/>
      <c r="BD175" s="33"/>
      <c r="BE175" s="33"/>
      <c r="BF175" s="33"/>
      <c r="BG175" s="33">
        <v>7.4054400000000014</v>
      </c>
      <c r="BH175" s="33">
        <v>0.18848000000000004</v>
      </c>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v>0.88160000000000016</v>
      </c>
      <c r="CP175" s="33">
        <v>15.200000000000003</v>
      </c>
      <c r="CQ175" s="33"/>
      <c r="CR175" s="33"/>
      <c r="CS175" s="33">
        <v>1.0032000000000001</v>
      </c>
      <c r="CT175" s="33"/>
      <c r="CU175" s="33"/>
      <c r="CV175" s="33"/>
      <c r="CW175" s="33"/>
      <c r="CX175" s="33"/>
      <c r="CY175" s="33">
        <v>130.41600000000003</v>
      </c>
      <c r="CZ175" s="33"/>
      <c r="DA175" s="33"/>
      <c r="DB175" s="33"/>
      <c r="DC175" s="33"/>
      <c r="DD175" s="33"/>
      <c r="DE175" s="33"/>
      <c r="DF175" s="33"/>
      <c r="DG175" s="33"/>
      <c r="DH175" s="33"/>
      <c r="DI175" s="33"/>
      <c r="DJ175" s="33"/>
      <c r="DK175" s="33"/>
      <c r="DL175" s="33"/>
      <c r="DM175" s="33"/>
      <c r="DN175" s="33"/>
      <c r="DO175" s="33"/>
      <c r="DP175" s="33">
        <v>4.5600000000000002E-2</v>
      </c>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c r="IV175" s="33"/>
      <c r="IW175" s="33"/>
      <c r="IX175" s="33"/>
      <c r="IY175" s="33"/>
      <c r="IZ175" s="33"/>
      <c r="JA175" s="33"/>
      <c r="JB175" s="33"/>
      <c r="JC175" s="33"/>
      <c r="JD175" s="33"/>
      <c r="JE175" s="33"/>
      <c r="JF175" s="33"/>
      <c r="JG175" s="33"/>
      <c r="JH175" s="33"/>
      <c r="JI175" s="33"/>
      <c r="JJ175" s="33"/>
      <c r="JK175" s="33"/>
      <c r="JL175" s="33"/>
      <c r="JM175" s="33"/>
      <c r="JN175" s="33"/>
      <c r="JO175" s="33"/>
      <c r="JP175" s="33"/>
      <c r="JQ175" s="33"/>
      <c r="JR175" s="33"/>
      <c r="KZ175" s="33"/>
      <c r="LA175" s="33"/>
      <c r="LB175" s="33"/>
      <c r="LC175" s="33"/>
      <c r="LD175" s="33"/>
      <c r="LE175" s="33"/>
      <c r="LF175" s="33"/>
      <c r="LG175" s="33"/>
      <c r="LH175" s="33"/>
      <c r="LI175" s="33"/>
      <c r="LJ175" s="33"/>
      <c r="LK175" s="33"/>
      <c r="LL175" s="33"/>
      <c r="LM175" s="33"/>
      <c r="LN175" s="33"/>
      <c r="LO175" s="33"/>
      <c r="LP175" s="44"/>
      <c r="LQ175" s="44"/>
      <c r="LR175" s="44"/>
      <c r="LS175" s="44"/>
      <c r="LT175" s="44"/>
      <c r="LU175" s="44"/>
      <c r="LV175" s="44"/>
    </row>
    <row r="176" spans="1:334" x14ac:dyDescent="0.2">
      <c r="A176" s="1" t="s">
        <v>8441</v>
      </c>
      <c r="D176" s="1" t="s">
        <v>8442</v>
      </c>
      <c r="E176" s="1" t="s">
        <v>7</v>
      </c>
      <c r="F176" s="1" t="s">
        <v>6263</v>
      </c>
      <c r="H176" s="1" t="s">
        <v>8403</v>
      </c>
      <c r="I176" s="1">
        <v>2</v>
      </c>
      <c r="K176" s="1">
        <v>2004</v>
      </c>
      <c r="L176" s="1" t="s">
        <v>8404</v>
      </c>
      <c r="M176" s="1" t="s">
        <v>7657</v>
      </c>
      <c r="N176" s="17" t="s">
        <v>7945</v>
      </c>
      <c r="O176" s="33"/>
      <c r="P176" s="33"/>
      <c r="Q176" s="33"/>
      <c r="R176" s="33"/>
      <c r="S176" s="33">
        <v>8.5</v>
      </c>
      <c r="T176" s="33"/>
      <c r="U176" s="33"/>
      <c r="V176" s="33"/>
      <c r="W176" s="33"/>
      <c r="X176" s="33"/>
      <c r="Y176" s="33"/>
      <c r="Z176" s="33"/>
      <c r="AA176" s="33">
        <v>20.495999999999999</v>
      </c>
      <c r="AB176" s="33"/>
      <c r="AC176" s="33"/>
      <c r="AD176" s="33">
        <v>1.3725000000000001</v>
      </c>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v>19.645049999999998</v>
      </c>
      <c r="BC176" s="33"/>
      <c r="BD176" s="33"/>
      <c r="BE176" s="33"/>
      <c r="BF176" s="33"/>
      <c r="BG176" s="33">
        <v>18.620250000000002</v>
      </c>
      <c r="BH176" s="33">
        <v>2.1685500000000002</v>
      </c>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v>2.9279999999999999</v>
      </c>
      <c r="CP176" s="33">
        <v>106.14</v>
      </c>
      <c r="CQ176" s="33"/>
      <c r="CR176" s="33"/>
      <c r="CS176" s="33">
        <v>4.8494999999999999</v>
      </c>
      <c r="CT176" s="33"/>
      <c r="CU176" s="33"/>
      <c r="CV176" s="33"/>
      <c r="CW176" s="33"/>
      <c r="CX176" s="33"/>
      <c r="CY176" s="33">
        <v>376.065</v>
      </c>
      <c r="CZ176" s="33"/>
      <c r="DA176" s="33"/>
      <c r="DB176" s="33"/>
      <c r="DC176" s="33"/>
      <c r="DD176" s="33"/>
      <c r="DE176" s="33"/>
      <c r="DF176" s="33"/>
      <c r="DG176" s="33"/>
      <c r="DH176" s="33"/>
      <c r="DI176" s="33"/>
      <c r="DJ176" s="33"/>
      <c r="DK176" s="33"/>
      <c r="DL176" s="33"/>
      <c r="DM176" s="33"/>
      <c r="DN176" s="33"/>
      <c r="DO176" s="33"/>
      <c r="DP176" s="33">
        <v>0.45750000000000002</v>
      </c>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c r="IV176" s="33"/>
      <c r="IW176" s="33"/>
      <c r="IX176" s="33"/>
      <c r="IY176" s="33"/>
      <c r="IZ176" s="33"/>
      <c r="JA176" s="33"/>
      <c r="JB176" s="33"/>
      <c r="JC176" s="33"/>
      <c r="JD176" s="33"/>
      <c r="JE176" s="33"/>
      <c r="JF176" s="33"/>
      <c r="JG176" s="33"/>
      <c r="JH176" s="33"/>
      <c r="JI176" s="33"/>
      <c r="JJ176" s="33"/>
      <c r="JK176" s="33"/>
      <c r="JL176" s="33"/>
      <c r="JM176" s="33"/>
      <c r="JN176" s="33"/>
      <c r="JO176" s="33"/>
      <c r="JP176" s="33"/>
      <c r="JQ176" s="33"/>
      <c r="JR176" s="33"/>
      <c r="KZ176" s="33"/>
      <c r="LA176" s="33"/>
      <c r="LB176" s="33"/>
      <c r="LC176" s="33"/>
      <c r="LD176" s="33"/>
      <c r="LE176" s="33"/>
      <c r="LF176" s="33"/>
      <c r="LG176" s="33"/>
      <c r="LH176" s="33"/>
      <c r="LI176" s="33"/>
      <c r="LJ176" s="33"/>
      <c r="LK176" s="33"/>
      <c r="LL176" s="33"/>
      <c r="LM176" s="33"/>
      <c r="LN176" s="33"/>
      <c r="LO176" s="33"/>
      <c r="LP176" s="44"/>
      <c r="LQ176" s="44"/>
      <c r="LR176" s="44"/>
      <c r="LS176" s="44"/>
      <c r="LT176" s="44"/>
      <c r="LU176" s="44"/>
      <c r="LV176" s="44"/>
    </row>
    <row r="177" spans="1:334" x14ac:dyDescent="0.2">
      <c r="A177" s="1" t="s">
        <v>8443</v>
      </c>
      <c r="D177" s="1" t="s">
        <v>8444</v>
      </c>
      <c r="E177" s="1" t="s">
        <v>11</v>
      </c>
      <c r="F177" s="1" t="s">
        <v>6263</v>
      </c>
      <c r="H177" s="1" t="s">
        <v>8407</v>
      </c>
      <c r="I177" s="1">
        <v>2</v>
      </c>
      <c r="K177" s="1">
        <v>2004</v>
      </c>
      <c r="L177" s="1" t="s">
        <v>8404</v>
      </c>
      <c r="M177" s="1" t="s">
        <v>7657</v>
      </c>
      <c r="N177" s="17" t="s">
        <v>7945</v>
      </c>
      <c r="O177" s="33"/>
      <c r="P177" s="33"/>
      <c r="Q177" s="33"/>
      <c r="R177" s="33"/>
      <c r="S177" s="33">
        <v>63.9</v>
      </c>
      <c r="T177" s="33"/>
      <c r="U177" s="33"/>
      <c r="V177" s="33"/>
      <c r="W177" s="33"/>
      <c r="X177" s="33"/>
      <c r="Y177" s="33"/>
      <c r="Z177" s="33"/>
      <c r="AA177" s="33">
        <v>8.194700000000001</v>
      </c>
      <c r="AB177" s="33"/>
      <c r="AC177" s="33"/>
      <c r="AD177" s="33">
        <v>0.50539999999999996</v>
      </c>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v>8.8264499999999995</v>
      </c>
      <c r="BC177" s="33"/>
      <c r="BD177" s="33"/>
      <c r="BE177" s="33"/>
      <c r="BF177" s="33"/>
      <c r="BG177" s="33">
        <v>8.0611299999999986</v>
      </c>
      <c r="BH177" s="33">
        <v>0.89167000000000018</v>
      </c>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v>1.1191000000000002</v>
      </c>
      <c r="CP177" s="33">
        <v>38.988</v>
      </c>
      <c r="CQ177" s="33"/>
      <c r="CR177" s="33"/>
      <c r="CS177" s="33">
        <v>1.8411</v>
      </c>
      <c r="CT177" s="33"/>
      <c r="CU177" s="33"/>
      <c r="CV177" s="33"/>
      <c r="CW177" s="33"/>
      <c r="CX177" s="33"/>
      <c r="CY177" s="33">
        <v>145.483</v>
      </c>
      <c r="CZ177" s="33"/>
      <c r="DA177" s="33"/>
      <c r="DB177" s="33"/>
      <c r="DC177" s="33"/>
      <c r="DD177" s="33"/>
      <c r="DE177" s="33"/>
      <c r="DF177" s="33"/>
      <c r="DG177" s="33"/>
      <c r="DH177" s="33"/>
      <c r="DI177" s="33"/>
      <c r="DJ177" s="33"/>
      <c r="DK177" s="33"/>
      <c r="DL177" s="33"/>
      <c r="DM177" s="33"/>
      <c r="DN177" s="33"/>
      <c r="DO177" s="33"/>
      <c r="DP177" s="33">
        <v>0.10108</v>
      </c>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c r="IV177" s="33"/>
      <c r="IW177" s="33"/>
      <c r="IX177" s="33"/>
      <c r="IY177" s="33"/>
      <c r="IZ177" s="33"/>
      <c r="JA177" s="33"/>
      <c r="JB177" s="33"/>
      <c r="JC177" s="33"/>
      <c r="JD177" s="33"/>
      <c r="JE177" s="33"/>
      <c r="JF177" s="33"/>
      <c r="JG177" s="33"/>
      <c r="JH177" s="33"/>
      <c r="JI177" s="33"/>
      <c r="JJ177" s="33"/>
      <c r="JK177" s="33"/>
      <c r="JL177" s="33"/>
      <c r="JM177" s="33"/>
      <c r="JN177" s="33"/>
      <c r="JO177" s="33"/>
      <c r="JP177" s="33"/>
      <c r="JQ177" s="33"/>
      <c r="JR177" s="33"/>
      <c r="KZ177" s="33"/>
      <c r="LA177" s="33"/>
      <c r="LB177" s="33"/>
      <c r="LC177" s="33"/>
      <c r="LD177" s="33"/>
      <c r="LE177" s="33"/>
      <c r="LF177" s="33"/>
      <c r="LG177" s="33"/>
      <c r="LH177" s="33"/>
      <c r="LI177" s="33"/>
      <c r="LJ177" s="33"/>
      <c r="LK177" s="33"/>
      <c r="LL177" s="33"/>
      <c r="LM177" s="33"/>
      <c r="LN177" s="33"/>
      <c r="LO177" s="33"/>
      <c r="LP177" s="44"/>
      <c r="LQ177" s="44"/>
      <c r="LR177" s="44"/>
      <c r="LS177" s="44"/>
      <c r="LT177" s="44"/>
      <c r="LU177" s="44"/>
      <c r="LV177" s="44"/>
    </row>
    <row r="178" spans="1:334" x14ac:dyDescent="0.2">
      <c r="A178" s="1" t="s">
        <v>8445</v>
      </c>
      <c r="D178" s="1" t="s">
        <v>8446</v>
      </c>
      <c r="E178" s="1" t="s">
        <v>11</v>
      </c>
      <c r="F178" s="1" t="s">
        <v>6263</v>
      </c>
      <c r="H178" s="1" t="s">
        <v>8407</v>
      </c>
      <c r="I178" s="1">
        <v>2</v>
      </c>
      <c r="K178" s="1">
        <v>2004</v>
      </c>
      <c r="L178" s="1" t="s">
        <v>8404</v>
      </c>
      <c r="M178" s="1" t="s">
        <v>7657</v>
      </c>
      <c r="N178" s="17" t="s">
        <v>7945</v>
      </c>
      <c r="O178" s="33"/>
      <c r="P178" s="33"/>
      <c r="Q178" s="33"/>
      <c r="R178" s="33"/>
      <c r="S178" s="33">
        <v>67.5</v>
      </c>
      <c r="T178" s="33"/>
      <c r="U178" s="33"/>
      <c r="V178" s="33"/>
      <c r="W178" s="33"/>
      <c r="X178" s="33"/>
      <c r="Y178" s="33"/>
      <c r="Z178" s="33"/>
      <c r="AA178" s="33">
        <v>7.3125</v>
      </c>
      <c r="AB178" s="33"/>
      <c r="AC178" s="33"/>
      <c r="AD178" s="33">
        <v>0.48749999999999999</v>
      </c>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v>8.0339999999999989</v>
      </c>
      <c r="BC178" s="33"/>
      <c r="BD178" s="33"/>
      <c r="BE178" s="33"/>
      <c r="BF178" s="33"/>
      <c r="BG178" s="33">
        <v>7.4067499999999997</v>
      </c>
      <c r="BH178" s="33">
        <v>0.96525000000000005</v>
      </c>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v>0.78</v>
      </c>
      <c r="CP178" s="33">
        <v>35.1</v>
      </c>
      <c r="CQ178" s="33"/>
      <c r="CR178" s="33"/>
      <c r="CS178" s="33">
        <v>1.6575</v>
      </c>
      <c r="CT178" s="33"/>
      <c r="CU178" s="33"/>
      <c r="CV178" s="33"/>
      <c r="CW178" s="33"/>
      <c r="CX178" s="33"/>
      <c r="CY178" s="33">
        <v>126.425</v>
      </c>
      <c r="CZ178" s="33"/>
      <c r="DA178" s="33"/>
      <c r="DB178" s="33"/>
      <c r="DC178" s="33"/>
      <c r="DD178" s="33"/>
      <c r="DE178" s="33"/>
      <c r="DF178" s="33"/>
      <c r="DG178" s="33"/>
      <c r="DH178" s="33"/>
      <c r="DI178" s="33"/>
      <c r="DJ178" s="33"/>
      <c r="DK178" s="33"/>
      <c r="DL178" s="33"/>
      <c r="DM178" s="33"/>
      <c r="DN178" s="33"/>
      <c r="DO178" s="33"/>
      <c r="DP178" s="33">
        <v>8.1250000000000003E-2</v>
      </c>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c r="IV178" s="33"/>
      <c r="IW178" s="33"/>
      <c r="IX178" s="33"/>
      <c r="IY178" s="33"/>
      <c r="IZ178" s="33"/>
      <c r="JA178" s="33"/>
      <c r="JB178" s="33"/>
      <c r="JC178" s="33"/>
      <c r="JD178" s="33"/>
      <c r="JE178" s="33"/>
      <c r="JF178" s="33"/>
      <c r="JG178" s="33"/>
      <c r="JH178" s="33"/>
      <c r="JI178" s="33"/>
      <c r="JJ178" s="33"/>
      <c r="JK178" s="33"/>
      <c r="JL178" s="33"/>
      <c r="JM178" s="33"/>
      <c r="JN178" s="33"/>
      <c r="JO178" s="33"/>
      <c r="JP178" s="33"/>
      <c r="JQ178" s="33"/>
      <c r="JR178" s="33"/>
      <c r="KZ178" s="33"/>
      <c r="LA178" s="33"/>
      <c r="LB178" s="33"/>
      <c r="LC178" s="33"/>
      <c r="LD178" s="33"/>
      <c r="LE178" s="33"/>
      <c r="LF178" s="33"/>
      <c r="LG178" s="33"/>
      <c r="LH178" s="33"/>
      <c r="LI178" s="33"/>
      <c r="LJ178" s="33"/>
      <c r="LK178" s="33"/>
      <c r="LL178" s="33"/>
      <c r="LM178" s="33"/>
      <c r="LN178" s="33"/>
      <c r="LO178" s="33"/>
      <c r="LP178" s="44"/>
      <c r="LQ178" s="44"/>
      <c r="LR178" s="44"/>
      <c r="LS178" s="44"/>
      <c r="LT178" s="44"/>
      <c r="LU178" s="44"/>
      <c r="LV178" s="44"/>
    </row>
    <row r="179" spans="1:334" x14ac:dyDescent="0.2">
      <c r="A179" s="1" t="s">
        <v>8447</v>
      </c>
      <c r="D179" s="1" t="s">
        <v>8448</v>
      </c>
      <c r="E179" s="1" t="s">
        <v>7</v>
      </c>
      <c r="F179" s="1" t="s">
        <v>8021</v>
      </c>
      <c r="H179" s="1" t="s">
        <v>8403</v>
      </c>
      <c r="I179" s="1">
        <v>2</v>
      </c>
      <c r="K179" s="1">
        <v>2004</v>
      </c>
      <c r="L179" s="1" t="s">
        <v>8404</v>
      </c>
      <c r="M179" s="1" t="s">
        <v>7657</v>
      </c>
      <c r="N179" s="17" t="s">
        <v>7945</v>
      </c>
      <c r="O179" s="33"/>
      <c r="P179" s="33"/>
      <c r="Q179" s="33"/>
      <c r="R179" s="33"/>
      <c r="S179" s="33">
        <v>10.5</v>
      </c>
      <c r="T179" s="33"/>
      <c r="U179" s="33"/>
      <c r="V179" s="33"/>
      <c r="W179" s="33"/>
      <c r="X179" s="33"/>
      <c r="Y179" s="33"/>
      <c r="Z179" s="33"/>
      <c r="AA179" s="33">
        <v>20.763999999999999</v>
      </c>
      <c r="AB179" s="33"/>
      <c r="AC179" s="33"/>
      <c r="AD179" s="33">
        <v>0.89500000000000002</v>
      </c>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v>25.498550000000002</v>
      </c>
      <c r="BC179" s="33"/>
      <c r="BD179" s="33"/>
      <c r="BE179" s="33"/>
      <c r="BF179" s="33"/>
      <c r="BG179" s="33">
        <v>24.773600000000002</v>
      </c>
      <c r="BH179" s="33">
        <v>1.2261500000000001</v>
      </c>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v>4.117</v>
      </c>
      <c r="CP179" s="33">
        <v>65.334999999999994</v>
      </c>
      <c r="CQ179" s="33"/>
      <c r="CR179" s="33"/>
      <c r="CS179" s="33">
        <v>5.7280000000000006</v>
      </c>
      <c r="CT179" s="33"/>
      <c r="CU179" s="33"/>
      <c r="CV179" s="33"/>
      <c r="CW179" s="33"/>
      <c r="CX179" s="33"/>
      <c r="CY179" s="33">
        <v>350.84</v>
      </c>
      <c r="CZ179" s="33"/>
      <c r="DA179" s="33"/>
      <c r="DB179" s="33"/>
      <c r="DC179" s="33"/>
      <c r="DD179" s="33"/>
      <c r="DE179" s="33"/>
      <c r="DF179" s="33"/>
      <c r="DG179" s="33"/>
      <c r="DH179" s="33"/>
      <c r="DI179" s="33"/>
      <c r="DJ179" s="33"/>
      <c r="DK179" s="33"/>
      <c r="DL179" s="33"/>
      <c r="DM179" s="33"/>
      <c r="DN179" s="33"/>
      <c r="DO179" s="33"/>
      <c r="DP179" s="33">
        <v>0.42064999999999997</v>
      </c>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c r="IV179" s="33"/>
      <c r="IW179" s="33"/>
      <c r="IX179" s="33"/>
      <c r="IY179" s="33"/>
      <c r="IZ179" s="33"/>
      <c r="JA179" s="33"/>
      <c r="JB179" s="33"/>
      <c r="JC179" s="33"/>
      <c r="JD179" s="33"/>
      <c r="JE179" s="33"/>
      <c r="JF179" s="33"/>
      <c r="JG179" s="33"/>
      <c r="JH179" s="33"/>
      <c r="JI179" s="33"/>
      <c r="JJ179" s="33"/>
      <c r="JK179" s="33"/>
      <c r="JL179" s="33"/>
      <c r="JM179" s="33"/>
      <c r="JN179" s="33"/>
      <c r="JO179" s="33"/>
      <c r="JP179" s="33"/>
      <c r="JQ179" s="33"/>
      <c r="JR179" s="33"/>
      <c r="KZ179" s="33"/>
      <c r="LA179" s="33"/>
      <c r="LB179" s="33"/>
      <c r="LC179" s="33"/>
      <c r="LD179" s="33"/>
      <c r="LE179" s="33"/>
      <c r="LF179" s="33"/>
      <c r="LG179" s="33"/>
      <c r="LH179" s="33"/>
      <c r="LI179" s="33"/>
      <c r="LJ179" s="33"/>
      <c r="LK179" s="33"/>
      <c r="LL179" s="33"/>
      <c r="LM179" s="33"/>
      <c r="LN179" s="33"/>
      <c r="LO179" s="33"/>
      <c r="LP179" s="44"/>
      <c r="LQ179" s="44"/>
      <c r="LR179" s="44"/>
      <c r="LS179" s="44"/>
      <c r="LT179" s="44"/>
      <c r="LU179" s="44"/>
      <c r="LV179" s="44"/>
    </row>
    <row r="180" spans="1:334" x14ac:dyDescent="0.2">
      <c r="A180" s="1" t="s">
        <v>8449</v>
      </c>
      <c r="D180" s="1" t="s">
        <v>8450</v>
      </c>
      <c r="E180" s="1" t="s">
        <v>11</v>
      </c>
      <c r="F180" s="1" t="s">
        <v>8021</v>
      </c>
      <c r="H180" s="1" t="s">
        <v>8407</v>
      </c>
      <c r="I180" s="1">
        <v>2</v>
      </c>
      <c r="K180" s="1">
        <v>2004</v>
      </c>
      <c r="L180" s="1" t="s">
        <v>8404</v>
      </c>
      <c r="M180" s="1" t="s">
        <v>7657</v>
      </c>
      <c r="N180" s="17" t="s">
        <v>7945</v>
      </c>
      <c r="O180" s="33"/>
      <c r="P180" s="33"/>
      <c r="Q180" s="33"/>
      <c r="R180" s="33"/>
      <c r="S180" s="33">
        <v>69.7</v>
      </c>
      <c r="T180" s="33"/>
      <c r="U180" s="33"/>
      <c r="V180" s="33"/>
      <c r="W180" s="33"/>
      <c r="X180" s="33"/>
      <c r="Y180" s="33"/>
      <c r="Z180" s="33"/>
      <c r="AA180" s="33">
        <v>7.0295999999999994</v>
      </c>
      <c r="AB180" s="33"/>
      <c r="AC180" s="33"/>
      <c r="AD180" s="33">
        <v>0.33329999999999999</v>
      </c>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v>8.6476199999999999</v>
      </c>
      <c r="BC180" s="33"/>
      <c r="BD180" s="33"/>
      <c r="BE180" s="33"/>
      <c r="BF180" s="33"/>
      <c r="BG180" s="33">
        <v>8.4627899999999983</v>
      </c>
      <c r="BH180" s="33">
        <v>0.62417999999999996</v>
      </c>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v>1.3028999999999999</v>
      </c>
      <c r="CP180" s="33">
        <v>21.21</v>
      </c>
      <c r="CQ180" s="33"/>
      <c r="CR180" s="33"/>
      <c r="CS180" s="33">
        <v>1.8785999999999998</v>
      </c>
      <c r="CT180" s="33"/>
      <c r="CU180" s="33"/>
      <c r="CV180" s="33"/>
      <c r="CW180" s="33"/>
      <c r="CX180" s="33"/>
      <c r="CY180" s="33">
        <v>116.35199999999999</v>
      </c>
      <c r="CZ180" s="33"/>
      <c r="DA180" s="33"/>
      <c r="DB180" s="33"/>
      <c r="DC180" s="33"/>
      <c r="DD180" s="33"/>
      <c r="DE180" s="33"/>
      <c r="DF180" s="33"/>
      <c r="DG180" s="33"/>
      <c r="DH180" s="33"/>
      <c r="DI180" s="33"/>
      <c r="DJ180" s="33"/>
      <c r="DK180" s="33"/>
      <c r="DL180" s="33"/>
      <c r="DM180" s="33"/>
      <c r="DN180" s="33"/>
      <c r="DO180" s="33"/>
      <c r="DP180" s="33">
        <v>9.6959999999999991E-2</v>
      </c>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c r="IV180" s="33"/>
      <c r="IW180" s="33"/>
      <c r="IX180" s="33"/>
      <c r="IY180" s="33"/>
      <c r="IZ180" s="33"/>
      <c r="JA180" s="33"/>
      <c r="JB180" s="33"/>
      <c r="JC180" s="33"/>
      <c r="JD180" s="33"/>
      <c r="JE180" s="33"/>
      <c r="JF180" s="33"/>
      <c r="JG180" s="33"/>
      <c r="JH180" s="33"/>
      <c r="JI180" s="33"/>
      <c r="JJ180" s="33"/>
      <c r="JK180" s="33"/>
      <c r="JL180" s="33"/>
      <c r="JM180" s="33"/>
      <c r="JN180" s="33"/>
      <c r="JO180" s="33"/>
      <c r="JP180" s="33"/>
      <c r="JQ180" s="33"/>
      <c r="JR180" s="33"/>
      <c r="KZ180" s="33"/>
      <c r="LA180" s="33"/>
      <c r="LB180" s="33"/>
      <c r="LC180" s="33"/>
      <c r="LD180" s="33"/>
      <c r="LE180" s="33"/>
      <c r="LF180" s="33"/>
      <c r="LG180" s="33"/>
      <c r="LH180" s="33"/>
      <c r="LI180" s="33"/>
      <c r="LJ180" s="33"/>
      <c r="LK180" s="33"/>
      <c r="LL180" s="33"/>
      <c r="LM180" s="33"/>
      <c r="LN180" s="33"/>
      <c r="LO180" s="33"/>
      <c r="LP180" s="44"/>
      <c r="LQ180" s="44"/>
      <c r="LR180" s="44"/>
      <c r="LS180" s="44"/>
      <c r="LT180" s="44"/>
      <c r="LU180" s="44"/>
      <c r="LV180" s="44"/>
    </row>
    <row r="181" spans="1:334" x14ac:dyDescent="0.2">
      <c r="A181" s="1" t="s">
        <v>8451</v>
      </c>
      <c r="D181" s="1" t="s">
        <v>8452</v>
      </c>
      <c r="E181" s="1" t="s">
        <v>11</v>
      </c>
      <c r="F181" s="1" t="s">
        <v>8021</v>
      </c>
      <c r="H181" s="1" t="s">
        <v>8407</v>
      </c>
      <c r="I181" s="1">
        <v>2</v>
      </c>
      <c r="K181" s="1">
        <v>2004</v>
      </c>
      <c r="L181" s="1" t="s">
        <v>8404</v>
      </c>
      <c r="M181" s="1" t="s">
        <v>7657</v>
      </c>
      <c r="N181" s="17" t="s">
        <v>7945</v>
      </c>
      <c r="O181" s="33"/>
      <c r="P181" s="33"/>
      <c r="Q181" s="33"/>
      <c r="R181" s="33"/>
      <c r="S181" s="33">
        <v>69.5</v>
      </c>
      <c r="T181" s="33"/>
      <c r="U181" s="33"/>
      <c r="V181" s="33"/>
      <c r="W181" s="33"/>
      <c r="X181" s="33"/>
      <c r="Y181" s="33"/>
      <c r="Z181" s="33"/>
      <c r="AA181" s="33">
        <v>7.1980000000000004</v>
      </c>
      <c r="AB181" s="33"/>
      <c r="AC181" s="33"/>
      <c r="AD181" s="33">
        <v>0.36599999999999999</v>
      </c>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v>8.7901000000000007</v>
      </c>
      <c r="BC181" s="33"/>
      <c r="BD181" s="33"/>
      <c r="BE181" s="33"/>
      <c r="BF181" s="33"/>
      <c r="BG181" s="33">
        <v>8.5369499999999992</v>
      </c>
      <c r="BH181" s="33">
        <v>0.65880000000000005</v>
      </c>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v>1.3115000000000001</v>
      </c>
      <c r="CP181" s="33">
        <v>20.74</v>
      </c>
      <c r="CQ181" s="33"/>
      <c r="CR181" s="33"/>
      <c r="CS181" s="33">
        <v>1.6775</v>
      </c>
      <c r="CT181" s="33"/>
      <c r="CU181" s="33"/>
      <c r="CV181" s="33"/>
      <c r="CW181" s="33"/>
      <c r="CX181" s="33"/>
      <c r="CY181" s="33">
        <v>111.935</v>
      </c>
      <c r="CZ181" s="33"/>
      <c r="DA181" s="33"/>
      <c r="DB181" s="33"/>
      <c r="DC181" s="33"/>
      <c r="DD181" s="33"/>
      <c r="DE181" s="33"/>
      <c r="DF181" s="33"/>
      <c r="DG181" s="33"/>
      <c r="DH181" s="33"/>
      <c r="DI181" s="33"/>
      <c r="DJ181" s="33"/>
      <c r="DK181" s="33"/>
      <c r="DL181" s="33"/>
      <c r="DM181" s="33"/>
      <c r="DN181" s="33"/>
      <c r="DO181" s="33"/>
      <c r="DP181" s="33">
        <v>7.9300000000000009E-2</v>
      </c>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c r="IV181" s="33"/>
      <c r="IW181" s="33"/>
      <c r="IX181" s="33"/>
      <c r="IY181" s="33"/>
      <c r="IZ181" s="33"/>
      <c r="JA181" s="33"/>
      <c r="JB181" s="33"/>
      <c r="JC181" s="33"/>
      <c r="JD181" s="33"/>
      <c r="JE181" s="33"/>
      <c r="JF181" s="33"/>
      <c r="JG181" s="33"/>
      <c r="JH181" s="33"/>
      <c r="JI181" s="33"/>
      <c r="JJ181" s="33"/>
      <c r="JK181" s="33"/>
      <c r="JL181" s="33"/>
      <c r="JM181" s="33"/>
      <c r="JN181" s="33"/>
      <c r="JO181" s="33"/>
      <c r="JP181" s="33"/>
      <c r="JQ181" s="33"/>
      <c r="JR181" s="33"/>
      <c r="KZ181" s="33"/>
      <c r="LA181" s="33"/>
      <c r="LB181" s="33"/>
      <c r="LC181" s="33"/>
      <c r="LD181" s="33"/>
      <c r="LE181" s="33"/>
      <c r="LF181" s="33"/>
      <c r="LG181" s="33"/>
      <c r="LH181" s="33"/>
      <c r="LI181" s="33"/>
      <c r="LJ181" s="33"/>
      <c r="LK181" s="33"/>
      <c r="LL181" s="33"/>
      <c r="LM181" s="33"/>
      <c r="LN181" s="33"/>
      <c r="LO181" s="33"/>
      <c r="LP181" s="44"/>
      <c r="LQ181" s="44"/>
      <c r="LR181" s="44"/>
      <c r="LS181" s="44"/>
      <c r="LT181" s="44"/>
      <c r="LU181" s="44"/>
      <c r="LV181" s="44"/>
    </row>
    <row r="182" spans="1:334" x14ac:dyDescent="0.2">
      <c r="A182" s="1" t="s">
        <v>8453</v>
      </c>
      <c r="D182" s="1" t="s">
        <v>8454</v>
      </c>
      <c r="E182" s="1" t="s">
        <v>7966</v>
      </c>
      <c r="F182" s="1" t="s">
        <v>8455</v>
      </c>
      <c r="J182" s="1" t="s">
        <v>8456</v>
      </c>
      <c r="K182" s="1">
        <v>2011</v>
      </c>
      <c r="L182" s="1" t="s">
        <v>8457</v>
      </c>
      <c r="M182" s="1" t="s">
        <v>7657</v>
      </c>
      <c r="N182" s="17" t="s">
        <v>7945</v>
      </c>
      <c r="O182" s="33"/>
      <c r="P182" s="33"/>
      <c r="Q182" s="33"/>
      <c r="R182" s="33"/>
      <c r="S182" s="33">
        <v>13</v>
      </c>
      <c r="T182" s="33"/>
      <c r="U182" s="33">
        <v>6.25</v>
      </c>
      <c r="V182" s="33"/>
      <c r="W182" s="33"/>
      <c r="X182" s="33"/>
      <c r="Y182" s="33"/>
      <c r="Z182" s="33">
        <v>23.9</v>
      </c>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v>108.38</v>
      </c>
      <c r="CQ182" s="33"/>
      <c r="CR182" s="33">
        <v>1.1499999999999999</v>
      </c>
      <c r="CS182" s="33"/>
      <c r="CT182" s="33"/>
      <c r="CU182" s="33">
        <v>1.23</v>
      </c>
      <c r="CV182" s="33">
        <v>152.49</v>
      </c>
      <c r="CW182" s="33">
        <v>1.44</v>
      </c>
      <c r="CX182" s="33"/>
      <c r="CY182" s="33">
        <v>496.39</v>
      </c>
      <c r="CZ182" s="33"/>
      <c r="DA182" s="33">
        <v>3.1</v>
      </c>
      <c r="DB182" s="33"/>
      <c r="DC182" s="33"/>
      <c r="DD182" s="33"/>
      <c r="DE182" s="33"/>
      <c r="DF182" s="33"/>
      <c r="DG182" s="33"/>
      <c r="DH182" s="33"/>
      <c r="DI182" s="33"/>
      <c r="DJ182" s="33"/>
      <c r="DK182" s="33"/>
      <c r="DL182" s="33"/>
      <c r="DM182" s="33">
        <v>219.3</v>
      </c>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c r="IV182" s="33"/>
      <c r="IW182" s="33"/>
      <c r="IX182" s="33"/>
      <c r="IY182" s="33"/>
      <c r="IZ182" s="33"/>
      <c r="JA182" s="33"/>
      <c r="JB182" s="33"/>
      <c r="JC182" s="33"/>
      <c r="JD182" s="33"/>
      <c r="JE182" s="33"/>
      <c r="JF182" s="33"/>
      <c r="JG182" s="33"/>
      <c r="JH182" s="33"/>
      <c r="JI182" s="33"/>
      <c r="JJ182" s="33"/>
      <c r="JK182" s="33"/>
      <c r="JL182" s="33"/>
      <c r="JM182" s="33"/>
      <c r="JN182" s="33"/>
      <c r="JO182" s="33"/>
      <c r="JP182" s="33"/>
      <c r="JQ182" s="33"/>
      <c r="JR182" s="33"/>
      <c r="KZ182" s="33"/>
      <c r="LA182" s="33"/>
      <c r="LB182" s="33"/>
      <c r="LC182" s="33"/>
      <c r="LD182" s="33"/>
      <c r="LE182" s="33"/>
      <c r="LF182" s="33"/>
      <c r="LG182" s="33"/>
      <c r="LH182" s="33"/>
      <c r="LI182" s="33"/>
      <c r="LJ182" s="33"/>
      <c r="LK182" s="33"/>
      <c r="LL182" s="33"/>
      <c r="LM182" s="33"/>
      <c r="LN182" s="33"/>
      <c r="LO182" s="33"/>
      <c r="LP182" s="44"/>
      <c r="LQ182" s="44"/>
      <c r="LR182" s="44"/>
      <c r="LS182" s="44"/>
      <c r="LT182" s="44"/>
      <c r="LU182" s="44"/>
      <c r="LV182" s="44"/>
    </row>
    <row r="183" spans="1:334" x14ac:dyDescent="0.2">
      <c r="A183" s="1" t="s">
        <v>8458</v>
      </c>
      <c r="D183" s="1" t="s">
        <v>8459</v>
      </c>
      <c r="E183" s="1" t="s">
        <v>7966</v>
      </c>
      <c r="F183" s="1" t="s">
        <v>8455</v>
      </c>
      <c r="J183" s="1" t="s">
        <v>8456</v>
      </c>
      <c r="K183" s="1">
        <v>2011</v>
      </c>
      <c r="L183" s="1" t="s">
        <v>8457</v>
      </c>
      <c r="M183" s="1" t="s">
        <v>7657</v>
      </c>
      <c r="N183" s="17" t="s">
        <v>7945</v>
      </c>
      <c r="O183" s="33"/>
      <c r="P183" s="33"/>
      <c r="Q183" s="33"/>
      <c r="R183" s="33"/>
      <c r="S183" s="33">
        <v>13</v>
      </c>
      <c r="T183" s="33"/>
      <c r="U183" s="33">
        <v>6.25</v>
      </c>
      <c r="V183" s="33"/>
      <c r="W183" s="33"/>
      <c r="X183" s="33"/>
      <c r="Y183" s="33"/>
      <c r="Z183" s="33">
        <v>25.1</v>
      </c>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v>105.55</v>
      </c>
      <c r="CQ183" s="33"/>
      <c r="CR183" s="33">
        <v>1.1599999999999999</v>
      </c>
      <c r="CS183" s="33"/>
      <c r="CT183" s="33"/>
      <c r="CU183" s="33">
        <v>1.25</v>
      </c>
      <c r="CV183" s="33">
        <v>154.49</v>
      </c>
      <c r="CW183" s="33">
        <v>1.42</v>
      </c>
      <c r="CX183" s="33"/>
      <c r="CY183" s="33">
        <v>501.23</v>
      </c>
      <c r="CZ183" s="33"/>
      <c r="DA183" s="33">
        <v>3.13</v>
      </c>
      <c r="DB183" s="33"/>
      <c r="DC183" s="33"/>
      <c r="DD183" s="33"/>
      <c r="DE183" s="33"/>
      <c r="DF183" s="33"/>
      <c r="DG183" s="33"/>
      <c r="DH183" s="33"/>
      <c r="DI183" s="33"/>
      <c r="DJ183" s="33"/>
      <c r="DK183" s="33"/>
      <c r="DL183" s="33"/>
      <c r="DM183" s="33">
        <v>223.94</v>
      </c>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c r="IV183" s="33"/>
      <c r="IW183" s="33"/>
      <c r="IX183" s="33"/>
      <c r="IY183" s="33"/>
      <c r="IZ183" s="33"/>
      <c r="JA183" s="33"/>
      <c r="JB183" s="33"/>
      <c r="JC183" s="33"/>
      <c r="JD183" s="33"/>
      <c r="JE183" s="33"/>
      <c r="JF183" s="33"/>
      <c r="JG183" s="33"/>
      <c r="JH183" s="33"/>
      <c r="JI183" s="33"/>
      <c r="JJ183" s="33"/>
      <c r="JK183" s="33"/>
      <c r="JL183" s="33"/>
      <c r="JM183" s="33"/>
      <c r="JN183" s="33"/>
      <c r="JO183" s="33"/>
      <c r="JP183" s="33"/>
      <c r="JQ183" s="33"/>
      <c r="JR183" s="33"/>
      <c r="KZ183" s="33"/>
      <c r="LA183" s="33"/>
      <c r="LB183" s="33"/>
      <c r="LC183" s="33"/>
      <c r="LD183" s="33"/>
      <c r="LE183" s="33"/>
      <c r="LF183" s="33"/>
      <c r="LG183" s="33"/>
      <c r="LH183" s="33"/>
      <c r="LI183" s="33"/>
      <c r="LJ183" s="33"/>
      <c r="LK183" s="33"/>
      <c r="LL183" s="33"/>
      <c r="LM183" s="33"/>
      <c r="LN183" s="33"/>
      <c r="LO183" s="33"/>
      <c r="LP183" s="44"/>
      <c r="LQ183" s="44"/>
      <c r="LR183" s="44"/>
      <c r="LS183" s="44"/>
      <c r="LT183" s="44"/>
      <c r="LU183" s="44"/>
      <c r="LV183" s="44"/>
    </row>
    <row r="184" spans="1:334" x14ac:dyDescent="0.2">
      <c r="A184" s="1" t="s">
        <v>8460</v>
      </c>
      <c r="D184" s="1" t="s">
        <v>8461</v>
      </c>
      <c r="E184" s="1" t="s">
        <v>7966</v>
      </c>
      <c r="F184" s="1" t="s">
        <v>8455</v>
      </c>
      <c r="J184" s="1" t="s">
        <v>8456</v>
      </c>
      <c r="K184" s="1">
        <v>2011</v>
      </c>
      <c r="L184" s="1" t="s">
        <v>8457</v>
      </c>
      <c r="M184" s="1" t="s">
        <v>7657</v>
      </c>
      <c r="N184" s="17" t="s">
        <v>7945</v>
      </c>
      <c r="O184" s="33"/>
      <c r="P184" s="33"/>
      <c r="Q184" s="33"/>
      <c r="R184" s="33"/>
      <c r="S184" s="33">
        <v>13</v>
      </c>
      <c r="T184" s="33"/>
      <c r="U184" s="33">
        <v>6.25</v>
      </c>
      <c r="V184" s="33"/>
      <c r="W184" s="33"/>
      <c r="X184" s="33"/>
      <c r="Y184" s="33"/>
      <c r="Z184" s="33">
        <v>24.2</v>
      </c>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v>111.1</v>
      </c>
      <c r="CQ184" s="33"/>
      <c r="CR184" s="33">
        <v>1.19</v>
      </c>
      <c r="CS184" s="33"/>
      <c r="CT184" s="33"/>
      <c r="CU184" s="33">
        <v>1.21</v>
      </c>
      <c r="CV184" s="33">
        <v>152.99</v>
      </c>
      <c r="CW184" s="33">
        <v>1.49</v>
      </c>
      <c r="CX184" s="33"/>
      <c r="CY184" s="33">
        <v>504.31</v>
      </c>
      <c r="CZ184" s="33"/>
      <c r="DA184" s="33">
        <v>3.21</v>
      </c>
      <c r="DB184" s="33"/>
      <c r="DC184" s="33"/>
      <c r="DD184" s="33"/>
      <c r="DE184" s="33"/>
      <c r="DF184" s="33"/>
      <c r="DG184" s="33"/>
      <c r="DH184" s="33"/>
      <c r="DI184" s="33"/>
      <c r="DJ184" s="33"/>
      <c r="DK184" s="33"/>
      <c r="DL184" s="33"/>
      <c r="DM184" s="33">
        <v>218.1</v>
      </c>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c r="IV184" s="33"/>
      <c r="IW184" s="33"/>
      <c r="IX184" s="33"/>
      <c r="IY184" s="33"/>
      <c r="IZ184" s="33"/>
      <c r="JA184" s="33"/>
      <c r="JB184" s="33"/>
      <c r="JC184" s="33"/>
      <c r="JD184" s="33"/>
      <c r="JE184" s="33"/>
      <c r="JF184" s="33"/>
      <c r="JG184" s="33"/>
      <c r="JH184" s="33"/>
      <c r="JI184" s="33"/>
      <c r="JJ184" s="33"/>
      <c r="JK184" s="33"/>
      <c r="JL184" s="33"/>
      <c r="JM184" s="33"/>
      <c r="JN184" s="33"/>
      <c r="JO184" s="33"/>
      <c r="JP184" s="33"/>
      <c r="JQ184" s="33"/>
      <c r="JR184" s="33"/>
      <c r="KZ184" s="33"/>
      <c r="LA184" s="33"/>
      <c r="LB184" s="33"/>
      <c r="LC184" s="33"/>
      <c r="LD184" s="33"/>
      <c r="LE184" s="33"/>
      <c r="LF184" s="33"/>
      <c r="LG184" s="33"/>
      <c r="LH184" s="33"/>
      <c r="LI184" s="33"/>
      <c r="LJ184" s="33"/>
      <c r="LK184" s="33"/>
      <c r="LL184" s="33"/>
      <c r="LM184" s="33"/>
      <c r="LN184" s="33"/>
      <c r="LO184" s="33"/>
      <c r="LP184" s="44"/>
      <c r="LQ184" s="44"/>
      <c r="LR184" s="44"/>
      <c r="LS184" s="44"/>
      <c r="LT184" s="44"/>
      <c r="LU184" s="44"/>
      <c r="LV184" s="44"/>
    </row>
    <row r="185" spans="1:334" x14ac:dyDescent="0.2">
      <c r="A185" s="1" t="s">
        <v>8462</v>
      </c>
      <c r="D185" s="1" t="s">
        <v>8463</v>
      </c>
      <c r="E185" s="1" t="s">
        <v>7966</v>
      </c>
      <c r="F185" s="1" t="s">
        <v>8455</v>
      </c>
      <c r="J185" s="1" t="s">
        <v>8456</v>
      </c>
      <c r="K185" s="1">
        <v>2011</v>
      </c>
      <c r="L185" s="1" t="s">
        <v>8457</v>
      </c>
      <c r="M185" s="1" t="s">
        <v>7657</v>
      </c>
      <c r="N185" s="17" t="s">
        <v>7945</v>
      </c>
      <c r="O185" s="33"/>
      <c r="P185" s="33"/>
      <c r="Q185" s="33"/>
      <c r="R185" s="33"/>
      <c r="S185" s="33">
        <v>13</v>
      </c>
      <c r="T185" s="33"/>
      <c r="U185" s="33">
        <v>6.25</v>
      </c>
      <c r="V185" s="33"/>
      <c r="W185" s="33"/>
      <c r="X185" s="33"/>
      <c r="Y185" s="33"/>
      <c r="Z185" s="33">
        <v>24.2</v>
      </c>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v>107.45</v>
      </c>
      <c r="CQ185" s="33"/>
      <c r="CR185" s="33">
        <v>1.1499999999999999</v>
      </c>
      <c r="CS185" s="33"/>
      <c r="CT185" s="33"/>
      <c r="CU185" s="33">
        <v>1.23</v>
      </c>
      <c r="CV185" s="33">
        <v>151.13999999999999</v>
      </c>
      <c r="CW185" s="33">
        <v>1.4</v>
      </c>
      <c r="CX185" s="33"/>
      <c r="CY185" s="33">
        <v>497.69</v>
      </c>
      <c r="CZ185" s="33"/>
      <c r="DA185" s="33">
        <v>3.09</v>
      </c>
      <c r="DB185" s="33"/>
      <c r="DC185" s="33"/>
      <c r="DD185" s="33"/>
      <c r="DE185" s="33"/>
      <c r="DF185" s="33"/>
      <c r="DG185" s="33"/>
      <c r="DH185" s="33"/>
      <c r="DI185" s="33"/>
      <c r="DJ185" s="33"/>
      <c r="DK185" s="33"/>
      <c r="DL185" s="33"/>
      <c r="DM185" s="33">
        <v>218.69</v>
      </c>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c r="IV185" s="33"/>
      <c r="IW185" s="33"/>
      <c r="IX185" s="33"/>
      <c r="IY185" s="33"/>
      <c r="IZ185" s="33"/>
      <c r="JA185" s="33"/>
      <c r="JB185" s="33"/>
      <c r="JC185" s="33"/>
      <c r="JD185" s="33"/>
      <c r="JE185" s="33"/>
      <c r="JF185" s="33"/>
      <c r="JG185" s="33"/>
      <c r="JH185" s="33"/>
      <c r="JI185" s="33"/>
      <c r="JJ185" s="33"/>
      <c r="JK185" s="33"/>
      <c r="JL185" s="33"/>
      <c r="JM185" s="33"/>
      <c r="JN185" s="33"/>
      <c r="JO185" s="33"/>
      <c r="JP185" s="33"/>
      <c r="JQ185" s="33"/>
      <c r="JR185" s="33"/>
      <c r="KZ185" s="33"/>
      <c r="LA185" s="33"/>
      <c r="LB185" s="33"/>
      <c r="LC185" s="33"/>
      <c r="LD185" s="33"/>
      <c r="LE185" s="33"/>
      <c r="LF185" s="33"/>
      <c r="LG185" s="33"/>
      <c r="LH185" s="33"/>
      <c r="LI185" s="33"/>
      <c r="LJ185" s="33"/>
      <c r="LK185" s="33"/>
      <c r="LL185" s="33"/>
      <c r="LM185" s="33"/>
      <c r="LN185" s="33"/>
      <c r="LO185" s="33"/>
      <c r="LP185" s="44"/>
      <c r="LQ185" s="44"/>
      <c r="LR185" s="44"/>
      <c r="LS185" s="44"/>
      <c r="LT185" s="44"/>
      <c r="LU185" s="44"/>
      <c r="LV185" s="44"/>
    </row>
    <row r="186" spans="1:334" x14ac:dyDescent="0.2">
      <c r="A186" s="1" t="s">
        <v>8464</v>
      </c>
      <c r="D186" s="1" t="s">
        <v>8465</v>
      </c>
      <c r="E186" s="1" t="s">
        <v>7966</v>
      </c>
      <c r="F186" s="1" t="s">
        <v>8455</v>
      </c>
      <c r="J186" s="1" t="s">
        <v>8456</v>
      </c>
      <c r="K186" s="1">
        <v>2011</v>
      </c>
      <c r="L186" s="1" t="s">
        <v>8457</v>
      </c>
      <c r="M186" s="1" t="s">
        <v>7657</v>
      </c>
      <c r="N186" s="17" t="s">
        <v>7945</v>
      </c>
      <c r="O186" s="33"/>
      <c r="P186" s="33"/>
      <c r="Q186" s="33"/>
      <c r="R186" s="33"/>
      <c r="S186" s="33">
        <v>13</v>
      </c>
      <c r="T186" s="33"/>
      <c r="U186" s="33">
        <v>6.25</v>
      </c>
      <c r="V186" s="33"/>
      <c r="W186" s="33"/>
      <c r="X186" s="33"/>
      <c r="Y186" s="33"/>
      <c r="Z186" s="33">
        <v>24.8</v>
      </c>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v>106.03</v>
      </c>
      <c r="CQ186" s="33"/>
      <c r="CR186" s="33">
        <v>1.17</v>
      </c>
      <c r="CS186" s="33"/>
      <c r="CT186" s="33"/>
      <c r="CU186" s="33">
        <v>1.25</v>
      </c>
      <c r="CV186" s="33">
        <v>156.52000000000001</v>
      </c>
      <c r="CW186" s="33">
        <v>1.46</v>
      </c>
      <c r="CX186" s="33"/>
      <c r="CY186" s="33">
        <v>499.77</v>
      </c>
      <c r="CZ186" s="33"/>
      <c r="DA186" s="33">
        <v>3.16</v>
      </c>
      <c r="DB186" s="33"/>
      <c r="DC186" s="33"/>
      <c r="DD186" s="33"/>
      <c r="DE186" s="33"/>
      <c r="DF186" s="33"/>
      <c r="DG186" s="33"/>
      <c r="DH186" s="33"/>
      <c r="DI186" s="33"/>
      <c r="DJ186" s="33"/>
      <c r="DK186" s="33"/>
      <c r="DL186" s="33"/>
      <c r="DM186" s="33">
        <v>225.68</v>
      </c>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c r="IV186" s="33"/>
      <c r="IW186" s="33"/>
      <c r="IX186" s="33"/>
      <c r="IY186" s="33"/>
      <c r="IZ186" s="33"/>
      <c r="JA186" s="33"/>
      <c r="JB186" s="33"/>
      <c r="JC186" s="33"/>
      <c r="JD186" s="33"/>
      <c r="JE186" s="33"/>
      <c r="JF186" s="33"/>
      <c r="JG186" s="33"/>
      <c r="JH186" s="33"/>
      <c r="JI186" s="33"/>
      <c r="JJ186" s="33"/>
      <c r="JK186" s="33"/>
      <c r="JL186" s="33"/>
      <c r="JM186" s="33"/>
      <c r="JN186" s="33"/>
      <c r="JO186" s="33"/>
      <c r="JP186" s="33"/>
      <c r="JQ186" s="33"/>
      <c r="JR186" s="33"/>
      <c r="KZ186" s="33"/>
      <c r="LA186" s="33"/>
      <c r="LB186" s="33"/>
      <c r="LC186" s="33"/>
      <c r="LD186" s="33"/>
      <c r="LE186" s="33"/>
      <c r="LF186" s="33"/>
      <c r="LG186" s="33"/>
      <c r="LH186" s="33"/>
      <c r="LI186" s="33"/>
      <c r="LJ186" s="33"/>
      <c r="LK186" s="33"/>
      <c r="LL186" s="33"/>
      <c r="LM186" s="33"/>
      <c r="LN186" s="33"/>
      <c r="LO186" s="33"/>
      <c r="LP186" s="44"/>
      <c r="LQ186" s="44"/>
      <c r="LR186" s="44"/>
      <c r="LS186" s="44"/>
      <c r="LT186" s="44"/>
      <c r="LU186" s="44"/>
      <c r="LV186" s="44"/>
    </row>
    <row r="187" spans="1:334" x14ac:dyDescent="0.2">
      <c r="A187" s="1" t="s">
        <v>8466</v>
      </c>
      <c r="D187" s="1" t="s">
        <v>8467</v>
      </c>
      <c r="E187" s="1" t="s">
        <v>7966</v>
      </c>
      <c r="F187" s="1" t="s">
        <v>8455</v>
      </c>
      <c r="J187" s="1" t="s">
        <v>8456</v>
      </c>
      <c r="K187" s="1">
        <v>2011</v>
      </c>
      <c r="L187" s="1" t="s">
        <v>8457</v>
      </c>
      <c r="M187" s="1" t="s">
        <v>7657</v>
      </c>
      <c r="N187" s="17" t="s">
        <v>7945</v>
      </c>
      <c r="O187" s="33"/>
      <c r="P187" s="33"/>
      <c r="Q187" s="33"/>
      <c r="R187" s="33"/>
      <c r="S187" s="33">
        <v>13</v>
      </c>
      <c r="T187" s="33"/>
      <c r="U187" s="33">
        <v>6.25</v>
      </c>
      <c r="V187" s="33"/>
      <c r="W187" s="33"/>
      <c r="X187" s="33"/>
      <c r="Y187" s="33"/>
      <c r="Z187" s="33">
        <v>24.7</v>
      </c>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v>112</v>
      </c>
      <c r="CQ187" s="33"/>
      <c r="CR187" s="33">
        <v>1.21</v>
      </c>
      <c r="CS187" s="33"/>
      <c r="CT187" s="33"/>
      <c r="CU187" s="33">
        <v>1.22</v>
      </c>
      <c r="CV187" s="33">
        <v>158.41</v>
      </c>
      <c r="CW187" s="33">
        <v>1.57</v>
      </c>
      <c r="CX187" s="33"/>
      <c r="CY187" s="33">
        <v>507.33</v>
      </c>
      <c r="CZ187" s="33"/>
      <c r="DA187" s="33">
        <v>3.24</v>
      </c>
      <c r="DB187" s="33"/>
      <c r="DC187" s="33"/>
      <c r="DD187" s="33"/>
      <c r="DE187" s="33"/>
      <c r="DF187" s="33"/>
      <c r="DG187" s="33"/>
      <c r="DH187" s="33"/>
      <c r="DI187" s="33"/>
      <c r="DJ187" s="33"/>
      <c r="DK187" s="33"/>
      <c r="DL187" s="33"/>
      <c r="DM187" s="33">
        <v>223.93</v>
      </c>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c r="IV187" s="33"/>
      <c r="IW187" s="33"/>
      <c r="IX187" s="33"/>
      <c r="IY187" s="33"/>
      <c r="IZ187" s="33"/>
      <c r="JA187" s="33"/>
      <c r="JB187" s="33"/>
      <c r="JC187" s="33"/>
      <c r="JD187" s="33"/>
      <c r="JE187" s="33"/>
      <c r="JF187" s="33"/>
      <c r="JG187" s="33"/>
      <c r="JH187" s="33"/>
      <c r="JI187" s="33"/>
      <c r="JJ187" s="33"/>
      <c r="JK187" s="33"/>
      <c r="JL187" s="33"/>
      <c r="JM187" s="33"/>
      <c r="JN187" s="33"/>
      <c r="JO187" s="33"/>
      <c r="JP187" s="33"/>
      <c r="JQ187" s="33"/>
      <c r="JR187" s="33"/>
      <c r="KZ187" s="33"/>
      <c r="LA187" s="33"/>
      <c r="LB187" s="33"/>
      <c r="LC187" s="33"/>
      <c r="LD187" s="33"/>
      <c r="LE187" s="33"/>
      <c r="LF187" s="33"/>
      <c r="LG187" s="33"/>
      <c r="LH187" s="33"/>
      <c r="LI187" s="33"/>
      <c r="LJ187" s="33"/>
      <c r="LK187" s="33"/>
      <c r="LL187" s="33"/>
      <c r="LM187" s="33"/>
      <c r="LN187" s="33"/>
      <c r="LO187" s="33"/>
      <c r="LP187" s="44"/>
      <c r="LQ187" s="44"/>
      <c r="LR187" s="44"/>
      <c r="LS187" s="44"/>
      <c r="LT187" s="44"/>
      <c r="LU187" s="44"/>
      <c r="LV187" s="44"/>
    </row>
    <row r="188" spans="1:334" x14ac:dyDescent="0.2">
      <c r="A188" s="1" t="s">
        <v>8468</v>
      </c>
      <c r="D188" s="1" t="s">
        <v>8469</v>
      </c>
      <c r="E188" s="1" t="s">
        <v>7966</v>
      </c>
      <c r="F188" s="1" t="s">
        <v>8455</v>
      </c>
      <c r="J188" s="1" t="s">
        <v>8456</v>
      </c>
      <c r="K188" s="1">
        <v>2011</v>
      </c>
      <c r="L188" s="1" t="s">
        <v>8457</v>
      </c>
      <c r="M188" s="1" t="s">
        <v>7657</v>
      </c>
      <c r="N188" s="17" t="s">
        <v>7945</v>
      </c>
      <c r="O188" s="33"/>
      <c r="P188" s="33"/>
      <c r="Q188" s="33"/>
      <c r="R188" s="33"/>
      <c r="S188" s="33">
        <v>13</v>
      </c>
      <c r="T188" s="33"/>
      <c r="U188" s="33">
        <v>6.25</v>
      </c>
      <c r="V188" s="33"/>
      <c r="W188" s="33"/>
      <c r="X188" s="33"/>
      <c r="Y188" s="33"/>
      <c r="Z188" s="33">
        <v>25.3</v>
      </c>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v>130.65</v>
      </c>
      <c r="CQ188" s="33"/>
      <c r="CR188" s="33">
        <v>1.24</v>
      </c>
      <c r="CS188" s="33"/>
      <c r="CT188" s="33"/>
      <c r="CU188" s="33">
        <v>1.1599999999999999</v>
      </c>
      <c r="CV188" s="33">
        <v>167.47</v>
      </c>
      <c r="CW188" s="33">
        <v>1.89</v>
      </c>
      <c r="CX188" s="33"/>
      <c r="CY188" s="33">
        <v>490.72</v>
      </c>
      <c r="CZ188" s="33"/>
      <c r="DA188" s="33">
        <v>3.31</v>
      </c>
      <c r="DB188" s="33"/>
      <c r="DC188" s="33"/>
      <c r="DD188" s="33"/>
      <c r="DE188" s="33"/>
      <c r="DF188" s="33"/>
      <c r="DG188" s="33"/>
      <c r="DH188" s="33"/>
      <c r="DI188" s="33"/>
      <c r="DJ188" s="33"/>
      <c r="DK188" s="33"/>
      <c r="DL188" s="33"/>
      <c r="DM188" s="33">
        <v>230.09</v>
      </c>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c r="IV188" s="33"/>
      <c r="IW188" s="33"/>
      <c r="IX188" s="33"/>
      <c r="IY188" s="33"/>
      <c r="IZ188" s="33"/>
      <c r="JA188" s="33"/>
      <c r="JB188" s="33"/>
      <c r="JC188" s="33"/>
      <c r="JD188" s="33"/>
      <c r="JE188" s="33"/>
      <c r="JF188" s="33"/>
      <c r="JG188" s="33"/>
      <c r="JH188" s="33"/>
      <c r="JI188" s="33"/>
      <c r="JJ188" s="33"/>
      <c r="JK188" s="33"/>
      <c r="JL188" s="33"/>
      <c r="JM188" s="33"/>
      <c r="JN188" s="33"/>
      <c r="JO188" s="33"/>
      <c r="JP188" s="33"/>
      <c r="JQ188" s="33"/>
      <c r="JR188" s="33"/>
      <c r="KZ188" s="33"/>
      <c r="LA188" s="33"/>
      <c r="LB188" s="33"/>
      <c r="LC188" s="33"/>
      <c r="LD188" s="33"/>
      <c r="LE188" s="33"/>
      <c r="LF188" s="33"/>
      <c r="LG188" s="33"/>
      <c r="LH188" s="33"/>
      <c r="LI188" s="33"/>
      <c r="LJ188" s="33"/>
      <c r="LK188" s="33"/>
      <c r="LL188" s="33"/>
      <c r="LM188" s="33"/>
      <c r="LN188" s="33"/>
      <c r="LO188" s="33"/>
      <c r="LP188" s="44"/>
      <c r="LQ188" s="44"/>
      <c r="LR188" s="44"/>
      <c r="LS188" s="44"/>
      <c r="LT188" s="44"/>
      <c r="LU188" s="44"/>
      <c r="LV188" s="44"/>
    </row>
    <row r="189" spans="1:334" x14ac:dyDescent="0.2">
      <c r="A189" s="1" t="s">
        <v>8470</v>
      </c>
      <c r="D189" s="1" t="s">
        <v>8471</v>
      </c>
      <c r="E189" s="1" t="s">
        <v>7966</v>
      </c>
      <c r="F189" s="1" t="s">
        <v>8455</v>
      </c>
      <c r="J189" s="1" t="s">
        <v>8456</v>
      </c>
      <c r="K189" s="1">
        <v>2011</v>
      </c>
      <c r="L189" s="1" t="s">
        <v>8457</v>
      </c>
      <c r="M189" s="1" t="s">
        <v>7657</v>
      </c>
      <c r="N189" s="17" t="s">
        <v>7945</v>
      </c>
      <c r="O189" s="33"/>
      <c r="P189" s="33"/>
      <c r="Q189" s="33"/>
      <c r="R189" s="33"/>
      <c r="S189" s="33">
        <v>13</v>
      </c>
      <c r="T189" s="33"/>
      <c r="U189" s="33">
        <v>6.25</v>
      </c>
      <c r="V189" s="33"/>
      <c r="W189" s="33"/>
      <c r="X189" s="33"/>
      <c r="Y189" s="33"/>
      <c r="Z189" s="33">
        <v>24.6</v>
      </c>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v>104.62</v>
      </c>
      <c r="CQ189" s="33"/>
      <c r="CR189" s="33">
        <v>1.1299999999999999</v>
      </c>
      <c r="CS189" s="33"/>
      <c r="CT189" s="33"/>
      <c r="CU189" s="33">
        <v>1.25</v>
      </c>
      <c r="CV189" s="33">
        <v>150.82</v>
      </c>
      <c r="CW189" s="33">
        <v>1.36</v>
      </c>
      <c r="CX189" s="33"/>
      <c r="CY189" s="33">
        <v>501.93</v>
      </c>
      <c r="CZ189" s="33"/>
      <c r="DA189" s="33">
        <v>3.07</v>
      </c>
      <c r="DB189" s="33"/>
      <c r="DC189" s="33"/>
      <c r="DD189" s="33"/>
      <c r="DE189" s="33"/>
      <c r="DF189" s="33"/>
      <c r="DG189" s="33"/>
      <c r="DH189" s="33"/>
      <c r="DI189" s="33"/>
      <c r="DJ189" s="33"/>
      <c r="DK189" s="33"/>
      <c r="DL189" s="33"/>
      <c r="DM189" s="33">
        <v>219.87</v>
      </c>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c r="IV189" s="33"/>
      <c r="IW189" s="33"/>
      <c r="IX189" s="33"/>
      <c r="IY189" s="33"/>
      <c r="IZ189" s="33"/>
      <c r="JA189" s="33"/>
      <c r="JB189" s="33"/>
      <c r="JC189" s="33"/>
      <c r="JD189" s="33"/>
      <c r="JE189" s="33"/>
      <c r="JF189" s="33"/>
      <c r="JG189" s="33"/>
      <c r="JH189" s="33"/>
      <c r="JI189" s="33"/>
      <c r="JJ189" s="33"/>
      <c r="JK189" s="33"/>
      <c r="JL189" s="33"/>
      <c r="JM189" s="33"/>
      <c r="JN189" s="33"/>
      <c r="JO189" s="33"/>
      <c r="JP189" s="33"/>
      <c r="JQ189" s="33"/>
      <c r="JR189" s="33"/>
      <c r="KZ189" s="33"/>
      <c r="LA189" s="33"/>
      <c r="LB189" s="33"/>
      <c r="LC189" s="33"/>
      <c r="LD189" s="33"/>
      <c r="LE189" s="33"/>
      <c r="LF189" s="33"/>
      <c r="LG189" s="33"/>
      <c r="LH189" s="33"/>
      <c r="LI189" s="33"/>
      <c r="LJ189" s="33"/>
      <c r="LK189" s="33"/>
      <c r="LL189" s="33"/>
      <c r="LM189" s="33"/>
      <c r="LN189" s="33"/>
      <c r="LO189" s="33"/>
      <c r="LP189" s="44"/>
      <c r="LQ189" s="44"/>
      <c r="LR189" s="44"/>
      <c r="LS189" s="44"/>
      <c r="LT189" s="44"/>
      <c r="LU189" s="44"/>
      <c r="LV189" s="44"/>
    </row>
    <row r="190" spans="1:334" x14ac:dyDescent="0.2">
      <c r="A190" s="1" t="s">
        <v>8472</v>
      </c>
      <c r="D190" s="1" t="s">
        <v>8473</v>
      </c>
      <c r="E190" s="1" t="s">
        <v>7966</v>
      </c>
      <c r="F190" s="1" t="s">
        <v>8455</v>
      </c>
      <c r="J190" s="1" t="s">
        <v>8456</v>
      </c>
      <c r="K190" s="1">
        <v>2011</v>
      </c>
      <c r="L190" s="1" t="s">
        <v>8457</v>
      </c>
      <c r="M190" s="1" t="s">
        <v>7657</v>
      </c>
      <c r="N190" s="17" t="s">
        <v>7945</v>
      </c>
      <c r="O190" s="33"/>
      <c r="P190" s="33"/>
      <c r="Q190" s="33"/>
      <c r="R190" s="33"/>
      <c r="S190" s="33">
        <v>13</v>
      </c>
      <c r="T190" s="33"/>
      <c r="U190" s="33">
        <v>6.25</v>
      </c>
      <c r="V190" s="33"/>
      <c r="W190" s="33"/>
      <c r="X190" s="33"/>
      <c r="Y190" s="33"/>
      <c r="Z190" s="33">
        <v>24</v>
      </c>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v>104.4</v>
      </c>
      <c r="CQ190" s="33"/>
      <c r="CR190" s="33">
        <v>1.17</v>
      </c>
      <c r="CS190" s="33"/>
      <c r="CT190" s="33"/>
      <c r="CU190" s="33">
        <v>1.23</v>
      </c>
      <c r="CV190" s="33">
        <v>153.41</v>
      </c>
      <c r="CW190" s="33">
        <v>1.41</v>
      </c>
      <c r="CX190" s="33"/>
      <c r="CY190" s="33">
        <v>496.78</v>
      </c>
      <c r="CZ190" s="33"/>
      <c r="DA190" s="33">
        <v>3.13</v>
      </c>
      <c r="DB190" s="33"/>
      <c r="DC190" s="33"/>
      <c r="DD190" s="33"/>
      <c r="DE190" s="33"/>
      <c r="DF190" s="33"/>
      <c r="DG190" s="33"/>
      <c r="DH190" s="33"/>
      <c r="DI190" s="33"/>
      <c r="DJ190" s="33"/>
      <c r="DK190" s="33"/>
      <c r="DL190" s="33"/>
      <c r="DM190" s="33">
        <v>221.32</v>
      </c>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c r="IV190" s="33"/>
      <c r="IW190" s="33"/>
      <c r="IX190" s="33"/>
      <c r="IY190" s="33"/>
      <c r="IZ190" s="33"/>
      <c r="JA190" s="33"/>
      <c r="JB190" s="33"/>
      <c r="JC190" s="33"/>
      <c r="JD190" s="33"/>
      <c r="JE190" s="33"/>
      <c r="JF190" s="33"/>
      <c r="JG190" s="33"/>
      <c r="JH190" s="33"/>
      <c r="JI190" s="33"/>
      <c r="JJ190" s="33"/>
      <c r="JK190" s="33"/>
      <c r="JL190" s="33"/>
      <c r="JM190" s="33"/>
      <c r="JN190" s="33"/>
      <c r="JO190" s="33"/>
      <c r="JP190" s="33"/>
      <c r="JQ190" s="33"/>
      <c r="JR190" s="33"/>
      <c r="KZ190" s="33"/>
      <c r="LA190" s="33"/>
      <c r="LB190" s="33"/>
      <c r="LC190" s="33"/>
      <c r="LD190" s="33"/>
      <c r="LE190" s="33"/>
      <c r="LF190" s="33"/>
      <c r="LG190" s="33"/>
      <c r="LH190" s="33"/>
      <c r="LI190" s="33"/>
      <c r="LJ190" s="33"/>
      <c r="LK190" s="33"/>
      <c r="LL190" s="33"/>
      <c r="LM190" s="33"/>
      <c r="LN190" s="33"/>
      <c r="LO190" s="33"/>
      <c r="LP190" s="44"/>
      <c r="LQ190" s="44"/>
      <c r="LR190" s="44"/>
      <c r="LS190" s="44"/>
      <c r="LT190" s="44"/>
      <c r="LU190" s="44"/>
      <c r="LV190" s="44"/>
    </row>
    <row r="191" spans="1:334" x14ac:dyDescent="0.2">
      <c r="A191" s="1" t="s">
        <v>8474</v>
      </c>
      <c r="B191" s="1" t="s">
        <v>8475</v>
      </c>
      <c r="D191" s="1" t="s">
        <v>8260</v>
      </c>
      <c r="E191" s="1" t="s">
        <v>7</v>
      </c>
      <c r="F191" s="1" t="s">
        <v>8476</v>
      </c>
      <c r="J191" s="1" t="s">
        <v>8477</v>
      </c>
      <c r="K191" s="1">
        <v>2015</v>
      </c>
      <c r="L191" s="1" t="s">
        <v>8478</v>
      </c>
      <c r="M191" s="1" t="s">
        <v>7657</v>
      </c>
      <c r="N191" s="17" t="s">
        <v>7945</v>
      </c>
      <c r="O191" s="33"/>
      <c r="P191" s="33"/>
      <c r="Q191" s="33"/>
      <c r="R191" s="33"/>
      <c r="S191" s="33">
        <v>9.1</v>
      </c>
      <c r="T191" s="33"/>
      <c r="U191" s="33">
        <v>6.25</v>
      </c>
      <c r="V191" s="33"/>
      <c r="W191" s="33"/>
      <c r="X191" s="33"/>
      <c r="Y191" s="33"/>
      <c r="Z191" s="33">
        <v>26.2</v>
      </c>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v>2.5</v>
      </c>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c r="IV191" s="33"/>
      <c r="IW191" s="33"/>
      <c r="IX191" s="33"/>
      <c r="IY191" s="33"/>
      <c r="IZ191" s="33"/>
      <c r="JA191" s="33"/>
      <c r="JB191" s="33"/>
      <c r="JC191" s="33"/>
      <c r="JD191" s="33"/>
      <c r="JE191" s="33"/>
      <c r="JF191" s="33"/>
      <c r="JG191" s="33"/>
      <c r="JH191" s="33"/>
      <c r="JI191" s="33"/>
      <c r="JJ191" s="33"/>
      <c r="JK191" s="33"/>
      <c r="JL191" s="33"/>
      <c r="JM191" s="33"/>
      <c r="JN191" s="33"/>
      <c r="JO191" s="33"/>
      <c r="JP191" s="33"/>
      <c r="JQ191" s="33"/>
      <c r="JR191" s="33"/>
      <c r="KZ191" s="33"/>
      <c r="LA191" s="33"/>
      <c r="LB191" s="33"/>
      <c r="LC191" s="33"/>
      <c r="LD191" s="33"/>
      <c r="LE191" s="33"/>
      <c r="LF191" s="33"/>
      <c r="LG191" s="33"/>
      <c r="LH191" s="33"/>
      <c r="LI191" s="33"/>
      <c r="LJ191" s="33"/>
      <c r="LK191" s="33"/>
      <c r="LL191" s="33"/>
      <c r="LM191" s="33"/>
      <c r="LN191" s="33"/>
      <c r="LO191" s="33"/>
      <c r="LP191" s="44"/>
      <c r="LQ191" s="44"/>
      <c r="LR191" s="44"/>
      <c r="LS191" s="44"/>
      <c r="LT191" s="44"/>
      <c r="LU191" s="44"/>
      <c r="LV191" s="44"/>
    </row>
    <row r="192" spans="1:334" x14ac:dyDescent="0.2">
      <c r="A192" s="1" t="s">
        <v>8479</v>
      </c>
      <c r="B192" s="1" t="s">
        <v>8480</v>
      </c>
      <c r="D192" s="1" t="s">
        <v>8260</v>
      </c>
      <c r="E192" s="1" t="s">
        <v>7</v>
      </c>
      <c r="F192" s="1" t="s">
        <v>8476</v>
      </c>
      <c r="J192" s="1" t="s">
        <v>8477</v>
      </c>
      <c r="K192" s="1">
        <v>2015</v>
      </c>
      <c r="L192" s="1" t="s">
        <v>8478</v>
      </c>
      <c r="M192" s="1" t="s">
        <v>7657</v>
      </c>
      <c r="N192" s="17" t="s">
        <v>7945</v>
      </c>
      <c r="O192" s="33"/>
      <c r="P192" s="33"/>
      <c r="Q192" s="33"/>
      <c r="R192" s="33"/>
      <c r="S192" s="33">
        <v>11.2</v>
      </c>
      <c r="T192" s="33"/>
      <c r="U192" s="33">
        <v>6.25</v>
      </c>
      <c r="V192" s="33"/>
      <c r="W192" s="33"/>
      <c r="X192" s="33"/>
      <c r="Y192" s="33"/>
      <c r="Z192" s="33">
        <v>24.9</v>
      </c>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v>2.4</v>
      </c>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c r="IV192" s="33"/>
      <c r="IW192" s="33"/>
      <c r="IX192" s="33"/>
      <c r="IY192" s="33"/>
      <c r="IZ192" s="33"/>
      <c r="JA192" s="33"/>
      <c r="JB192" s="33"/>
      <c r="JC192" s="33"/>
      <c r="JD192" s="33"/>
      <c r="JE192" s="33"/>
      <c r="JF192" s="33"/>
      <c r="JG192" s="33"/>
      <c r="JH192" s="33"/>
      <c r="JI192" s="33"/>
      <c r="JJ192" s="33"/>
      <c r="JK192" s="33"/>
      <c r="JL192" s="33"/>
      <c r="JM192" s="33"/>
      <c r="JN192" s="33"/>
      <c r="JO192" s="33"/>
      <c r="JP192" s="33"/>
      <c r="JQ192" s="33"/>
      <c r="JR192" s="33"/>
      <c r="KZ192" s="33"/>
      <c r="LA192" s="33"/>
      <c r="LB192" s="33"/>
      <c r="LC192" s="33"/>
      <c r="LD192" s="33"/>
      <c r="LE192" s="33"/>
      <c r="LF192" s="33"/>
      <c r="LG192" s="33"/>
      <c r="LH192" s="33"/>
      <c r="LI192" s="33"/>
      <c r="LJ192" s="33"/>
      <c r="LK192" s="33"/>
      <c r="LL192" s="33"/>
      <c r="LM192" s="33"/>
      <c r="LN192" s="33"/>
      <c r="LO192" s="33"/>
      <c r="LP192" s="44"/>
      <c r="LQ192" s="44"/>
      <c r="LR192" s="44"/>
      <c r="LS192" s="44"/>
      <c r="LT192" s="44"/>
      <c r="LU192" s="44"/>
      <c r="LV192" s="44"/>
    </row>
    <row r="193" spans="1:334" x14ac:dyDescent="0.2">
      <c r="A193" s="1" t="s">
        <v>8481</v>
      </c>
      <c r="B193" s="1" t="s">
        <v>2954</v>
      </c>
      <c r="D193" s="1" t="s">
        <v>8260</v>
      </c>
      <c r="E193" s="1" t="s">
        <v>7</v>
      </c>
      <c r="F193" s="1" t="s">
        <v>8476</v>
      </c>
      <c r="H193" s="1" t="s">
        <v>8482</v>
      </c>
      <c r="J193" s="1" t="s">
        <v>8477</v>
      </c>
      <c r="K193" s="1">
        <v>2015</v>
      </c>
      <c r="L193" s="1" t="s">
        <v>8478</v>
      </c>
      <c r="M193" s="1" t="s">
        <v>7657</v>
      </c>
      <c r="N193" s="17" t="s">
        <v>7945</v>
      </c>
      <c r="O193" s="33"/>
      <c r="P193" s="33"/>
      <c r="Q193" s="33"/>
      <c r="R193" s="33"/>
      <c r="S193" s="33">
        <v>10.4</v>
      </c>
      <c r="T193" s="33"/>
      <c r="U193" s="33">
        <v>6.25</v>
      </c>
      <c r="V193" s="33"/>
      <c r="W193" s="33"/>
      <c r="X193" s="33"/>
      <c r="Y193" s="33"/>
      <c r="Z193" s="33">
        <v>22.7</v>
      </c>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v>2.5</v>
      </c>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c r="IV193" s="33"/>
      <c r="IW193" s="33"/>
      <c r="IX193" s="33"/>
      <c r="IY193" s="33"/>
      <c r="IZ193" s="33"/>
      <c r="JA193" s="33"/>
      <c r="JB193" s="33"/>
      <c r="JC193" s="33"/>
      <c r="JD193" s="33"/>
      <c r="JE193" s="33"/>
      <c r="JF193" s="33"/>
      <c r="JG193" s="33"/>
      <c r="JH193" s="33"/>
      <c r="JI193" s="33"/>
      <c r="JJ193" s="33"/>
      <c r="JK193" s="33"/>
      <c r="JL193" s="33"/>
      <c r="JM193" s="33"/>
      <c r="JN193" s="33"/>
      <c r="JO193" s="33"/>
      <c r="JP193" s="33"/>
      <c r="JQ193" s="33"/>
      <c r="JR193" s="33"/>
      <c r="KZ193" s="33"/>
      <c r="LA193" s="33"/>
      <c r="LB193" s="33"/>
      <c r="LC193" s="33"/>
      <c r="LD193" s="33"/>
      <c r="LE193" s="33"/>
      <c r="LF193" s="33"/>
      <c r="LG193" s="33"/>
      <c r="LH193" s="33"/>
      <c r="LI193" s="33"/>
      <c r="LJ193" s="33"/>
      <c r="LK193" s="33"/>
      <c r="LL193" s="33"/>
      <c r="LM193" s="33"/>
      <c r="LN193" s="33"/>
      <c r="LO193" s="33"/>
      <c r="LP193" s="44"/>
      <c r="LQ193" s="44"/>
      <c r="LR193" s="44"/>
      <c r="LS193" s="44"/>
      <c r="LT193" s="44"/>
      <c r="LU193" s="44"/>
      <c r="LV193" s="44"/>
    </row>
    <row r="194" spans="1:334" x14ac:dyDescent="0.2">
      <c r="A194" s="1" t="s">
        <v>8483</v>
      </c>
      <c r="B194" s="1" t="s">
        <v>8475</v>
      </c>
      <c r="D194" s="1" t="s">
        <v>8484</v>
      </c>
      <c r="E194" s="1" t="s">
        <v>7</v>
      </c>
      <c r="F194" s="1" t="s">
        <v>8485</v>
      </c>
      <c r="J194" s="1" t="s">
        <v>8477</v>
      </c>
      <c r="K194" s="1">
        <v>2015</v>
      </c>
      <c r="L194" s="1" t="s">
        <v>8478</v>
      </c>
      <c r="M194" s="1" t="s">
        <v>7657</v>
      </c>
      <c r="N194" s="17" t="s">
        <v>7945</v>
      </c>
      <c r="O194" s="33"/>
      <c r="P194" s="33"/>
      <c r="Q194" s="33"/>
      <c r="R194" s="33"/>
      <c r="S194" s="33">
        <v>10</v>
      </c>
      <c r="T194" s="33"/>
      <c r="U194" s="33">
        <v>6.25</v>
      </c>
      <c r="V194" s="33"/>
      <c r="W194" s="33"/>
      <c r="X194" s="33"/>
      <c r="Y194" s="33"/>
      <c r="Z194" s="33">
        <v>27.6</v>
      </c>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v>3.2</v>
      </c>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c r="IV194" s="33"/>
      <c r="IW194" s="33"/>
      <c r="IX194" s="33"/>
      <c r="IY194" s="33"/>
      <c r="IZ194" s="33"/>
      <c r="JA194" s="33"/>
      <c r="JB194" s="33"/>
      <c r="JC194" s="33"/>
      <c r="JD194" s="33"/>
      <c r="JE194" s="33"/>
      <c r="JF194" s="33"/>
      <c r="JG194" s="33"/>
      <c r="JH194" s="33"/>
      <c r="JI194" s="33"/>
      <c r="JJ194" s="33"/>
      <c r="JK194" s="33"/>
      <c r="JL194" s="33"/>
      <c r="JM194" s="33"/>
      <c r="JN194" s="33"/>
      <c r="JO194" s="33"/>
      <c r="JP194" s="33"/>
      <c r="JQ194" s="33"/>
      <c r="JR194" s="33"/>
      <c r="KZ194" s="33"/>
      <c r="LA194" s="33"/>
      <c r="LB194" s="33"/>
      <c r="LC194" s="33"/>
      <c r="LD194" s="33"/>
      <c r="LE194" s="33"/>
      <c r="LF194" s="33"/>
      <c r="LG194" s="33"/>
      <c r="LH194" s="33"/>
      <c r="LI194" s="33"/>
      <c r="LJ194" s="33"/>
      <c r="LK194" s="33"/>
      <c r="LL194" s="33"/>
      <c r="LM194" s="33"/>
      <c r="LN194" s="33"/>
      <c r="LO194" s="33"/>
      <c r="LP194" s="44"/>
      <c r="LQ194" s="44"/>
      <c r="LR194" s="44"/>
      <c r="LS194" s="44"/>
      <c r="LT194" s="44"/>
      <c r="LU194" s="44"/>
      <c r="LV194" s="44"/>
    </row>
    <row r="195" spans="1:334" x14ac:dyDescent="0.2">
      <c r="A195" s="1" t="s">
        <v>8486</v>
      </c>
      <c r="B195" s="1" t="s">
        <v>8480</v>
      </c>
      <c r="D195" s="1" t="s">
        <v>8484</v>
      </c>
      <c r="E195" s="1" t="s">
        <v>7</v>
      </c>
      <c r="F195" s="1" t="s">
        <v>8485</v>
      </c>
      <c r="J195" s="1" t="s">
        <v>8477</v>
      </c>
      <c r="K195" s="1">
        <v>2015</v>
      </c>
      <c r="L195" s="1" t="s">
        <v>8478</v>
      </c>
      <c r="M195" s="1" t="s">
        <v>7657</v>
      </c>
      <c r="N195" s="17" t="s">
        <v>7945</v>
      </c>
      <c r="O195" s="33"/>
      <c r="P195" s="33"/>
      <c r="Q195" s="33"/>
      <c r="R195" s="33"/>
      <c r="S195" s="33">
        <v>11.5</v>
      </c>
      <c r="T195" s="33"/>
      <c r="U195" s="33">
        <v>6.25</v>
      </c>
      <c r="V195" s="33"/>
      <c r="W195" s="33"/>
      <c r="X195" s="33"/>
      <c r="Y195" s="33"/>
      <c r="Z195" s="33">
        <v>25.1</v>
      </c>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v>2.7</v>
      </c>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c r="IV195" s="33"/>
      <c r="IW195" s="33"/>
      <c r="IX195" s="33"/>
      <c r="IY195" s="33"/>
      <c r="IZ195" s="33"/>
      <c r="JA195" s="33"/>
      <c r="JB195" s="33"/>
      <c r="JC195" s="33"/>
      <c r="JD195" s="33"/>
      <c r="JE195" s="33"/>
      <c r="JF195" s="33"/>
      <c r="JG195" s="33"/>
      <c r="JH195" s="33"/>
      <c r="JI195" s="33"/>
      <c r="JJ195" s="33"/>
      <c r="JK195" s="33"/>
      <c r="JL195" s="33"/>
      <c r="JM195" s="33"/>
      <c r="JN195" s="33"/>
      <c r="JO195" s="33"/>
      <c r="JP195" s="33"/>
      <c r="JQ195" s="33"/>
      <c r="JR195" s="33"/>
      <c r="KZ195" s="33"/>
      <c r="LA195" s="33"/>
      <c r="LB195" s="33"/>
      <c r="LC195" s="33"/>
      <c r="LD195" s="33"/>
      <c r="LE195" s="33"/>
      <c r="LF195" s="33"/>
      <c r="LG195" s="33"/>
      <c r="LH195" s="33"/>
      <c r="LI195" s="33"/>
      <c r="LJ195" s="33"/>
      <c r="LK195" s="33"/>
      <c r="LL195" s="33"/>
      <c r="LM195" s="33"/>
      <c r="LN195" s="33"/>
      <c r="LO195" s="33"/>
      <c r="LP195" s="44"/>
      <c r="LQ195" s="44"/>
      <c r="LR195" s="44"/>
      <c r="LS195" s="44"/>
      <c r="LT195" s="44"/>
      <c r="LU195" s="44"/>
      <c r="LV195" s="44"/>
    </row>
    <row r="196" spans="1:334" x14ac:dyDescent="0.2">
      <c r="A196" s="1" t="s">
        <v>8487</v>
      </c>
      <c r="B196" s="1" t="s">
        <v>8488</v>
      </c>
      <c r="D196" s="1" t="s">
        <v>8484</v>
      </c>
      <c r="E196" s="1" t="s">
        <v>7</v>
      </c>
      <c r="F196" s="1" t="s">
        <v>8485</v>
      </c>
      <c r="J196" s="1" t="s">
        <v>8477</v>
      </c>
      <c r="K196" s="1">
        <v>2015</v>
      </c>
      <c r="L196" s="1" t="s">
        <v>8478</v>
      </c>
      <c r="M196" s="1" t="s">
        <v>7657</v>
      </c>
      <c r="N196" s="17" t="s">
        <v>7945</v>
      </c>
      <c r="O196" s="33"/>
      <c r="P196" s="33"/>
      <c r="Q196" s="33"/>
      <c r="R196" s="33"/>
      <c r="S196" s="33">
        <v>11.6</v>
      </c>
      <c r="T196" s="33"/>
      <c r="U196" s="33">
        <v>6.25</v>
      </c>
      <c r="V196" s="33"/>
      <c r="W196" s="33"/>
      <c r="X196" s="33"/>
      <c r="Y196" s="33"/>
      <c r="Z196" s="33">
        <v>28.1</v>
      </c>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v>3.2</v>
      </c>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c r="IV196" s="33"/>
      <c r="IW196" s="33"/>
      <c r="IX196" s="33"/>
      <c r="IY196" s="33"/>
      <c r="IZ196" s="33"/>
      <c r="JA196" s="33"/>
      <c r="JB196" s="33"/>
      <c r="JC196" s="33"/>
      <c r="JD196" s="33"/>
      <c r="JE196" s="33"/>
      <c r="JF196" s="33"/>
      <c r="JG196" s="33"/>
      <c r="JH196" s="33"/>
      <c r="JI196" s="33"/>
      <c r="JJ196" s="33"/>
      <c r="JK196" s="33"/>
      <c r="JL196" s="33"/>
      <c r="JM196" s="33"/>
      <c r="JN196" s="33"/>
      <c r="JO196" s="33"/>
      <c r="JP196" s="33"/>
      <c r="JQ196" s="33"/>
      <c r="JR196" s="33"/>
      <c r="KZ196" s="33"/>
      <c r="LA196" s="33"/>
      <c r="LB196" s="33"/>
      <c r="LC196" s="33"/>
      <c r="LD196" s="33"/>
      <c r="LE196" s="33"/>
      <c r="LF196" s="33"/>
      <c r="LG196" s="33"/>
      <c r="LH196" s="33"/>
      <c r="LI196" s="33"/>
      <c r="LJ196" s="33"/>
      <c r="LK196" s="33"/>
      <c r="LL196" s="33"/>
      <c r="LM196" s="33"/>
      <c r="LN196" s="33"/>
      <c r="LO196" s="33"/>
      <c r="LP196" s="44"/>
      <c r="LQ196" s="44"/>
      <c r="LR196" s="44"/>
      <c r="LS196" s="44"/>
      <c r="LT196" s="44"/>
      <c r="LU196" s="44"/>
      <c r="LV196" s="44"/>
    </row>
    <row r="197" spans="1:334" x14ac:dyDescent="0.2">
      <c r="A197" s="1" t="s">
        <v>8489</v>
      </c>
      <c r="B197" s="1" t="s">
        <v>8490</v>
      </c>
      <c r="D197" s="1" t="s">
        <v>8271</v>
      </c>
      <c r="E197" s="1" t="s">
        <v>8099</v>
      </c>
      <c r="F197" s="1" t="s">
        <v>6268</v>
      </c>
      <c r="H197" s="1" t="s">
        <v>8491</v>
      </c>
      <c r="J197" s="1" t="s">
        <v>8492</v>
      </c>
      <c r="K197" s="1">
        <v>1986</v>
      </c>
      <c r="L197" s="1" t="s">
        <v>8493</v>
      </c>
      <c r="M197" s="1" t="s">
        <v>7657</v>
      </c>
      <c r="N197" s="17" t="s">
        <v>7945</v>
      </c>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v>0.86299999999999999</v>
      </c>
      <c r="DQ197" s="33"/>
      <c r="DR197" s="33">
        <v>0.16300000000000001</v>
      </c>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c r="IV197" s="33"/>
      <c r="IW197" s="33"/>
      <c r="IX197" s="33"/>
      <c r="IY197" s="33"/>
      <c r="IZ197" s="33"/>
      <c r="JA197" s="33"/>
      <c r="JB197" s="33"/>
      <c r="JC197" s="33"/>
      <c r="JD197" s="33"/>
      <c r="JE197" s="33"/>
      <c r="JF197" s="33"/>
      <c r="JG197" s="33"/>
      <c r="JH197" s="33"/>
      <c r="JI197" s="33"/>
      <c r="JJ197" s="33"/>
      <c r="JK197" s="33"/>
      <c r="JL197" s="33"/>
      <c r="JM197" s="33"/>
      <c r="JN197" s="33"/>
      <c r="JO197" s="33"/>
      <c r="JP197" s="33"/>
      <c r="JQ197" s="33"/>
      <c r="JR197" s="33"/>
      <c r="KZ197" s="33"/>
      <c r="LA197" s="33"/>
      <c r="LB197" s="33"/>
      <c r="LC197" s="33"/>
      <c r="LD197" s="33"/>
      <c r="LE197" s="33"/>
      <c r="LF197" s="33"/>
      <c r="LG197" s="33"/>
      <c r="LH197" s="33"/>
      <c r="LI197" s="33"/>
      <c r="LJ197" s="33"/>
      <c r="LK197" s="33"/>
      <c r="LL197" s="33"/>
      <c r="LM197" s="33"/>
      <c r="LN197" s="33"/>
      <c r="LO197" s="33"/>
      <c r="LP197" s="44"/>
      <c r="LQ197" s="44"/>
      <c r="LR197" s="44"/>
      <c r="LS197" s="44"/>
      <c r="LT197" s="44"/>
      <c r="LU197" s="44"/>
      <c r="LV197" s="44"/>
    </row>
    <row r="198" spans="1:334" x14ac:dyDescent="0.2">
      <c r="A198" s="1" t="s">
        <v>8494</v>
      </c>
      <c r="B198" s="1" t="s">
        <v>8490</v>
      </c>
      <c r="D198" s="1" t="s">
        <v>8271</v>
      </c>
      <c r="E198" s="1" t="s">
        <v>8099</v>
      </c>
      <c r="F198" s="1" t="s">
        <v>6268</v>
      </c>
      <c r="H198" s="1" t="s">
        <v>8495</v>
      </c>
      <c r="J198" s="1" t="s">
        <v>8492</v>
      </c>
      <c r="K198" s="1">
        <v>1986</v>
      </c>
      <c r="L198" s="1" t="s">
        <v>8493</v>
      </c>
      <c r="M198" s="1" t="s">
        <v>7657</v>
      </c>
      <c r="N198" s="17" t="s">
        <v>7945</v>
      </c>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v>0.72199999999999998</v>
      </c>
      <c r="DQ198" s="33"/>
      <c r="DR198" s="33">
        <v>9.1999999999999998E-2</v>
      </c>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c r="IV198" s="33"/>
      <c r="IW198" s="33"/>
      <c r="IX198" s="33"/>
      <c r="IY198" s="33"/>
      <c r="IZ198" s="33"/>
      <c r="JA198" s="33"/>
      <c r="JB198" s="33"/>
      <c r="JC198" s="33"/>
      <c r="JD198" s="33"/>
      <c r="JE198" s="33"/>
      <c r="JF198" s="33"/>
      <c r="JG198" s="33"/>
      <c r="JH198" s="33"/>
      <c r="JI198" s="33"/>
      <c r="JJ198" s="33"/>
      <c r="JK198" s="33"/>
      <c r="JL198" s="33"/>
      <c r="JM198" s="33"/>
      <c r="JN198" s="33"/>
      <c r="JO198" s="33"/>
      <c r="JP198" s="33"/>
      <c r="JQ198" s="33"/>
      <c r="JR198" s="33"/>
      <c r="KZ198" s="33"/>
      <c r="LA198" s="33"/>
      <c r="LB198" s="33"/>
      <c r="LC198" s="33"/>
      <c r="LD198" s="33"/>
      <c r="LE198" s="33"/>
      <c r="LF198" s="33"/>
      <c r="LG198" s="33"/>
      <c r="LH198" s="33"/>
      <c r="LI198" s="33"/>
      <c r="LJ198" s="33"/>
      <c r="LK198" s="33"/>
      <c r="LL198" s="33"/>
      <c r="LM198" s="33"/>
      <c r="LN198" s="33"/>
      <c r="LO198" s="33"/>
      <c r="LP198" s="44"/>
      <c r="LQ198" s="44"/>
      <c r="LR198" s="44"/>
      <c r="LS198" s="44"/>
      <c r="LT198" s="44"/>
      <c r="LU198" s="44"/>
      <c r="LV198" s="44"/>
    </row>
    <row r="199" spans="1:334" x14ac:dyDescent="0.2">
      <c r="A199" s="1" t="s">
        <v>8496</v>
      </c>
      <c r="B199" s="1" t="s">
        <v>8490</v>
      </c>
      <c r="D199" s="1" t="s">
        <v>8271</v>
      </c>
      <c r="E199" s="1" t="s">
        <v>8099</v>
      </c>
      <c r="F199" s="1" t="s">
        <v>6268</v>
      </c>
      <c r="H199" s="1" t="s">
        <v>8497</v>
      </c>
      <c r="J199" s="1" t="s">
        <v>8492</v>
      </c>
      <c r="K199" s="1">
        <v>1986</v>
      </c>
      <c r="L199" s="1" t="s">
        <v>8493</v>
      </c>
      <c r="M199" s="1" t="s">
        <v>7657</v>
      </c>
      <c r="N199" s="17" t="s">
        <v>7945</v>
      </c>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v>0.61099999999999999</v>
      </c>
      <c r="DQ199" s="33"/>
      <c r="DR199" s="33">
        <v>4.2999999999999997E-2</v>
      </c>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c r="IV199" s="33"/>
      <c r="IW199" s="33"/>
      <c r="IX199" s="33"/>
      <c r="IY199" s="33"/>
      <c r="IZ199" s="33"/>
      <c r="JA199" s="33"/>
      <c r="JB199" s="33"/>
      <c r="JC199" s="33"/>
      <c r="JD199" s="33"/>
      <c r="JE199" s="33"/>
      <c r="JF199" s="33"/>
      <c r="JG199" s="33"/>
      <c r="JH199" s="33"/>
      <c r="JI199" s="33"/>
      <c r="JJ199" s="33"/>
      <c r="JK199" s="33"/>
      <c r="JL199" s="33"/>
      <c r="JM199" s="33"/>
      <c r="JN199" s="33"/>
      <c r="JO199" s="33"/>
      <c r="JP199" s="33"/>
      <c r="JQ199" s="33"/>
      <c r="JR199" s="33"/>
      <c r="KZ199" s="33"/>
      <c r="LA199" s="33"/>
      <c r="LB199" s="33"/>
      <c r="LC199" s="33"/>
      <c r="LD199" s="33"/>
      <c r="LE199" s="33"/>
      <c r="LF199" s="33"/>
      <c r="LG199" s="33"/>
      <c r="LH199" s="33"/>
      <c r="LI199" s="33"/>
      <c r="LJ199" s="33"/>
      <c r="LK199" s="33"/>
      <c r="LL199" s="33"/>
      <c r="LM199" s="33"/>
      <c r="LN199" s="33"/>
      <c r="LO199" s="33"/>
      <c r="LP199" s="44"/>
      <c r="LQ199" s="44"/>
      <c r="LR199" s="44"/>
      <c r="LS199" s="44"/>
      <c r="LT199" s="44"/>
      <c r="LU199" s="44"/>
      <c r="LV199" s="44"/>
    </row>
    <row r="200" spans="1:334" x14ac:dyDescent="0.2">
      <c r="A200" s="1" t="s">
        <v>8498</v>
      </c>
      <c r="B200" s="1" t="s">
        <v>8490</v>
      </c>
      <c r="D200" s="1" t="s">
        <v>8271</v>
      </c>
      <c r="E200" s="1" t="s">
        <v>8099</v>
      </c>
      <c r="F200" s="1" t="s">
        <v>6268</v>
      </c>
      <c r="H200" s="1" t="s">
        <v>8499</v>
      </c>
      <c r="J200" s="1" t="s">
        <v>8492</v>
      </c>
      <c r="K200" s="1">
        <v>1986</v>
      </c>
      <c r="L200" s="1" t="s">
        <v>8493</v>
      </c>
      <c r="M200" s="1" t="s">
        <v>7657</v>
      </c>
      <c r="N200" s="17" t="s">
        <v>7945</v>
      </c>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v>0.53</v>
      </c>
      <c r="DQ200" s="33"/>
      <c r="DR200" s="33">
        <v>6.0000000000000001E-3</v>
      </c>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c r="IV200" s="33"/>
      <c r="IW200" s="33"/>
      <c r="IX200" s="33"/>
      <c r="IY200" s="33"/>
      <c r="IZ200" s="33"/>
      <c r="JA200" s="33"/>
      <c r="JB200" s="33"/>
      <c r="JC200" s="33"/>
      <c r="JD200" s="33"/>
      <c r="JE200" s="33"/>
      <c r="JF200" s="33"/>
      <c r="JG200" s="33"/>
      <c r="JH200" s="33"/>
      <c r="JI200" s="33"/>
      <c r="JJ200" s="33"/>
      <c r="JK200" s="33"/>
      <c r="JL200" s="33"/>
      <c r="JM200" s="33"/>
      <c r="JN200" s="33"/>
      <c r="JO200" s="33"/>
      <c r="JP200" s="33"/>
      <c r="JQ200" s="33"/>
      <c r="JR200" s="33"/>
      <c r="KZ200" s="33"/>
      <c r="LA200" s="33"/>
      <c r="LB200" s="33"/>
      <c r="LC200" s="33"/>
      <c r="LD200" s="33"/>
      <c r="LE200" s="33"/>
      <c r="LF200" s="33"/>
      <c r="LG200" s="33"/>
      <c r="LH200" s="33"/>
      <c r="LI200" s="33"/>
      <c r="LJ200" s="33"/>
      <c r="LK200" s="33"/>
      <c r="LL200" s="33"/>
      <c r="LM200" s="33"/>
      <c r="LN200" s="33"/>
      <c r="LO200" s="33"/>
      <c r="LP200" s="44"/>
      <c r="LQ200" s="44"/>
      <c r="LR200" s="44"/>
      <c r="LS200" s="44"/>
      <c r="LT200" s="44"/>
      <c r="LU200" s="44"/>
      <c r="LV200" s="44"/>
    </row>
    <row r="201" spans="1:334" x14ac:dyDescent="0.2">
      <c r="A201" s="1" t="s">
        <v>8500</v>
      </c>
      <c r="B201" s="1" t="s">
        <v>8490</v>
      </c>
      <c r="D201" s="1" t="s">
        <v>8271</v>
      </c>
      <c r="E201" s="1" t="s">
        <v>8099</v>
      </c>
      <c r="F201" s="1" t="s">
        <v>6268</v>
      </c>
      <c r="H201" s="1" t="s">
        <v>8501</v>
      </c>
      <c r="J201" s="1" t="s">
        <v>8492</v>
      </c>
      <c r="K201" s="1">
        <v>1986</v>
      </c>
      <c r="L201" s="1" t="s">
        <v>8493</v>
      </c>
      <c r="M201" s="1" t="s">
        <v>7657</v>
      </c>
      <c r="N201" s="17" t="s">
        <v>7945</v>
      </c>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v>0.46100000000000002</v>
      </c>
      <c r="DQ201" s="33"/>
      <c r="DR201" s="33">
        <v>3.0000000000000001E-3</v>
      </c>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c r="IV201" s="33"/>
      <c r="IW201" s="33"/>
      <c r="IX201" s="33"/>
      <c r="IY201" s="33"/>
      <c r="IZ201" s="33"/>
      <c r="JA201" s="33"/>
      <c r="JB201" s="33"/>
      <c r="JC201" s="33"/>
      <c r="JD201" s="33"/>
      <c r="JE201" s="33"/>
      <c r="JF201" s="33"/>
      <c r="JG201" s="33"/>
      <c r="JH201" s="33"/>
      <c r="JI201" s="33"/>
      <c r="JJ201" s="33"/>
      <c r="JK201" s="33"/>
      <c r="JL201" s="33"/>
      <c r="JM201" s="33"/>
      <c r="JN201" s="33"/>
      <c r="JO201" s="33"/>
      <c r="JP201" s="33"/>
      <c r="JQ201" s="33"/>
      <c r="JR201" s="33"/>
      <c r="KZ201" s="33"/>
      <c r="LA201" s="33"/>
      <c r="LB201" s="33"/>
      <c r="LC201" s="33"/>
      <c r="LD201" s="33"/>
      <c r="LE201" s="33"/>
      <c r="LF201" s="33"/>
      <c r="LG201" s="33"/>
      <c r="LH201" s="33"/>
      <c r="LI201" s="33"/>
      <c r="LJ201" s="33"/>
      <c r="LK201" s="33"/>
      <c r="LL201" s="33"/>
      <c r="LM201" s="33"/>
      <c r="LN201" s="33"/>
      <c r="LO201" s="33"/>
      <c r="LP201" s="44"/>
      <c r="LQ201" s="44"/>
      <c r="LR201" s="44"/>
      <c r="LS201" s="44"/>
      <c r="LT201" s="44"/>
      <c r="LU201" s="44"/>
      <c r="LV201" s="44"/>
    </row>
    <row r="202" spans="1:334" x14ac:dyDescent="0.2">
      <c r="A202" s="1" t="s">
        <v>8502</v>
      </c>
      <c r="B202" s="1" t="s">
        <v>8490</v>
      </c>
      <c r="D202" s="1" t="s">
        <v>8271</v>
      </c>
      <c r="E202" s="1" t="s">
        <v>8099</v>
      </c>
      <c r="F202" s="1" t="s">
        <v>6268</v>
      </c>
      <c r="H202" s="1" t="s">
        <v>8503</v>
      </c>
      <c r="J202" s="1" t="s">
        <v>8492</v>
      </c>
      <c r="K202" s="1">
        <v>1986</v>
      </c>
      <c r="L202" s="1" t="s">
        <v>8493</v>
      </c>
      <c r="M202" s="1" t="s">
        <v>7657</v>
      </c>
      <c r="N202" s="17" t="s">
        <v>7945</v>
      </c>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v>0.39200000000000002</v>
      </c>
      <c r="DQ202" s="33"/>
      <c r="DR202" s="33" t="s">
        <v>17</v>
      </c>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c r="IV202" s="33"/>
      <c r="IW202" s="33"/>
      <c r="IX202" s="33"/>
      <c r="IY202" s="33"/>
      <c r="IZ202" s="33"/>
      <c r="JA202" s="33"/>
      <c r="JB202" s="33"/>
      <c r="JC202" s="33"/>
      <c r="JD202" s="33"/>
      <c r="JE202" s="33"/>
      <c r="JF202" s="33"/>
      <c r="JG202" s="33"/>
      <c r="JH202" s="33"/>
      <c r="JI202" s="33"/>
      <c r="JJ202" s="33"/>
      <c r="JK202" s="33"/>
      <c r="JL202" s="33"/>
      <c r="JM202" s="33"/>
      <c r="JN202" s="33"/>
      <c r="JO202" s="33"/>
      <c r="JP202" s="33"/>
      <c r="JQ202" s="33"/>
      <c r="JR202" s="33"/>
      <c r="KZ202" s="33"/>
      <c r="LA202" s="33"/>
      <c r="LB202" s="33"/>
      <c r="LC202" s="33"/>
      <c r="LD202" s="33"/>
      <c r="LE202" s="33"/>
      <c r="LF202" s="33"/>
      <c r="LG202" s="33"/>
      <c r="LH202" s="33"/>
      <c r="LI202" s="33"/>
      <c r="LJ202" s="33"/>
      <c r="LK202" s="33"/>
      <c r="LL202" s="33"/>
      <c r="LM202" s="33"/>
      <c r="LN202" s="33"/>
      <c r="LO202" s="33"/>
      <c r="LP202" s="44"/>
      <c r="LQ202" s="44"/>
      <c r="LR202" s="44"/>
      <c r="LS202" s="44"/>
      <c r="LT202" s="44"/>
      <c r="LU202" s="44"/>
      <c r="LV202" s="44"/>
    </row>
    <row r="203" spans="1:334" x14ac:dyDescent="0.2">
      <c r="A203" s="1" t="s">
        <v>8504</v>
      </c>
      <c r="B203" s="1" t="s">
        <v>8490</v>
      </c>
      <c r="D203" s="1" t="s">
        <v>8271</v>
      </c>
      <c r="E203" s="1" t="s">
        <v>8099</v>
      </c>
      <c r="F203" s="1" t="s">
        <v>6268</v>
      </c>
      <c r="H203" s="1" t="s">
        <v>8505</v>
      </c>
      <c r="J203" s="1" t="s">
        <v>8492</v>
      </c>
      <c r="K203" s="1">
        <v>1986</v>
      </c>
      <c r="L203" s="1" t="s">
        <v>8493</v>
      </c>
      <c r="M203" s="1" t="s">
        <v>7657</v>
      </c>
      <c r="N203" s="17" t="s">
        <v>7945</v>
      </c>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v>0.32200000000000001</v>
      </c>
      <c r="DQ203" s="33"/>
      <c r="DR203" s="33" t="s">
        <v>17</v>
      </c>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c r="IV203" s="33"/>
      <c r="IW203" s="33"/>
      <c r="IX203" s="33"/>
      <c r="IY203" s="33"/>
      <c r="IZ203" s="33"/>
      <c r="JA203" s="33"/>
      <c r="JB203" s="33"/>
      <c r="JC203" s="33"/>
      <c r="JD203" s="33"/>
      <c r="JE203" s="33"/>
      <c r="JF203" s="33"/>
      <c r="JG203" s="33"/>
      <c r="JH203" s="33"/>
      <c r="JI203" s="33"/>
      <c r="JJ203" s="33"/>
      <c r="JK203" s="33"/>
      <c r="JL203" s="33"/>
      <c r="JM203" s="33"/>
      <c r="JN203" s="33"/>
      <c r="JO203" s="33"/>
      <c r="JP203" s="33"/>
      <c r="JQ203" s="33"/>
      <c r="JR203" s="33"/>
      <c r="KZ203" s="33"/>
      <c r="LA203" s="33"/>
      <c r="LB203" s="33"/>
      <c r="LC203" s="33"/>
      <c r="LD203" s="33"/>
      <c r="LE203" s="33"/>
      <c r="LF203" s="33"/>
      <c r="LG203" s="33"/>
      <c r="LH203" s="33"/>
      <c r="LI203" s="33"/>
      <c r="LJ203" s="33"/>
      <c r="LK203" s="33"/>
      <c r="LL203" s="33"/>
      <c r="LM203" s="33"/>
      <c r="LN203" s="33"/>
      <c r="LO203" s="33"/>
      <c r="LP203" s="44"/>
      <c r="LQ203" s="44"/>
      <c r="LR203" s="44"/>
      <c r="LS203" s="44"/>
      <c r="LT203" s="44"/>
      <c r="LU203" s="44"/>
      <c r="LV203" s="44"/>
    </row>
    <row r="204" spans="1:334" x14ac:dyDescent="0.2">
      <c r="A204" s="1" t="s">
        <v>8506</v>
      </c>
      <c r="B204" s="1" t="s">
        <v>8490</v>
      </c>
      <c r="D204" s="1" t="s">
        <v>8271</v>
      </c>
      <c r="E204" s="1" t="s">
        <v>8099</v>
      </c>
      <c r="F204" s="1" t="s">
        <v>6268</v>
      </c>
      <c r="H204" s="1" t="s">
        <v>8507</v>
      </c>
      <c r="J204" s="1" t="s">
        <v>8492</v>
      </c>
      <c r="K204" s="1">
        <v>1986</v>
      </c>
      <c r="L204" s="1" t="s">
        <v>8493</v>
      </c>
      <c r="M204" s="1" t="s">
        <v>7657</v>
      </c>
      <c r="N204" s="17" t="s">
        <v>7945</v>
      </c>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v>0.78200000000000003</v>
      </c>
      <c r="DQ204" s="33"/>
      <c r="DR204" s="33">
        <v>0.114</v>
      </c>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c r="IV204" s="33"/>
      <c r="IW204" s="33"/>
      <c r="IX204" s="33"/>
      <c r="IY204" s="33"/>
      <c r="IZ204" s="33"/>
      <c r="JA204" s="33"/>
      <c r="JB204" s="33"/>
      <c r="JC204" s="33"/>
      <c r="JD204" s="33"/>
      <c r="JE204" s="33"/>
      <c r="JF204" s="33"/>
      <c r="JG204" s="33"/>
      <c r="JH204" s="33"/>
      <c r="JI204" s="33"/>
      <c r="JJ204" s="33"/>
      <c r="JK204" s="33"/>
      <c r="JL204" s="33"/>
      <c r="JM204" s="33"/>
      <c r="JN204" s="33"/>
      <c r="JO204" s="33"/>
      <c r="JP204" s="33"/>
      <c r="JQ204" s="33"/>
      <c r="JR204" s="33"/>
      <c r="KZ204" s="33"/>
      <c r="LA204" s="33"/>
      <c r="LB204" s="33"/>
      <c r="LC204" s="33"/>
      <c r="LD204" s="33"/>
      <c r="LE204" s="33"/>
      <c r="LF204" s="33"/>
      <c r="LG204" s="33"/>
      <c r="LH204" s="33"/>
      <c r="LI204" s="33"/>
      <c r="LJ204" s="33"/>
      <c r="LK204" s="33"/>
      <c r="LL204" s="33"/>
      <c r="LM204" s="33"/>
      <c r="LN204" s="33"/>
      <c r="LO204" s="33"/>
      <c r="LP204" s="44"/>
      <c r="LQ204" s="44"/>
      <c r="LR204" s="44"/>
      <c r="LS204" s="44"/>
      <c r="LT204" s="44"/>
      <c r="LU204" s="44"/>
      <c r="LV204" s="44"/>
    </row>
    <row r="205" spans="1:334" x14ac:dyDescent="0.2">
      <c r="A205" s="1" t="s">
        <v>8508</v>
      </c>
      <c r="B205" s="1" t="s">
        <v>8490</v>
      </c>
      <c r="D205" s="1" t="s">
        <v>8271</v>
      </c>
      <c r="E205" s="1" t="s">
        <v>8099</v>
      </c>
      <c r="F205" s="1" t="s">
        <v>6268</v>
      </c>
      <c r="H205" s="1" t="s">
        <v>8509</v>
      </c>
      <c r="J205" s="1" t="s">
        <v>8492</v>
      </c>
      <c r="K205" s="1">
        <v>1986</v>
      </c>
      <c r="L205" s="1" t="s">
        <v>8493</v>
      </c>
      <c r="M205" s="1" t="s">
        <v>7657</v>
      </c>
      <c r="N205" s="17" t="s">
        <v>7945</v>
      </c>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v>0.72599999999999998</v>
      </c>
      <c r="DQ205" s="33"/>
      <c r="DR205" s="33">
        <v>8.5000000000000006E-2</v>
      </c>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c r="IV205" s="33"/>
      <c r="IW205" s="33"/>
      <c r="IX205" s="33"/>
      <c r="IY205" s="33"/>
      <c r="IZ205" s="33"/>
      <c r="JA205" s="33"/>
      <c r="JB205" s="33"/>
      <c r="JC205" s="33"/>
      <c r="JD205" s="33"/>
      <c r="JE205" s="33"/>
      <c r="JF205" s="33"/>
      <c r="JG205" s="33"/>
      <c r="JH205" s="33"/>
      <c r="JI205" s="33"/>
      <c r="JJ205" s="33"/>
      <c r="JK205" s="33"/>
      <c r="JL205" s="33"/>
      <c r="JM205" s="33"/>
      <c r="JN205" s="33"/>
      <c r="JO205" s="33"/>
      <c r="JP205" s="33"/>
      <c r="JQ205" s="33"/>
      <c r="JR205" s="33"/>
      <c r="KZ205" s="33"/>
      <c r="LA205" s="33"/>
      <c r="LB205" s="33"/>
      <c r="LC205" s="33"/>
      <c r="LD205" s="33"/>
      <c r="LE205" s="33"/>
      <c r="LF205" s="33"/>
      <c r="LG205" s="33"/>
      <c r="LH205" s="33"/>
      <c r="LI205" s="33"/>
      <c r="LJ205" s="33"/>
      <c r="LK205" s="33"/>
      <c r="LL205" s="33"/>
      <c r="LM205" s="33"/>
      <c r="LN205" s="33"/>
      <c r="LO205" s="33"/>
      <c r="LP205" s="44"/>
      <c r="LQ205" s="44"/>
      <c r="LR205" s="44"/>
      <c r="LS205" s="44"/>
      <c r="LT205" s="44"/>
      <c r="LU205" s="44"/>
      <c r="LV205" s="44"/>
    </row>
    <row r="206" spans="1:334" x14ac:dyDescent="0.2">
      <c r="A206" s="1" t="s">
        <v>8510</v>
      </c>
      <c r="B206" s="1" t="s">
        <v>8490</v>
      </c>
      <c r="D206" s="1" t="s">
        <v>8271</v>
      </c>
      <c r="E206" s="1" t="s">
        <v>8099</v>
      </c>
      <c r="F206" s="1" t="s">
        <v>6268</v>
      </c>
      <c r="H206" s="1" t="s">
        <v>8511</v>
      </c>
      <c r="J206" s="1" t="s">
        <v>8492</v>
      </c>
      <c r="K206" s="1">
        <v>1986</v>
      </c>
      <c r="L206" s="1" t="s">
        <v>8493</v>
      </c>
      <c r="M206" s="1" t="s">
        <v>7657</v>
      </c>
      <c r="N206" s="17" t="s">
        <v>7945</v>
      </c>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v>0.66400000000000003</v>
      </c>
      <c r="DQ206" s="33"/>
      <c r="DR206" s="33">
        <v>5.3999999999999999E-2</v>
      </c>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c r="IV206" s="33"/>
      <c r="IW206" s="33"/>
      <c r="IX206" s="33"/>
      <c r="IY206" s="33"/>
      <c r="IZ206" s="33"/>
      <c r="JA206" s="33"/>
      <c r="JB206" s="33"/>
      <c r="JC206" s="33"/>
      <c r="JD206" s="33"/>
      <c r="JE206" s="33"/>
      <c r="JF206" s="33"/>
      <c r="JG206" s="33"/>
      <c r="JH206" s="33"/>
      <c r="JI206" s="33"/>
      <c r="JJ206" s="33"/>
      <c r="JK206" s="33"/>
      <c r="JL206" s="33"/>
      <c r="JM206" s="33"/>
      <c r="JN206" s="33"/>
      <c r="JO206" s="33"/>
      <c r="JP206" s="33"/>
      <c r="JQ206" s="33"/>
      <c r="JR206" s="33"/>
      <c r="KZ206" s="33"/>
      <c r="LA206" s="33"/>
      <c r="LB206" s="33"/>
      <c r="LC206" s="33"/>
      <c r="LD206" s="33"/>
      <c r="LE206" s="33"/>
      <c r="LF206" s="33"/>
      <c r="LG206" s="33"/>
      <c r="LH206" s="33"/>
      <c r="LI206" s="33"/>
      <c r="LJ206" s="33"/>
      <c r="LK206" s="33"/>
      <c r="LL206" s="33"/>
      <c r="LM206" s="33"/>
      <c r="LN206" s="33"/>
      <c r="LO206" s="33"/>
      <c r="LP206" s="44"/>
      <c r="LQ206" s="44"/>
      <c r="LR206" s="44"/>
      <c r="LS206" s="44"/>
      <c r="LT206" s="44"/>
      <c r="LU206" s="44"/>
      <c r="LV206" s="44"/>
    </row>
    <row r="207" spans="1:334" x14ac:dyDescent="0.2">
      <c r="A207" s="1" t="s">
        <v>8512</v>
      </c>
      <c r="B207" s="1" t="s">
        <v>8490</v>
      </c>
      <c r="D207" s="1" t="s">
        <v>8271</v>
      </c>
      <c r="E207" s="1" t="s">
        <v>8099</v>
      </c>
      <c r="F207" s="1" t="s">
        <v>6268</v>
      </c>
      <c r="H207" s="1" t="s">
        <v>8513</v>
      </c>
      <c r="J207" s="1" t="s">
        <v>8492</v>
      </c>
      <c r="K207" s="1">
        <v>1986</v>
      </c>
      <c r="L207" s="1" t="s">
        <v>8493</v>
      </c>
      <c r="M207" s="1" t="s">
        <v>7657</v>
      </c>
      <c r="N207" s="17" t="s">
        <v>7945</v>
      </c>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v>0.61199999999999999</v>
      </c>
      <c r="DQ207" s="33"/>
      <c r="DR207" s="33">
        <v>2.3E-2</v>
      </c>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c r="IV207" s="33"/>
      <c r="IW207" s="33"/>
      <c r="IX207" s="33"/>
      <c r="IY207" s="33"/>
      <c r="IZ207" s="33"/>
      <c r="JA207" s="33"/>
      <c r="JB207" s="33"/>
      <c r="JC207" s="33"/>
      <c r="JD207" s="33"/>
      <c r="JE207" s="33"/>
      <c r="JF207" s="33"/>
      <c r="JG207" s="33"/>
      <c r="JH207" s="33"/>
      <c r="JI207" s="33"/>
      <c r="JJ207" s="33"/>
      <c r="JK207" s="33"/>
      <c r="JL207" s="33"/>
      <c r="JM207" s="33"/>
      <c r="JN207" s="33"/>
      <c r="JO207" s="33"/>
      <c r="JP207" s="33"/>
      <c r="JQ207" s="33"/>
      <c r="JR207" s="33"/>
      <c r="KZ207" s="33"/>
      <c r="LA207" s="33"/>
      <c r="LB207" s="33"/>
      <c r="LC207" s="33"/>
      <c r="LD207" s="33"/>
      <c r="LE207" s="33"/>
      <c r="LF207" s="33"/>
      <c r="LG207" s="33"/>
      <c r="LH207" s="33"/>
      <c r="LI207" s="33"/>
      <c r="LJ207" s="33"/>
      <c r="LK207" s="33"/>
      <c r="LL207" s="33"/>
      <c r="LM207" s="33"/>
      <c r="LN207" s="33"/>
      <c r="LO207" s="33"/>
      <c r="LP207" s="44"/>
      <c r="LQ207" s="44"/>
      <c r="LR207" s="44"/>
      <c r="LS207" s="44"/>
      <c r="LT207" s="44"/>
      <c r="LU207" s="44"/>
      <c r="LV207" s="44"/>
    </row>
    <row r="208" spans="1:334" x14ac:dyDescent="0.2">
      <c r="A208" s="1" t="s">
        <v>8514</v>
      </c>
      <c r="B208" s="1" t="s">
        <v>8490</v>
      </c>
      <c r="D208" s="1" t="s">
        <v>8271</v>
      </c>
      <c r="E208" s="1" t="s">
        <v>8099</v>
      </c>
      <c r="F208" s="1" t="s">
        <v>6268</v>
      </c>
      <c r="H208" s="1" t="s">
        <v>8515</v>
      </c>
      <c r="J208" s="1" t="s">
        <v>8492</v>
      </c>
      <c r="K208" s="1">
        <v>1986</v>
      </c>
      <c r="L208" s="1" t="s">
        <v>8493</v>
      </c>
      <c r="M208" s="1" t="s">
        <v>7657</v>
      </c>
      <c r="N208" s="17" t="s">
        <v>7945</v>
      </c>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v>0.56699999999999995</v>
      </c>
      <c r="DQ208" s="33"/>
      <c r="DR208" s="33">
        <v>2.1000000000000001E-2</v>
      </c>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c r="IV208" s="33"/>
      <c r="IW208" s="33"/>
      <c r="IX208" s="33"/>
      <c r="IY208" s="33"/>
      <c r="IZ208" s="33"/>
      <c r="JA208" s="33"/>
      <c r="JB208" s="33"/>
      <c r="JC208" s="33"/>
      <c r="JD208" s="33"/>
      <c r="JE208" s="33"/>
      <c r="JF208" s="33"/>
      <c r="JG208" s="33"/>
      <c r="JH208" s="33"/>
      <c r="JI208" s="33"/>
      <c r="JJ208" s="33"/>
      <c r="JK208" s="33"/>
      <c r="JL208" s="33"/>
      <c r="JM208" s="33"/>
      <c r="JN208" s="33"/>
      <c r="JO208" s="33"/>
      <c r="JP208" s="33"/>
      <c r="JQ208" s="33"/>
      <c r="JR208" s="33"/>
      <c r="KZ208" s="33"/>
      <c r="LA208" s="33"/>
      <c r="LB208" s="33"/>
      <c r="LC208" s="33"/>
      <c r="LD208" s="33"/>
      <c r="LE208" s="33"/>
      <c r="LF208" s="33"/>
      <c r="LG208" s="33"/>
      <c r="LH208" s="33"/>
      <c r="LI208" s="33"/>
      <c r="LJ208" s="33"/>
      <c r="LK208" s="33"/>
      <c r="LL208" s="33"/>
      <c r="LM208" s="33"/>
      <c r="LN208" s="33"/>
      <c r="LO208" s="33"/>
      <c r="LP208" s="44"/>
      <c r="LQ208" s="44"/>
      <c r="LR208" s="44"/>
      <c r="LS208" s="44"/>
      <c r="LT208" s="44"/>
      <c r="LU208" s="44"/>
      <c r="LV208" s="44"/>
    </row>
    <row r="209" spans="1:334" x14ac:dyDescent="0.2">
      <c r="A209" s="1" t="s">
        <v>8516</v>
      </c>
      <c r="B209" s="1" t="s">
        <v>8490</v>
      </c>
      <c r="D209" s="1" t="s">
        <v>8271</v>
      </c>
      <c r="E209" s="1" t="s">
        <v>8099</v>
      </c>
      <c r="F209" s="1" t="s">
        <v>6268</v>
      </c>
      <c r="H209" s="1" t="s">
        <v>8517</v>
      </c>
      <c r="J209" s="1" t="s">
        <v>8492</v>
      </c>
      <c r="K209" s="1">
        <v>1986</v>
      </c>
      <c r="L209" s="1" t="s">
        <v>8493</v>
      </c>
      <c r="M209" s="1" t="s">
        <v>7657</v>
      </c>
      <c r="N209" s="17" t="s">
        <v>7945</v>
      </c>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v>0.51100000000000001</v>
      </c>
      <c r="DQ209" s="33"/>
      <c r="DR209" s="33">
        <v>1.7999999999999999E-2</v>
      </c>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c r="IV209" s="33"/>
      <c r="IW209" s="33"/>
      <c r="IX209" s="33"/>
      <c r="IY209" s="33"/>
      <c r="IZ209" s="33"/>
      <c r="JA209" s="33"/>
      <c r="JB209" s="33"/>
      <c r="JC209" s="33"/>
      <c r="JD209" s="33"/>
      <c r="JE209" s="33"/>
      <c r="JF209" s="33"/>
      <c r="JG209" s="33"/>
      <c r="JH209" s="33"/>
      <c r="JI209" s="33"/>
      <c r="JJ209" s="33"/>
      <c r="JK209" s="33"/>
      <c r="JL209" s="33"/>
      <c r="JM209" s="33"/>
      <c r="JN209" s="33"/>
      <c r="JO209" s="33"/>
      <c r="JP209" s="33"/>
      <c r="JQ209" s="33"/>
      <c r="JR209" s="33"/>
      <c r="KZ209" s="33"/>
      <c r="LA209" s="33"/>
      <c r="LB209" s="33"/>
      <c r="LC209" s="33"/>
      <c r="LD209" s="33"/>
      <c r="LE209" s="33"/>
      <c r="LF209" s="33"/>
      <c r="LG209" s="33"/>
      <c r="LH209" s="33"/>
      <c r="LI209" s="33"/>
      <c r="LJ209" s="33"/>
      <c r="LK209" s="33"/>
      <c r="LL209" s="33"/>
      <c r="LM209" s="33"/>
      <c r="LN209" s="33"/>
      <c r="LO209" s="33"/>
      <c r="LP209" s="44"/>
      <c r="LQ209" s="44"/>
      <c r="LR209" s="44"/>
      <c r="LS209" s="44"/>
      <c r="LT209" s="44"/>
      <c r="LU209" s="44"/>
      <c r="LV209" s="44"/>
    </row>
    <row r="210" spans="1:334" x14ac:dyDescent="0.2">
      <c r="A210" s="1" t="s">
        <v>8518</v>
      </c>
      <c r="B210" s="1" t="s">
        <v>8490</v>
      </c>
      <c r="D210" s="1" t="s">
        <v>8271</v>
      </c>
      <c r="E210" s="1" t="s">
        <v>8099</v>
      </c>
      <c r="F210" s="1" t="s">
        <v>6268</v>
      </c>
      <c r="H210" s="1" t="s">
        <v>8519</v>
      </c>
      <c r="J210" s="1" t="s">
        <v>8492</v>
      </c>
      <c r="K210" s="1">
        <v>1986</v>
      </c>
      <c r="L210" s="1" t="s">
        <v>8493</v>
      </c>
      <c r="M210" s="1" t="s">
        <v>7657</v>
      </c>
      <c r="N210" s="17" t="s">
        <v>7945</v>
      </c>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v>0.84299999999999997</v>
      </c>
      <c r="DQ210" s="33"/>
      <c r="DR210" s="33">
        <v>0.13400000000000001</v>
      </c>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c r="IV210" s="33"/>
      <c r="IW210" s="33"/>
      <c r="IX210" s="33"/>
      <c r="IY210" s="33"/>
      <c r="IZ210" s="33"/>
      <c r="JA210" s="33"/>
      <c r="JB210" s="33"/>
      <c r="JC210" s="33"/>
      <c r="JD210" s="33"/>
      <c r="JE210" s="33"/>
      <c r="JF210" s="33"/>
      <c r="JG210" s="33"/>
      <c r="JH210" s="33"/>
      <c r="JI210" s="33"/>
      <c r="JJ210" s="33"/>
      <c r="JK210" s="33"/>
      <c r="JL210" s="33"/>
      <c r="JM210" s="33"/>
      <c r="JN210" s="33"/>
      <c r="JO210" s="33"/>
      <c r="JP210" s="33"/>
      <c r="JQ210" s="33"/>
      <c r="JR210" s="33"/>
      <c r="KZ210" s="33"/>
      <c r="LA210" s="33"/>
      <c r="LB210" s="33"/>
      <c r="LC210" s="33"/>
      <c r="LD210" s="33"/>
      <c r="LE210" s="33"/>
      <c r="LF210" s="33"/>
      <c r="LG210" s="33"/>
      <c r="LH210" s="33"/>
      <c r="LI210" s="33"/>
      <c r="LJ210" s="33"/>
      <c r="LK210" s="33"/>
      <c r="LL210" s="33"/>
      <c r="LM210" s="33"/>
      <c r="LN210" s="33"/>
      <c r="LO210" s="33"/>
      <c r="LP210" s="44"/>
      <c r="LQ210" s="44"/>
      <c r="LR210" s="44"/>
      <c r="LS210" s="44"/>
      <c r="LT210" s="44"/>
      <c r="LU210" s="44"/>
      <c r="LV210" s="44"/>
    </row>
    <row r="211" spans="1:334" x14ac:dyDescent="0.2">
      <c r="A211" s="1" t="s">
        <v>8520</v>
      </c>
      <c r="B211" s="1" t="s">
        <v>8490</v>
      </c>
      <c r="D211" s="1" t="s">
        <v>8271</v>
      </c>
      <c r="E211" s="1" t="s">
        <v>8099</v>
      </c>
      <c r="F211" s="1" t="s">
        <v>6268</v>
      </c>
      <c r="H211" s="1" t="s">
        <v>8521</v>
      </c>
      <c r="J211" s="1" t="s">
        <v>8492</v>
      </c>
      <c r="K211" s="1">
        <v>1986</v>
      </c>
      <c r="L211" s="1" t="s">
        <v>8493</v>
      </c>
      <c r="M211" s="1" t="s">
        <v>7657</v>
      </c>
      <c r="N211" s="17" t="s">
        <v>7945</v>
      </c>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v>0.81299999999999994</v>
      </c>
      <c r="DQ211" s="33"/>
      <c r="DR211" s="33">
        <v>0.115</v>
      </c>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c r="IV211" s="33"/>
      <c r="IW211" s="33"/>
      <c r="IX211" s="33"/>
      <c r="IY211" s="33"/>
      <c r="IZ211" s="33"/>
      <c r="JA211" s="33"/>
      <c r="JB211" s="33"/>
      <c r="JC211" s="33"/>
      <c r="JD211" s="33"/>
      <c r="JE211" s="33"/>
      <c r="JF211" s="33"/>
      <c r="JG211" s="33"/>
      <c r="JH211" s="33"/>
      <c r="JI211" s="33"/>
      <c r="JJ211" s="33"/>
      <c r="JK211" s="33"/>
      <c r="JL211" s="33"/>
      <c r="JM211" s="33"/>
      <c r="JN211" s="33"/>
      <c r="JO211" s="33"/>
      <c r="JP211" s="33"/>
      <c r="JQ211" s="33"/>
      <c r="JR211" s="33"/>
      <c r="KZ211" s="33"/>
      <c r="LA211" s="33"/>
      <c r="LB211" s="33"/>
      <c r="LC211" s="33"/>
      <c r="LD211" s="33"/>
      <c r="LE211" s="33"/>
      <c r="LF211" s="33"/>
      <c r="LG211" s="33"/>
      <c r="LH211" s="33"/>
      <c r="LI211" s="33"/>
      <c r="LJ211" s="33"/>
      <c r="LK211" s="33"/>
      <c r="LL211" s="33"/>
      <c r="LM211" s="33"/>
      <c r="LN211" s="33"/>
      <c r="LO211" s="33"/>
      <c r="LP211" s="44"/>
      <c r="LQ211" s="44"/>
      <c r="LR211" s="44"/>
      <c r="LS211" s="44"/>
      <c r="LT211" s="44"/>
      <c r="LU211" s="44"/>
      <c r="LV211" s="44"/>
    </row>
    <row r="212" spans="1:334" x14ac:dyDescent="0.2">
      <c r="A212" s="1" t="s">
        <v>8522</v>
      </c>
      <c r="B212" s="1" t="s">
        <v>8490</v>
      </c>
      <c r="D212" s="1" t="s">
        <v>8271</v>
      </c>
      <c r="E212" s="1" t="s">
        <v>8099</v>
      </c>
      <c r="F212" s="1" t="s">
        <v>6268</v>
      </c>
      <c r="H212" s="1" t="s">
        <v>8523</v>
      </c>
      <c r="J212" s="1" t="s">
        <v>8492</v>
      </c>
      <c r="K212" s="1">
        <v>1986</v>
      </c>
      <c r="L212" s="1" t="s">
        <v>8493</v>
      </c>
      <c r="M212" s="1" t="s">
        <v>7657</v>
      </c>
      <c r="N212" s="17" t="s">
        <v>7945</v>
      </c>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v>0.77200000000000002</v>
      </c>
      <c r="DQ212" s="33"/>
      <c r="DR212" s="33">
        <v>9.6000000000000002E-2</v>
      </c>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c r="IV212" s="33"/>
      <c r="IW212" s="33"/>
      <c r="IX212" s="33"/>
      <c r="IY212" s="33"/>
      <c r="IZ212" s="33"/>
      <c r="JA212" s="33"/>
      <c r="JB212" s="33"/>
      <c r="JC212" s="33"/>
      <c r="JD212" s="33"/>
      <c r="JE212" s="33"/>
      <c r="JF212" s="33"/>
      <c r="JG212" s="33"/>
      <c r="JH212" s="33"/>
      <c r="JI212" s="33"/>
      <c r="JJ212" s="33"/>
      <c r="JK212" s="33"/>
      <c r="JL212" s="33"/>
      <c r="JM212" s="33"/>
      <c r="JN212" s="33"/>
      <c r="JO212" s="33"/>
      <c r="JP212" s="33"/>
      <c r="JQ212" s="33"/>
      <c r="JR212" s="33"/>
      <c r="KZ212" s="33"/>
      <c r="LA212" s="33"/>
      <c r="LB212" s="33"/>
      <c r="LC212" s="33"/>
      <c r="LD212" s="33"/>
      <c r="LE212" s="33"/>
      <c r="LF212" s="33"/>
      <c r="LG212" s="33"/>
      <c r="LH212" s="33"/>
      <c r="LI212" s="33"/>
      <c r="LJ212" s="33"/>
      <c r="LK212" s="33"/>
      <c r="LL212" s="33"/>
      <c r="LM212" s="33"/>
      <c r="LN212" s="33"/>
      <c r="LO212" s="33"/>
      <c r="LP212" s="44"/>
      <c r="LQ212" s="44"/>
      <c r="LR212" s="44"/>
      <c r="LS212" s="44"/>
      <c r="LT212" s="44"/>
      <c r="LU212" s="44"/>
      <c r="LV212" s="44"/>
    </row>
    <row r="213" spans="1:334" x14ac:dyDescent="0.2">
      <c r="A213" s="1" t="s">
        <v>8524</v>
      </c>
      <c r="B213" s="1" t="s">
        <v>8490</v>
      </c>
      <c r="D213" s="1" t="s">
        <v>8271</v>
      </c>
      <c r="E213" s="1" t="s">
        <v>8099</v>
      </c>
      <c r="F213" s="1" t="s">
        <v>6268</v>
      </c>
      <c r="H213" s="1" t="s">
        <v>8525</v>
      </c>
      <c r="J213" s="1" t="s">
        <v>8492</v>
      </c>
      <c r="K213" s="1">
        <v>1986</v>
      </c>
      <c r="L213" s="1" t="s">
        <v>8493</v>
      </c>
      <c r="M213" s="1" t="s">
        <v>7657</v>
      </c>
      <c r="N213" s="17" t="s">
        <v>7945</v>
      </c>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v>0.74299999999999999</v>
      </c>
      <c r="DQ213" s="33"/>
      <c r="DR213" s="33">
        <v>7.4999999999999997E-2</v>
      </c>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c r="IV213" s="33"/>
      <c r="IW213" s="33"/>
      <c r="IX213" s="33"/>
      <c r="IY213" s="33"/>
      <c r="IZ213" s="33"/>
      <c r="JA213" s="33"/>
      <c r="JB213" s="33"/>
      <c r="JC213" s="33"/>
      <c r="JD213" s="33"/>
      <c r="JE213" s="33"/>
      <c r="JF213" s="33"/>
      <c r="JG213" s="33"/>
      <c r="JH213" s="33"/>
      <c r="JI213" s="33"/>
      <c r="JJ213" s="33"/>
      <c r="JK213" s="33"/>
      <c r="JL213" s="33"/>
      <c r="JM213" s="33"/>
      <c r="JN213" s="33"/>
      <c r="JO213" s="33"/>
      <c r="JP213" s="33"/>
      <c r="JQ213" s="33"/>
      <c r="JR213" s="33"/>
      <c r="KZ213" s="33"/>
      <c r="LA213" s="33"/>
      <c r="LB213" s="33"/>
      <c r="LC213" s="33"/>
      <c r="LD213" s="33"/>
      <c r="LE213" s="33"/>
      <c r="LF213" s="33"/>
      <c r="LG213" s="33"/>
      <c r="LH213" s="33"/>
      <c r="LI213" s="33"/>
      <c r="LJ213" s="33"/>
      <c r="LK213" s="33"/>
      <c r="LL213" s="33"/>
      <c r="LM213" s="33"/>
      <c r="LN213" s="33"/>
      <c r="LO213" s="33"/>
      <c r="LP213" s="44"/>
      <c r="LQ213" s="44"/>
      <c r="LR213" s="44"/>
      <c r="LS213" s="44"/>
      <c r="LT213" s="44"/>
      <c r="LU213" s="44"/>
      <c r="LV213" s="44"/>
    </row>
    <row r="214" spans="1:334" x14ac:dyDescent="0.2">
      <c r="A214" s="1" t="s">
        <v>8526</v>
      </c>
      <c r="B214" s="1" t="s">
        <v>8490</v>
      </c>
      <c r="D214" s="1" t="s">
        <v>8271</v>
      </c>
      <c r="E214" s="1" t="s">
        <v>8099</v>
      </c>
      <c r="F214" s="1" t="s">
        <v>6268</v>
      </c>
      <c r="H214" s="1" t="s">
        <v>8527</v>
      </c>
      <c r="J214" s="1" t="s">
        <v>8492</v>
      </c>
      <c r="K214" s="1">
        <v>1986</v>
      </c>
      <c r="L214" s="1" t="s">
        <v>8493</v>
      </c>
      <c r="M214" s="1" t="s">
        <v>7657</v>
      </c>
      <c r="N214" s="17" t="s">
        <v>7945</v>
      </c>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v>0.71</v>
      </c>
      <c r="DQ214" s="33"/>
      <c r="DR214" s="33">
        <v>7.3999999999999996E-2</v>
      </c>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c r="IV214" s="33"/>
      <c r="IW214" s="33"/>
      <c r="IX214" s="33"/>
      <c r="IY214" s="33"/>
      <c r="IZ214" s="33"/>
      <c r="JA214" s="33"/>
      <c r="JB214" s="33"/>
      <c r="JC214" s="33"/>
      <c r="JD214" s="33"/>
      <c r="JE214" s="33"/>
      <c r="JF214" s="33"/>
      <c r="JG214" s="33"/>
      <c r="JH214" s="33"/>
      <c r="JI214" s="33"/>
      <c r="JJ214" s="33"/>
      <c r="JK214" s="33"/>
      <c r="JL214" s="33"/>
      <c r="JM214" s="33"/>
      <c r="JN214" s="33"/>
      <c r="JO214" s="33"/>
      <c r="JP214" s="33"/>
      <c r="JQ214" s="33"/>
      <c r="JR214" s="33"/>
      <c r="KZ214" s="33"/>
      <c r="LA214" s="33"/>
      <c r="LB214" s="33"/>
      <c r="LC214" s="33"/>
      <c r="LD214" s="33"/>
      <c r="LE214" s="33"/>
      <c r="LF214" s="33"/>
      <c r="LG214" s="33"/>
      <c r="LH214" s="33"/>
      <c r="LI214" s="33"/>
      <c r="LJ214" s="33"/>
      <c r="LK214" s="33"/>
      <c r="LL214" s="33"/>
      <c r="LM214" s="33"/>
      <c r="LN214" s="33"/>
      <c r="LO214" s="33"/>
      <c r="LP214" s="44"/>
      <c r="LQ214" s="44"/>
      <c r="LR214" s="44"/>
      <c r="LS214" s="44"/>
      <c r="LT214" s="44"/>
      <c r="LU214" s="44"/>
      <c r="LV214" s="44"/>
    </row>
    <row r="215" spans="1:334" x14ac:dyDescent="0.2">
      <c r="A215" s="1" t="s">
        <v>8528</v>
      </c>
      <c r="B215" s="1" t="s">
        <v>8490</v>
      </c>
      <c r="D215" s="1" t="s">
        <v>8271</v>
      </c>
      <c r="E215" s="1" t="s">
        <v>8099</v>
      </c>
      <c r="F215" s="1" t="s">
        <v>6268</v>
      </c>
      <c r="H215" s="1" t="s">
        <v>8529</v>
      </c>
      <c r="J215" s="1" t="s">
        <v>8492</v>
      </c>
      <c r="K215" s="1">
        <v>1986</v>
      </c>
      <c r="L215" s="1" t="s">
        <v>8493</v>
      </c>
      <c r="M215" s="1" t="s">
        <v>7657</v>
      </c>
      <c r="N215" s="17" t="s">
        <v>7945</v>
      </c>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v>0.68600000000000005</v>
      </c>
      <c r="DQ215" s="33"/>
      <c r="DR215" s="33">
        <v>7.1999999999999995E-2</v>
      </c>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c r="IV215" s="33"/>
      <c r="IW215" s="33"/>
      <c r="IX215" s="33"/>
      <c r="IY215" s="33"/>
      <c r="IZ215" s="33"/>
      <c r="JA215" s="33"/>
      <c r="JB215" s="33"/>
      <c r="JC215" s="33"/>
      <c r="JD215" s="33"/>
      <c r="JE215" s="33"/>
      <c r="JF215" s="33"/>
      <c r="JG215" s="33"/>
      <c r="JH215" s="33"/>
      <c r="JI215" s="33"/>
      <c r="JJ215" s="33"/>
      <c r="JK215" s="33"/>
      <c r="JL215" s="33"/>
      <c r="JM215" s="33"/>
      <c r="JN215" s="33"/>
      <c r="JO215" s="33"/>
      <c r="JP215" s="33"/>
      <c r="JQ215" s="33"/>
      <c r="JR215" s="33"/>
      <c r="KZ215" s="33"/>
      <c r="LA215" s="33"/>
      <c r="LB215" s="33"/>
      <c r="LC215" s="33"/>
      <c r="LD215" s="33"/>
      <c r="LE215" s="33"/>
      <c r="LF215" s="33"/>
      <c r="LG215" s="33"/>
      <c r="LH215" s="33"/>
      <c r="LI215" s="33"/>
      <c r="LJ215" s="33"/>
      <c r="LK215" s="33"/>
      <c r="LL215" s="33"/>
      <c r="LM215" s="33"/>
      <c r="LN215" s="33"/>
      <c r="LO215" s="33"/>
      <c r="LP215" s="44"/>
      <c r="LQ215" s="44"/>
      <c r="LR215" s="44"/>
      <c r="LS215" s="44"/>
      <c r="LT215" s="44"/>
      <c r="LU215" s="44"/>
      <c r="LV215" s="44"/>
    </row>
    <row r="216" spans="1:334" x14ac:dyDescent="0.2">
      <c r="A216" s="1" t="s">
        <v>8530</v>
      </c>
      <c r="B216" s="1" t="s">
        <v>8490</v>
      </c>
      <c r="D216" s="1" t="s">
        <v>8271</v>
      </c>
      <c r="E216" s="1" t="s">
        <v>8099</v>
      </c>
      <c r="F216" s="1" t="s">
        <v>6268</v>
      </c>
      <c r="H216" s="1" t="s">
        <v>8531</v>
      </c>
      <c r="J216" s="1" t="s">
        <v>8492</v>
      </c>
      <c r="K216" s="1">
        <v>1986</v>
      </c>
      <c r="L216" s="1" t="s">
        <v>8493</v>
      </c>
      <c r="M216" s="1" t="s">
        <v>7657</v>
      </c>
      <c r="N216" s="17" t="s">
        <v>7945</v>
      </c>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v>0.86099999999999999</v>
      </c>
      <c r="DQ216" s="33"/>
      <c r="DR216" s="33">
        <v>0.16200000000000001</v>
      </c>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c r="IV216" s="33"/>
      <c r="IW216" s="33"/>
      <c r="IX216" s="33"/>
      <c r="IY216" s="33"/>
      <c r="IZ216" s="33"/>
      <c r="JA216" s="33"/>
      <c r="JB216" s="33"/>
      <c r="JC216" s="33"/>
      <c r="JD216" s="33"/>
      <c r="JE216" s="33"/>
      <c r="JF216" s="33"/>
      <c r="JG216" s="33"/>
      <c r="JH216" s="33"/>
      <c r="JI216" s="33"/>
      <c r="JJ216" s="33"/>
      <c r="JK216" s="33"/>
      <c r="JL216" s="33"/>
      <c r="JM216" s="33"/>
      <c r="JN216" s="33"/>
      <c r="JO216" s="33"/>
      <c r="JP216" s="33"/>
      <c r="JQ216" s="33"/>
      <c r="JR216" s="33"/>
      <c r="KZ216" s="33"/>
      <c r="LA216" s="33"/>
      <c r="LB216" s="33"/>
      <c r="LC216" s="33"/>
      <c r="LD216" s="33"/>
      <c r="LE216" s="33"/>
      <c r="LF216" s="33"/>
      <c r="LG216" s="33"/>
      <c r="LH216" s="33"/>
      <c r="LI216" s="33"/>
      <c r="LJ216" s="33"/>
      <c r="LK216" s="33"/>
      <c r="LL216" s="33"/>
      <c r="LM216" s="33"/>
      <c r="LN216" s="33"/>
      <c r="LO216" s="33"/>
      <c r="LP216" s="44"/>
      <c r="LQ216" s="44"/>
      <c r="LR216" s="44"/>
      <c r="LS216" s="44"/>
      <c r="LT216" s="44"/>
      <c r="LU216" s="44"/>
      <c r="LV216" s="44"/>
    </row>
    <row r="217" spans="1:334" x14ac:dyDescent="0.2">
      <c r="A217" s="1" t="s">
        <v>8532</v>
      </c>
      <c r="B217" s="1" t="s">
        <v>8490</v>
      </c>
      <c r="D217" s="1" t="s">
        <v>8271</v>
      </c>
      <c r="E217" s="1" t="s">
        <v>8099</v>
      </c>
      <c r="F217" s="1" t="s">
        <v>6268</v>
      </c>
      <c r="H217" s="1" t="s">
        <v>8533</v>
      </c>
      <c r="J217" s="1" t="s">
        <v>8492</v>
      </c>
      <c r="K217" s="1">
        <v>1986</v>
      </c>
      <c r="L217" s="1" t="s">
        <v>8493</v>
      </c>
      <c r="M217" s="1" t="s">
        <v>7657</v>
      </c>
      <c r="N217" s="17" t="s">
        <v>7945</v>
      </c>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v>0.86199999999999999</v>
      </c>
      <c r="DQ217" s="33"/>
      <c r="DR217" s="33">
        <v>0.16300000000000001</v>
      </c>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c r="IV217" s="33"/>
      <c r="IW217" s="33"/>
      <c r="IX217" s="33"/>
      <c r="IY217" s="33"/>
      <c r="IZ217" s="33"/>
      <c r="JA217" s="33"/>
      <c r="JB217" s="33"/>
      <c r="JC217" s="33"/>
      <c r="JD217" s="33"/>
      <c r="JE217" s="33"/>
      <c r="JF217" s="33"/>
      <c r="JG217" s="33"/>
      <c r="JH217" s="33"/>
      <c r="JI217" s="33"/>
      <c r="JJ217" s="33"/>
      <c r="JK217" s="33"/>
      <c r="JL217" s="33"/>
      <c r="JM217" s="33"/>
      <c r="JN217" s="33"/>
      <c r="JO217" s="33"/>
      <c r="JP217" s="33"/>
      <c r="JQ217" s="33"/>
      <c r="JR217" s="33"/>
      <c r="KZ217" s="33"/>
      <c r="LA217" s="33"/>
      <c r="LB217" s="33"/>
      <c r="LC217" s="33"/>
      <c r="LD217" s="33"/>
      <c r="LE217" s="33"/>
      <c r="LF217" s="33"/>
      <c r="LG217" s="33"/>
      <c r="LH217" s="33"/>
      <c r="LI217" s="33"/>
      <c r="LJ217" s="33"/>
      <c r="LK217" s="33"/>
      <c r="LL217" s="33"/>
      <c r="LM217" s="33"/>
      <c r="LN217" s="33"/>
      <c r="LO217" s="33"/>
      <c r="LP217" s="44"/>
      <c r="LQ217" s="44"/>
      <c r="LR217" s="44"/>
      <c r="LS217" s="44"/>
      <c r="LT217" s="44"/>
      <c r="LU217" s="44"/>
      <c r="LV217" s="44"/>
    </row>
    <row r="218" spans="1:334" x14ac:dyDescent="0.2">
      <c r="A218" s="1" t="s">
        <v>8534</v>
      </c>
      <c r="B218" s="1" t="s">
        <v>8490</v>
      </c>
      <c r="D218" s="1" t="s">
        <v>8271</v>
      </c>
      <c r="E218" s="1" t="s">
        <v>8099</v>
      </c>
      <c r="F218" s="1" t="s">
        <v>6268</v>
      </c>
      <c r="H218" s="1" t="s">
        <v>8535</v>
      </c>
      <c r="J218" s="1" t="s">
        <v>8492</v>
      </c>
      <c r="K218" s="1">
        <v>1986</v>
      </c>
      <c r="L218" s="1" t="s">
        <v>8493</v>
      </c>
      <c r="M218" s="1" t="s">
        <v>7657</v>
      </c>
      <c r="N218" s="17" t="s">
        <v>7945</v>
      </c>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v>0.86499999999999999</v>
      </c>
      <c r="DQ218" s="33"/>
      <c r="DR218" s="33">
        <v>0.161</v>
      </c>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c r="IV218" s="33"/>
      <c r="IW218" s="33"/>
      <c r="IX218" s="33"/>
      <c r="IY218" s="33"/>
      <c r="IZ218" s="33"/>
      <c r="JA218" s="33"/>
      <c r="JB218" s="33"/>
      <c r="JC218" s="33"/>
      <c r="JD218" s="33"/>
      <c r="JE218" s="33"/>
      <c r="JF218" s="33"/>
      <c r="JG218" s="33"/>
      <c r="JH218" s="33"/>
      <c r="JI218" s="33"/>
      <c r="JJ218" s="33"/>
      <c r="JK218" s="33"/>
      <c r="JL218" s="33"/>
      <c r="JM218" s="33"/>
      <c r="JN218" s="33"/>
      <c r="JO218" s="33"/>
      <c r="JP218" s="33"/>
      <c r="JQ218" s="33"/>
      <c r="JR218" s="33"/>
      <c r="KZ218" s="33"/>
      <c r="LA218" s="33"/>
      <c r="LB218" s="33"/>
      <c r="LC218" s="33"/>
      <c r="LD218" s="33"/>
      <c r="LE218" s="33"/>
      <c r="LF218" s="33"/>
      <c r="LG218" s="33"/>
      <c r="LH218" s="33"/>
      <c r="LI218" s="33"/>
      <c r="LJ218" s="33"/>
      <c r="LK218" s="33"/>
      <c r="LL218" s="33"/>
      <c r="LM218" s="33"/>
      <c r="LN218" s="33"/>
      <c r="LO218" s="33"/>
      <c r="LP218" s="44"/>
      <c r="LQ218" s="44"/>
      <c r="LR218" s="44"/>
      <c r="LS218" s="44"/>
      <c r="LT218" s="44"/>
      <c r="LU218" s="44"/>
      <c r="LV218" s="44"/>
    </row>
    <row r="219" spans="1:334" x14ac:dyDescent="0.2">
      <c r="A219" s="1" t="s">
        <v>8536</v>
      </c>
      <c r="B219" s="1" t="s">
        <v>8490</v>
      </c>
      <c r="D219" s="1" t="s">
        <v>8271</v>
      </c>
      <c r="E219" s="1" t="s">
        <v>8099</v>
      </c>
      <c r="F219" s="1" t="s">
        <v>6268</v>
      </c>
      <c r="H219" s="1" t="s">
        <v>8537</v>
      </c>
      <c r="J219" s="1" t="s">
        <v>8492</v>
      </c>
      <c r="K219" s="1">
        <v>1986</v>
      </c>
      <c r="L219" s="1" t="s">
        <v>8493</v>
      </c>
      <c r="M219" s="1" t="s">
        <v>7657</v>
      </c>
      <c r="N219" s="17" t="s">
        <v>7945</v>
      </c>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v>0.86299999999999999</v>
      </c>
      <c r="DQ219" s="33"/>
      <c r="DR219" s="33">
        <v>0.16200000000000001</v>
      </c>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c r="IV219" s="33"/>
      <c r="IW219" s="33"/>
      <c r="IX219" s="33"/>
      <c r="IY219" s="33"/>
      <c r="IZ219" s="33"/>
      <c r="JA219" s="33"/>
      <c r="JB219" s="33"/>
      <c r="JC219" s="33"/>
      <c r="JD219" s="33"/>
      <c r="JE219" s="33"/>
      <c r="JF219" s="33"/>
      <c r="JG219" s="33"/>
      <c r="JH219" s="33"/>
      <c r="JI219" s="33"/>
      <c r="JJ219" s="33"/>
      <c r="JK219" s="33"/>
      <c r="JL219" s="33"/>
      <c r="JM219" s="33"/>
      <c r="JN219" s="33"/>
      <c r="JO219" s="33"/>
      <c r="JP219" s="33"/>
      <c r="JQ219" s="33"/>
      <c r="JR219" s="33"/>
      <c r="KZ219" s="33"/>
      <c r="LA219" s="33"/>
      <c r="LB219" s="33"/>
      <c r="LC219" s="33"/>
      <c r="LD219" s="33"/>
      <c r="LE219" s="33"/>
      <c r="LF219" s="33"/>
      <c r="LG219" s="33"/>
      <c r="LH219" s="33"/>
      <c r="LI219" s="33"/>
      <c r="LJ219" s="33"/>
      <c r="LK219" s="33"/>
      <c r="LL219" s="33"/>
      <c r="LM219" s="33"/>
      <c r="LN219" s="33"/>
      <c r="LO219" s="33"/>
      <c r="LP219" s="44"/>
      <c r="LQ219" s="44"/>
      <c r="LR219" s="44"/>
      <c r="LS219" s="44"/>
      <c r="LT219" s="44"/>
      <c r="LU219" s="44"/>
      <c r="LV219" s="44"/>
    </row>
    <row r="220" spans="1:334" x14ac:dyDescent="0.2">
      <c r="A220" s="1" t="s">
        <v>8538</v>
      </c>
      <c r="B220" s="1" t="s">
        <v>8490</v>
      </c>
      <c r="D220" s="1" t="s">
        <v>8271</v>
      </c>
      <c r="E220" s="1" t="s">
        <v>8099</v>
      </c>
      <c r="F220" s="1" t="s">
        <v>6268</v>
      </c>
      <c r="H220" s="1" t="s">
        <v>8539</v>
      </c>
      <c r="J220" s="1" t="s">
        <v>8492</v>
      </c>
      <c r="K220" s="1">
        <v>1986</v>
      </c>
      <c r="L220" s="1" t="s">
        <v>8493</v>
      </c>
      <c r="M220" s="1" t="s">
        <v>7657</v>
      </c>
      <c r="N220" s="17" t="s">
        <v>7945</v>
      </c>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v>0.86099999999999999</v>
      </c>
      <c r="DQ220" s="33"/>
      <c r="DR220" s="33">
        <v>0.16</v>
      </c>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c r="IV220" s="33"/>
      <c r="IW220" s="33"/>
      <c r="IX220" s="33"/>
      <c r="IY220" s="33"/>
      <c r="IZ220" s="33"/>
      <c r="JA220" s="33"/>
      <c r="JB220" s="33"/>
      <c r="JC220" s="33"/>
      <c r="JD220" s="33"/>
      <c r="JE220" s="33"/>
      <c r="JF220" s="33"/>
      <c r="JG220" s="33"/>
      <c r="JH220" s="33"/>
      <c r="JI220" s="33"/>
      <c r="JJ220" s="33"/>
      <c r="JK220" s="33"/>
      <c r="JL220" s="33"/>
      <c r="JM220" s="33"/>
      <c r="JN220" s="33"/>
      <c r="JO220" s="33"/>
      <c r="JP220" s="33"/>
      <c r="JQ220" s="33"/>
      <c r="JR220" s="33"/>
      <c r="KZ220" s="33"/>
      <c r="LA220" s="33"/>
      <c r="LB220" s="33"/>
      <c r="LC220" s="33"/>
      <c r="LD220" s="33"/>
      <c r="LE220" s="33"/>
      <c r="LF220" s="33"/>
      <c r="LG220" s="33"/>
      <c r="LH220" s="33"/>
      <c r="LI220" s="33"/>
      <c r="LJ220" s="33"/>
      <c r="LK220" s="33"/>
      <c r="LL220" s="33"/>
      <c r="LM220" s="33"/>
      <c r="LN220" s="33"/>
      <c r="LO220" s="33"/>
      <c r="LP220" s="44"/>
      <c r="LQ220" s="44"/>
      <c r="LR220" s="44"/>
      <c r="LS220" s="44"/>
      <c r="LT220" s="44"/>
      <c r="LU220" s="44"/>
      <c r="LV220" s="44"/>
    </row>
    <row r="221" spans="1:334" x14ac:dyDescent="0.2">
      <c r="A221" s="1" t="s">
        <v>8540</v>
      </c>
      <c r="B221" s="1" t="s">
        <v>8490</v>
      </c>
      <c r="D221" s="1" t="s">
        <v>8271</v>
      </c>
      <c r="E221" s="1" t="s">
        <v>8099</v>
      </c>
      <c r="F221" s="1" t="s">
        <v>6268</v>
      </c>
      <c r="H221" s="1" t="s">
        <v>8541</v>
      </c>
      <c r="J221" s="1" t="s">
        <v>8492</v>
      </c>
      <c r="K221" s="1">
        <v>1986</v>
      </c>
      <c r="L221" s="1" t="s">
        <v>8493</v>
      </c>
      <c r="M221" s="1" t="s">
        <v>7657</v>
      </c>
      <c r="N221" s="17" t="s">
        <v>7945</v>
      </c>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v>0.85799999999999998</v>
      </c>
      <c r="DQ221" s="33"/>
      <c r="DR221" s="33">
        <v>0.159</v>
      </c>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c r="IV221" s="33"/>
      <c r="IW221" s="33"/>
      <c r="IX221" s="33"/>
      <c r="IY221" s="33"/>
      <c r="IZ221" s="33"/>
      <c r="JA221" s="33"/>
      <c r="JB221" s="33"/>
      <c r="JC221" s="33"/>
      <c r="JD221" s="33"/>
      <c r="JE221" s="33"/>
      <c r="JF221" s="33"/>
      <c r="JG221" s="33"/>
      <c r="JH221" s="33"/>
      <c r="JI221" s="33"/>
      <c r="JJ221" s="33"/>
      <c r="JK221" s="33"/>
      <c r="JL221" s="33"/>
      <c r="JM221" s="33"/>
      <c r="JN221" s="33"/>
      <c r="JO221" s="33"/>
      <c r="JP221" s="33"/>
      <c r="JQ221" s="33"/>
      <c r="JR221" s="33"/>
      <c r="KZ221" s="33"/>
      <c r="LA221" s="33"/>
      <c r="LB221" s="33"/>
      <c r="LC221" s="33"/>
      <c r="LD221" s="33"/>
      <c r="LE221" s="33"/>
      <c r="LF221" s="33"/>
      <c r="LG221" s="33"/>
      <c r="LH221" s="33"/>
      <c r="LI221" s="33"/>
      <c r="LJ221" s="33"/>
      <c r="LK221" s="33"/>
      <c r="LL221" s="33"/>
      <c r="LM221" s="33"/>
      <c r="LN221" s="33"/>
      <c r="LO221" s="33"/>
      <c r="LP221" s="44"/>
      <c r="LQ221" s="44"/>
      <c r="LR221" s="44"/>
      <c r="LS221" s="44"/>
      <c r="LT221" s="44"/>
      <c r="LU221" s="44"/>
      <c r="LV221" s="44"/>
    </row>
    <row r="222" spans="1:334" x14ac:dyDescent="0.2">
      <c r="A222" s="1" t="s">
        <v>8542</v>
      </c>
      <c r="B222" s="1" t="s">
        <v>8490</v>
      </c>
      <c r="D222" s="1" t="s">
        <v>8271</v>
      </c>
      <c r="E222" s="1" t="s">
        <v>8099</v>
      </c>
      <c r="F222" s="1" t="s">
        <v>6268</v>
      </c>
      <c r="H222" s="1" t="s">
        <v>8543</v>
      </c>
      <c r="J222" s="1" t="s">
        <v>8492</v>
      </c>
      <c r="K222" s="1">
        <v>1986</v>
      </c>
      <c r="L222" s="1" t="s">
        <v>8493</v>
      </c>
      <c r="M222" s="1" t="s">
        <v>7657</v>
      </c>
      <c r="N222" s="17" t="s">
        <v>7945</v>
      </c>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v>0.84099999999999997</v>
      </c>
      <c r="DQ222" s="33"/>
      <c r="DR222" s="33">
        <v>0.113</v>
      </c>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c r="IV222" s="33"/>
      <c r="IW222" s="33"/>
      <c r="IX222" s="33"/>
      <c r="IY222" s="33"/>
      <c r="IZ222" s="33"/>
      <c r="JA222" s="33"/>
      <c r="JB222" s="33"/>
      <c r="JC222" s="33"/>
      <c r="JD222" s="33"/>
      <c r="JE222" s="33"/>
      <c r="JF222" s="33"/>
      <c r="JG222" s="33"/>
      <c r="JH222" s="33"/>
      <c r="JI222" s="33"/>
      <c r="JJ222" s="33"/>
      <c r="JK222" s="33"/>
      <c r="JL222" s="33"/>
      <c r="JM222" s="33"/>
      <c r="JN222" s="33"/>
      <c r="JO222" s="33"/>
      <c r="JP222" s="33"/>
      <c r="JQ222" s="33"/>
      <c r="JR222" s="33"/>
      <c r="KZ222" s="33"/>
      <c r="LA222" s="33"/>
      <c r="LB222" s="33"/>
      <c r="LC222" s="33"/>
      <c r="LD222" s="33"/>
      <c r="LE222" s="33"/>
      <c r="LF222" s="33"/>
      <c r="LG222" s="33"/>
      <c r="LH222" s="33"/>
      <c r="LI222" s="33"/>
      <c r="LJ222" s="33"/>
      <c r="LK222" s="33"/>
      <c r="LL222" s="33"/>
      <c r="LM222" s="33"/>
      <c r="LN222" s="33"/>
      <c r="LO222" s="33"/>
      <c r="LP222" s="44"/>
      <c r="LQ222" s="44"/>
      <c r="LR222" s="44"/>
      <c r="LS222" s="44"/>
      <c r="LT222" s="44"/>
      <c r="LU222" s="44"/>
      <c r="LV222" s="44"/>
    </row>
    <row r="223" spans="1:334" x14ac:dyDescent="0.2">
      <c r="A223" s="1" t="s">
        <v>8544</v>
      </c>
      <c r="B223" s="1" t="s">
        <v>8490</v>
      </c>
      <c r="D223" s="1" t="s">
        <v>8271</v>
      </c>
      <c r="E223" s="1" t="s">
        <v>8099</v>
      </c>
      <c r="F223" s="1" t="s">
        <v>6268</v>
      </c>
      <c r="H223" s="1" t="s">
        <v>8545</v>
      </c>
      <c r="J223" s="1" t="s">
        <v>8492</v>
      </c>
      <c r="K223" s="1">
        <v>1986</v>
      </c>
      <c r="L223" s="1" t="s">
        <v>8493</v>
      </c>
      <c r="M223" s="1" t="s">
        <v>7657</v>
      </c>
      <c r="N223" s="17" t="s">
        <v>7945</v>
      </c>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v>0.81399999999999995</v>
      </c>
      <c r="DQ223" s="33"/>
      <c r="DR223" s="33">
        <v>0.11700000000000001</v>
      </c>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c r="IV223" s="33"/>
      <c r="IW223" s="33"/>
      <c r="IX223" s="33"/>
      <c r="IY223" s="33"/>
      <c r="IZ223" s="33"/>
      <c r="JA223" s="33"/>
      <c r="JB223" s="33"/>
      <c r="JC223" s="33"/>
      <c r="JD223" s="33"/>
      <c r="JE223" s="33"/>
      <c r="JF223" s="33"/>
      <c r="JG223" s="33"/>
      <c r="JH223" s="33"/>
      <c r="JI223" s="33"/>
      <c r="JJ223" s="33"/>
      <c r="JK223" s="33"/>
      <c r="JL223" s="33"/>
      <c r="JM223" s="33"/>
      <c r="JN223" s="33"/>
      <c r="JO223" s="33"/>
      <c r="JP223" s="33"/>
      <c r="JQ223" s="33"/>
      <c r="JR223" s="33"/>
      <c r="KZ223" s="33"/>
      <c r="LA223" s="33"/>
      <c r="LB223" s="33"/>
      <c r="LC223" s="33"/>
      <c r="LD223" s="33"/>
      <c r="LE223" s="33"/>
      <c r="LF223" s="33"/>
      <c r="LG223" s="33"/>
      <c r="LH223" s="33"/>
      <c r="LI223" s="33"/>
      <c r="LJ223" s="33"/>
      <c r="LK223" s="33"/>
      <c r="LL223" s="33"/>
      <c r="LM223" s="33"/>
      <c r="LN223" s="33"/>
      <c r="LO223" s="33"/>
      <c r="LP223" s="44"/>
      <c r="LQ223" s="44"/>
      <c r="LR223" s="44"/>
      <c r="LS223" s="44"/>
      <c r="LT223" s="44"/>
      <c r="LU223" s="44"/>
      <c r="LV223" s="44"/>
    </row>
    <row r="224" spans="1:334" x14ac:dyDescent="0.2">
      <c r="A224" s="1" t="s">
        <v>8546</v>
      </c>
      <c r="B224" s="1" t="s">
        <v>8490</v>
      </c>
      <c r="D224" s="1" t="s">
        <v>8271</v>
      </c>
      <c r="E224" s="1" t="s">
        <v>8099</v>
      </c>
      <c r="F224" s="1" t="s">
        <v>6268</v>
      </c>
      <c r="H224" s="1" t="s">
        <v>8547</v>
      </c>
      <c r="J224" s="1" t="s">
        <v>8492</v>
      </c>
      <c r="K224" s="1">
        <v>1986</v>
      </c>
      <c r="L224" s="1" t="s">
        <v>8493</v>
      </c>
      <c r="M224" s="1" t="s">
        <v>7657</v>
      </c>
      <c r="N224" s="17" t="s">
        <v>7945</v>
      </c>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v>0.77100000000000002</v>
      </c>
      <c r="DQ224" s="33"/>
      <c r="DR224" s="33">
        <v>9.5000000000000001E-2</v>
      </c>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c r="IV224" s="33"/>
      <c r="IW224" s="33"/>
      <c r="IX224" s="33"/>
      <c r="IY224" s="33"/>
      <c r="IZ224" s="33"/>
      <c r="JA224" s="33"/>
      <c r="JB224" s="33"/>
      <c r="JC224" s="33"/>
      <c r="JD224" s="33"/>
      <c r="JE224" s="33"/>
      <c r="JF224" s="33"/>
      <c r="JG224" s="33"/>
      <c r="JH224" s="33"/>
      <c r="JI224" s="33"/>
      <c r="JJ224" s="33"/>
      <c r="JK224" s="33"/>
      <c r="JL224" s="33"/>
      <c r="JM224" s="33"/>
      <c r="JN224" s="33"/>
      <c r="JO224" s="33"/>
      <c r="JP224" s="33"/>
      <c r="JQ224" s="33"/>
      <c r="JR224" s="33"/>
      <c r="KZ224" s="33"/>
      <c r="LA224" s="33"/>
      <c r="LB224" s="33"/>
      <c r="LC224" s="33"/>
      <c r="LD224" s="33"/>
      <c r="LE224" s="33"/>
      <c r="LF224" s="33"/>
      <c r="LG224" s="33"/>
      <c r="LH224" s="33"/>
      <c r="LI224" s="33"/>
      <c r="LJ224" s="33"/>
      <c r="LK224" s="33"/>
      <c r="LL224" s="33"/>
      <c r="LM224" s="33"/>
      <c r="LN224" s="33"/>
      <c r="LO224" s="33"/>
      <c r="LP224" s="44"/>
      <c r="LQ224" s="44"/>
      <c r="LR224" s="44"/>
      <c r="LS224" s="44"/>
      <c r="LT224" s="44"/>
      <c r="LU224" s="44"/>
      <c r="LV224" s="44"/>
    </row>
    <row r="225" spans="1:334" x14ac:dyDescent="0.2">
      <c r="A225" s="1" t="s">
        <v>8548</v>
      </c>
      <c r="B225" s="1" t="s">
        <v>8490</v>
      </c>
      <c r="D225" s="1" t="s">
        <v>8271</v>
      </c>
      <c r="E225" s="1" t="s">
        <v>8099</v>
      </c>
      <c r="F225" s="1" t="s">
        <v>6268</v>
      </c>
      <c r="H225" s="1" t="s">
        <v>8549</v>
      </c>
      <c r="J225" s="1" t="s">
        <v>8492</v>
      </c>
      <c r="K225" s="1">
        <v>1986</v>
      </c>
      <c r="L225" s="1" t="s">
        <v>8493</v>
      </c>
      <c r="M225" s="1" t="s">
        <v>7657</v>
      </c>
      <c r="N225" s="17" t="s">
        <v>7945</v>
      </c>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v>0.74099999999999999</v>
      </c>
      <c r="DQ225" s="33"/>
      <c r="DR225" s="33">
        <v>7.5999999999999998E-2</v>
      </c>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c r="IV225" s="33"/>
      <c r="IW225" s="33"/>
      <c r="IX225" s="33"/>
      <c r="IY225" s="33"/>
      <c r="IZ225" s="33"/>
      <c r="JA225" s="33"/>
      <c r="JB225" s="33"/>
      <c r="JC225" s="33"/>
      <c r="JD225" s="33"/>
      <c r="JE225" s="33"/>
      <c r="JF225" s="33"/>
      <c r="JG225" s="33"/>
      <c r="JH225" s="33"/>
      <c r="JI225" s="33"/>
      <c r="JJ225" s="33"/>
      <c r="JK225" s="33"/>
      <c r="JL225" s="33"/>
      <c r="JM225" s="33"/>
      <c r="JN225" s="33"/>
      <c r="JO225" s="33"/>
      <c r="JP225" s="33"/>
      <c r="JQ225" s="33"/>
      <c r="JR225" s="33"/>
      <c r="KZ225" s="33"/>
      <c r="LA225" s="33"/>
      <c r="LB225" s="33"/>
      <c r="LC225" s="33"/>
      <c r="LD225" s="33"/>
      <c r="LE225" s="33"/>
      <c r="LF225" s="33"/>
      <c r="LG225" s="33"/>
      <c r="LH225" s="33"/>
      <c r="LI225" s="33"/>
      <c r="LJ225" s="33"/>
      <c r="LK225" s="33"/>
      <c r="LL225" s="33"/>
      <c r="LM225" s="33"/>
      <c r="LN225" s="33"/>
      <c r="LO225" s="33"/>
      <c r="LP225" s="44"/>
      <c r="LQ225" s="44"/>
      <c r="LR225" s="44"/>
      <c r="LS225" s="44"/>
      <c r="LT225" s="44"/>
      <c r="LU225" s="44"/>
      <c r="LV225" s="44"/>
    </row>
    <row r="226" spans="1:334" x14ac:dyDescent="0.2">
      <c r="A226" s="1" t="s">
        <v>8550</v>
      </c>
      <c r="B226" s="1" t="s">
        <v>8490</v>
      </c>
      <c r="D226" s="1" t="s">
        <v>8271</v>
      </c>
      <c r="E226" s="1" t="s">
        <v>8099</v>
      </c>
      <c r="F226" s="1" t="s">
        <v>6268</v>
      </c>
      <c r="H226" s="1" t="s">
        <v>8551</v>
      </c>
      <c r="J226" s="1" t="s">
        <v>8492</v>
      </c>
      <c r="K226" s="1">
        <v>1986</v>
      </c>
      <c r="L226" s="1" t="s">
        <v>8493</v>
      </c>
      <c r="M226" s="1" t="s">
        <v>7657</v>
      </c>
      <c r="N226" s="17" t="s">
        <v>7945</v>
      </c>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v>0.71199999999999997</v>
      </c>
      <c r="DQ226" s="33"/>
      <c r="DR226" s="33">
        <v>7.5999999999999998E-2</v>
      </c>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c r="IV226" s="33"/>
      <c r="IW226" s="33"/>
      <c r="IX226" s="33"/>
      <c r="IY226" s="33"/>
      <c r="IZ226" s="33"/>
      <c r="JA226" s="33"/>
      <c r="JB226" s="33"/>
      <c r="JC226" s="33"/>
      <c r="JD226" s="33"/>
      <c r="JE226" s="33"/>
      <c r="JF226" s="33"/>
      <c r="JG226" s="33"/>
      <c r="JH226" s="33"/>
      <c r="JI226" s="33"/>
      <c r="JJ226" s="33"/>
      <c r="JK226" s="33"/>
      <c r="JL226" s="33"/>
      <c r="JM226" s="33"/>
      <c r="JN226" s="33"/>
      <c r="JO226" s="33"/>
      <c r="JP226" s="33"/>
      <c r="JQ226" s="33"/>
      <c r="JR226" s="33"/>
      <c r="KZ226" s="33"/>
      <c r="LA226" s="33"/>
      <c r="LB226" s="33"/>
      <c r="LC226" s="33"/>
      <c r="LD226" s="33"/>
      <c r="LE226" s="33"/>
      <c r="LF226" s="33"/>
      <c r="LG226" s="33"/>
      <c r="LH226" s="33"/>
      <c r="LI226" s="33"/>
      <c r="LJ226" s="33"/>
      <c r="LK226" s="33"/>
      <c r="LL226" s="33"/>
      <c r="LM226" s="33"/>
      <c r="LN226" s="33"/>
      <c r="LO226" s="33"/>
      <c r="LP226" s="44"/>
      <c r="LQ226" s="44"/>
      <c r="LR226" s="44"/>
      <c r="LS226" s="44"/>
      <c r="LT226" s="44"/>
      <c r="LU226" s="44"/>
      <c r="LV226" s="44"/>
    </row>
    <row r="227" spans="1:334" x14ac:dyDescent="0.2">
      <c r="A227" s="1" t="s">
        <v>8552</v>
      </c>
      <c r="B227" s="1" t="s">
        <v>8490</v>
      </c>
      <c r="D227" s="1" t="s">
        <v>8271</v>
      </c>
      <c r="E227" s="1" t="s">
        <v>8099</v>
      </c>
      <c r="F227" s="1" t="s">
        <v>6268</v>
      </c>
      <c r="H227" s="1" t="s">
        <v>8553</v>
      </c>
      <c r="J227" s="1" t="s">
        <v>8492</v>
      </c>
      <c r="K227" s="1">
        <v>1986</v>
      </c>
      <c r="L227" s="1" t="s">
        <v>8493</v>
      </c>
      <c r="M227" s="1" t="s">
        <v>7657</v>
      </c>
      <c r="N227" s="17" t="s">
        <v>7945</v>
      </c>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v>0.68799999999999994</v>
      </c>
      <c r="DQ227" s="33"/>
      <c r="DR227" s="33">
        <v>7.0999999999999994E-2</v>
      </c>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c r="IV227" s="33"/>
      <c r="IW227" s="33"/>
      <c r="IX227" s="33"/>
      <c r="IY227" s="33"/>
      <c r="IZ227" s="33"/>
      <c r="JA227" s="33"/>
      <c r="JB227" s="33"/>
      <c r="JC227" s="33"/>
      <c r="JD227" s="33"/>
      <c r="JE227" s="33"/>
      <c r="JF227" s="33"/>
      <c r="JG227" s="33"/>
      <c r="JH227" s="33"/>
      <c r="JI227" s="33"/>
      <c r="JJ227" s="33"/>
      <c r="JK227" s="33"/>
      <c r="JL227" s="33"/>
      <c r="JM227" s="33"/>
      <c r="JN227" s="33"/>
      <c r="JO227" s="33"/>
      <c r="JP227" s="33"/>
      <c r="JQ227" s="33"/>
      <c r="JR227" s="33"/>
      <c r="KZ227" s="33"/>
      <c r="LA227" s="33"/>
      <c r="LB227" s="33"/>
      <c r="LC227" s="33"/>
      <c r="LD227" s="33"/>
      <c r="LE227" s="33"/>
      <c r="LF227" s="33"/>
      <c r="LG227" s="33"/>
      <c r="LH227" s="33"/>
      <c r="LI227" s="33"/>
      <c r="LJ227" s="33"/>
      <c r="LK227" s="33"/>
      <c r="LL227" s="33"/>
      <c r="LM227" s="33"/>
      <c r="LN227" s="33"/>
      <c r="LO227" s="33"/>
      <c r="LP227" s="44"/>
      <c r="LQ227" s="44"/>
      <c r="LR227" s="44"/>
      <c r="LS227" s="44"/>
      <c r="LT227" s="44"/>
      <c r="LU227" s="44"/>
      <c r="LV227" s="44"/>
    </row>
    <row r="228" spans="1:334" x14ac:dyDescent="0.2">
      <c r="A228" s="1" t="s">
        <v>8554</v>
      </c>
      <c r="B228" s="1" t="s">
        <v>8490</v>
      </c>
      <c r="D228" s="1" t="s">
        <v>8271</v>
      </c>
      <c r="E228" s="1" t="s">
        <v>8099</v>
      </c>
      <c r="F228" s="1" t="s">
        <v>6268</v>
      </c>
      <c r="H228" s="1" t="s">
        <v>8555</v>
      </c>
      <c r="J228" s="1" t="s">
        <v>8492</v>
      </c>
      <c r="K228" s="1">
        <v>1986</v>
      </c>
      <c r="L228" s="1" t="s">
        <v>8493</v>
      </c>
      <c r="M228" s="1" t="s">
        <v>7657</v>
      </c>
      <c r="N228" s="17" t="s">
        <v>7945</v>
      </c>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v>0.54400000000000004</v>
      </c>
      <c r="DQ228" s="33"/>
      <c r="DR228" s="33">
        <v>0.105</v>
      </c>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c r="IV228" s="33"/>
      <c r="IW228" s="33"/>
      <c r="IX228" s="33"/>
      <c r="IY228" s="33"/>
      <c r="IZ228" s="33"/>
      <c r="JA228" s="33"/>
      <c r="JB228" s="33"/>
      <c r="JC228" s="33"/>
      <c r="JD228" s="33"/>
      <c r="JE228" s="33"/>
      <c r="JF228" s="33"/>
      <c r="JG228" s="33"/>
      <c r="JH228" s="33"/>
      <c r="JI228" s="33"/>
      <c r="JJ228" s="33"/>
      <c r="JK228" s="33"/>
      <c r="JL228" s="33"/>
      <c r="JM228" s="33"/>
      <c r="JN228" s="33"/>
      <c r="JO228" s="33"/>
      <c r="JP228" s="33"/>
      <c r="JQ228" s="33"/>
      <c r="JR228" s="33"/>
      <c r="KZ228" s="33"/>
      <c r="LA228" s="33"/>
      <c r="LB228" s="33"/>
      <c r="LC228" s="33"/>
      <c r="LD228" s="33"/>
      <c r="LE228" s="33"/>
      <c r="LF228" s="33"/>
      <c r="LG228" s="33"/>
      <c r="LH228" s="33"/>
      <c r="LI228" s="33"/>
      <c r="LJ228" s="33"/>
      <c r="LK228" s="33"/>
      <c r="LL228" s="33"/>
      <c r="LM228" s="33"/>
      <c r="LN228" s="33"/>
      <c r="LO228" s="33"/>
      <c r="LP228" s="44"/>
      <c r="LQ228" s="44"/>
      <c r="LR228" s="44"/>
      <c r="LS228" s="44"/>
      <c r="LT228" s="44"/>
      <c r="LU228" s="44"/>
      <c r="LV228" s="44"/>
    </row>
    <row r="229" spans="1:334" x14ac:dyDescent="0.2">
      <c r="A229" s="1" t="s">
        <v>8556</v>
      </c>
      <c r="B229" s="1" t="s">
        <v>8490</v>
      </c>
      <c r="D229" s="1" t="s">
        <v>8271</v>
      </c>
      <c r="E229" s="1" t="s">
        <v>8099</v>
      </c>
      <c r="F229" s="1" t="s">
        <v>6268</v>
      </c>
      <c r="H229" s="1" t="s">
        <v>8557</v>
      </c>
      <c r="J229" s="1" t="s">
        <v>8492</v>
      </c>
      <c r="K229" s="1">
        <v>1986</v>
      </c>
      <c r="L229" s="1" t="s">
        <v>8493</v>
      </c>
      <c r="M229" s="1" t="s">
        <v>7657</v>
      </c>
      <c r="N229" s="17" t="s">
        <v>7945</v>
      </c>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v>0.35299999999999998</v>
      </c>
      <c r="DQ229" s="33"/>
      <c r="DR229" s="33">
        <v>9.8000000000000004E-2</v>
      </c>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c r="IV229" s="33"/>
      <c r="IW229" s="33"/>
      <c r="IX229" s="33"/>
      <c r="IY229" s="33"/>
      <c r="IZ229" s="33"/>
      <c r="JA229" s="33"/>
      <c r="JB229" s="33"/>
      <c r="JC229" s="33"/>
      <c r="JD229" s="33"/>
      <c r="JE229" s="33"/>
      <c r="JF229" s="33"/>
      <c r="JG229" s="33"/>
      <c r="JH229" s="33"/>
      <c r="JI229" s="33"/>
      <c r="JJ229" s="33"/>
      <c r="JK229" s="33"/>
      <c r="JL229" s="33"/>
      <c r="JM229" s="33"/>
      <c r="JN229" s="33"/>
      <c r="JO229" s="33"/>
      <c r="JP229" s="33"/>
      <c r="JQ229" s="33"/>
      <c r="JR229" s="33"/>
      <c r="KZ229" s="33"/>
      <c r="LA229" s="33"/>
      <c r="LB229" s="33"/>
      <c r="LC229" s="33"/>
      <c r="LD229" s="33"/>
      <c r="LE229" s="33"/>
      <c r="LF229" s="33"/>
      <c r="LG229" s="33"/>
      <c r="LH229" s="33"/>
      <c r="LI229" s="33"/>
      <c r="LJ229" s="33"/>
      <c r="LK229" s="33"/>
      <c r="LL229" s="33"/>
      <c r="LM229" s="33"/>
      <c r="LN229" s="33"/>
      <c r="LO229" s="33"/>
      <c r="LP229" s="44"/>
      <c r="LQ229" s="44"/>
      <c r="LR229" s="44"/>
      <c r="LS229" s="44"/>
      <c r="LT229" s="44"/>
      <c r="LU229" s="44"/>
      <c r="LV229" s="44"/>
    </row>
    <row r="230" spans="1:334" x14ac:dyDescent="0.2">
      <c r="A230" s="1" t="s">
        <v>8558</v>
      </c>
      <c r="B230" s="1" t="s">
        <v>8490</v>
      </c>
      <c r="D230" s="1" t="s">
        <v>8271</v>
      </c>
      <c r="E230" s="1" t="s">
        <v>8099</v>
      </c>
      <c r="F230" s="1" t="s">
        <v>6268</v>
      </c>
      <c r="H230" s="1" t="s">
        <v>8559</v>
      </c>
      <c r="J230" s="1" t="s">
        <v>8492</v>
      </c>
      <c r="K230" s="1">
        <v>1986</v>
      </c>
      <c r="L230" s="1" t="s">
        <v>8493</v>
      </c>
      <c r="M230" s="1" t="s">
        <v>7657</v>
      </c>
      <c r="N230" s="17" t="s">
        <v>7945</v>
      </c>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v>0.20399999999999999</v>
      </c>
      <c r="DQ230" s="33"/>
      <c r="DR230" s="33">
        <v>6.4000000000000001E-2</v>
      </c>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c r="IV230" s="33"/>
      <c r="IW230" s="33"/>
      <c r="IX230" s="33"/>
      <c r="IY230" s="33"/>
      <c r="IZ230" s="33"/>
      <c r="JA230" s="33"/>
      <c r="JB230" s="33"/>
      <c r="JC230" s="33"/>
      <c r="JD230" s="33"/>
      <c r="JE230" s="33"/>
      <c r="JF230" s="33"/>
      <c r="JG230" s="33"/>
      <c r="JH230" s="33"/>
      <c r="JI230" s="33"/>
      <c r="JJ230" s="33"/>
      <c r="JK230" s="33"/>
      <c r="JL230" s="33"/>
      <c r="JM230" s="33"/>
      <c r="JN230" s="33"/>
      <c r="JO230" s="33"/>
      <c r="JP230" s="33"/>
      <c r="JQ230" s="33"/>
      <c r="JR230" s="33"/>
      <c r="KZ230" s="33"/>
      <c r="LA230" s="33"/>
      <c r="LB230" s="33"/>
      <c r="LC230" s="33"/>
      <c r="LD230" s="33"/>
      <c r="LE230" s="33"/>
      <c r="LF230" s="33"/>
      <c r="LG230" s="33"/>
      <c r="LH230" s="33"/>
      <c r="LI230" s="33"/>
      <c r="LJ230" s="33"/>
      <c r="LK230" s="33"/>
      <c r="LL230" s="33"/>
      <c r="LM230" s="33"/>
      <c r="LN230" s="33"/>
      <c r="LO230" s="33"/>
      <c r="LP230" s="44"/>
      <c r="LQ230" s="44"/>
      <c r="LR230" s="44"/>
      <c r="LS230" s="44"/>
      <c r="LT230" s="44"/>
      <c r="LU230" s="44"/>
      <c r="LV230" s="44"/>
    </row>
    <row r="231" spans="1:334" x14ac:dyDescent="0.2">
      <c r="A231" s="1" t="s">
        <v>8560</v>
      </c>
      <c r="B231" s="1" t="s">
        <v>8490</v>
      </c>
      <c r="D231" s="1" t="s">
        <v>8271</v>
      </c>
      <c r="E231" s="1" t="s">
        <v>8099</v>
      </c>
      <c r="F231" s="1" t="s">
        <v>6268</v>
      </c>
      <c r="H231" s="1" t="s">
        <v>8561</v>
      </c>
      <c r="J231" s="1" t="s">
        <v>8492</v>
      </c>
      <c r="K231" s="1">
        <v>1986</v>
      </c>
      <c r="L231" s="1" t="s">
        <v>8493</v>
      </c>
      <c r="M231" s="1" t="s">
        <v>7657</v>
      </c>
      <c r="N231" s="17" t="s">
        <v>7945</v>
      </c>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v>6.5000000000000002E-2</v>
      </c>
      <c r="DQ231" s="33"/>
      <c r="DR231" s="33">
        <v>3.2000000000000001E-2</v>
      </c>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c r="IV231" s="33"/>
      <c r="IW231" s="33"/>
      <c r="IX231" s="33"/>
      <c r="IY231" s="33"/>
      <c r="IZ231" s="33"/>
      <c r="JA231" s="33"/>
      <c r="JB231" s="33"/>
      <c r="JC231" s="33"/>
      <c r="JD231" s="33"/>
      <c r="JE231" s="33"/>
      <c r="JF231" s="33"/>
      <c r="JG231" s="33"/>
      <c r="JH231" s="33"/>
      <c r="JI231" s="33"/>
      <c r="JJ231" s="33"/>
      <c r="JK231" s="33"/>
      <c r="JL231" s="33"/>
      <c r="JM231" s="33"/>
      <c r="JN231" s="33"/>
      <c r="JO231" s="33"/>
      <c r="JP231" s="33"/>
      <c r="JQ231" s="33"/>
      <c r="JR231" s="33"/>
      <c r="KZ231" s="33"/>
      <c r="LA231" s="33"/>
      <c r="LB231" s="33"/>
      <c r="LC231" s="33"/>
      <c r="LD231" s="33"/>
      <c r="LE231" s="33"/>
      <c r="LF231" s="33"/>
      <c r="LG231" s="33"/>
      <c r="LH231" s="33"/>
      <c r="LI231" s="33"/>
      <c r="LJ231" s="33"/>
      <c r="LK231" s="33"/>
      <c r="LL231" s="33"/>
      <c r="LM231" s="33"/>
      <c r="LN231" s="33"/>
      <c r="LO231" s="33"/>
      <c r="LP231" s="44"/>
      <c r="LQ231" s="44"/>
      <c r="LR231" s="44"/>
      <c r="LS231" s="44"/>
      <c r="LT231" s="44"/>
      <c r="LU231" s="44"/>
      <c r="LV231" s="44"/>
    </row>
    <row r="232" spans="1:334" x14ac:dyDescent="0.2">
      <c r="A232" s="1" t="s">
        <v>8562</v>
      </c>
      <c r="B232" s="1" t="s">
        <v>8490</v>
      </c>
      <c r="D232" s="1" t="s">
        <v>8271</v>
      </c>
      <c r="E232" s="1" t="s">
        <v>8099</v>
      </c>
      <c r="F232" s="1" t="s">
        <v>6268</v>
      </c>
      <c r="H232" s="1" t="s">
        <v>8563</v>
      </c>
      <c r="J232" s="1" t="s">
        <v>8492</v>
      </c>
      <c r="K232" s="1">
        <v>1986</v>
      </c>
      <c r="L232" s="1" t="s">
        <v>8493</v>
      </c>
      <c r="M232" s="1" t="s">
        <v>7657</v>
      </c>
      <c r="N232" s="17" t="s">
        <v>7945</v>
      </c>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t="s">
        <v>17</v>
      </c>
      <c r="DQ232" s="33"/>
      <c r="DR232" s="33" t="s">
        <v>17</v>
      </c>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c r="IV232" s="33"/>
      <c r="IW232" s="33"/>
      <c r="IX232" s="33"/>
      <c r="IY232" s="33"/>
      <c r="IZ232" s="33"/>
      <c r="JA232" s="33"/>
      <c r="JB232" s="33"/>
      <c r="JC232" s="33"/>
      <c r="JD232" s="33"/>
      <c r="JE232" s="33"/>
      <c r="JF232" s="33"/>
      <c r="JG232" s="33"/>
      <c r="JH232" s="33"/>
      <c r="JI232" s="33"/>
      <c r="JJ232" s="33"/>
      <c r="JK232" s="33"/>
      <c r="JL232" s="33"/>
      <c r="JM232" s="33"/>
      <c r="JN232" s="33"/>
      <c r="JO232" s="33"/>
      <c r="JP232" s="33"/>
      <c r="JQ232" s="33"/>
      <c r="JR232" s="33"/>
      <c r="KZ232" s="33"/>
      <c r="LA232" s="33"/>
      <c r="LB232" s="33"/>
      <c r="LC232" s="33"/>
      <c r="LD232" s="33"/>
      <c r="LE232" s="33"/>
      <c r="LF232" s="33"/>
      <c r="LG232" s="33"/>
      <c r="LH232" s="33"/>
      <c r="LI232" s="33"/>
      <c r="LJ232" s="33"/>
      <c r="LK232" s="33"/>
      <c r="LL232" s="33"/>
      <c r="LM232" s="33"/>
      <c r="LN232" s="33"/>
      <c r="LO232" s="33"/>
      <c r="LP232" s="44"/>
      <c r="LQ232" s="44"/>
      <c r="LR232" s="44"/>
      <c r="LS232" s="44"/>
      <c r="LT232" s="44"/>
      <c r="LU232" s="44"/>
      <c r="LV232" s="44"/>
    </row>
    <row r="233" spans="1:334" x14ac:dyDescent="0.2">
      <c r="A233" s="1" t="s">
        <v>8564</v>
      </c>
      <c r="B233" s="1" t="s">
        <v>8490</v>
      </c>
      <c r="D233" s="1" t="s">
        <v>8271</v>
      </c>
      <c r="E233" s="1" t="s">
        <v>8099</v>
      </c>
      <c r="F233" s="1" t="s">
        <v>6268</v>
      </c>
      <c r="H233" s="1" t="s">
        <v>8565</v>
      </c>
      <c r="J233" s="1" t="s">
        <v>8492</v>
      </c>
      <c r="K233" s="1">
        <v>1986</v>
      </c>
      <c r="L233" s="1" t="s">
        <v>8493</v>
      </c>
      <c r="M233" s="1" t="s">
        <v>7657</v>
      </c>
      <c r="N233" s="17" t="s">
        <v>7945</v>
      </c>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t="s">
        <v>17</v>
      </c>
      <c r="DQ233" s="33"/>
      <c r="DR233" s="33" t="s">
        <v>17</v>
      </c>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c r="IV233" s="33"/>
      <c r="IW233" s="33"/>
      <c r="IX233" s="33"/>
      <c r="IY233" s="33"/>
      <c r="IZ233" s="33"/>
      <c r="JA233" s="33"/>
      <c r="JB233" s="33"/>
      <c r="JC233" s="33"/>
      <c r="JD233" s="33"/>
      <c r="JE233" s="33"/>
      <c r="JF233" s="33"/>
      <c r="JG233" s="33"/>
      <c r="JH233" s="33"/>
      <c r="JI233" s="33"/>
      <c r="JJ233" s="33"/>
      <c r="JK233" s="33"/>
      <c r="JL233" s="33"/>
      <c r="JM233" s="33"/>
      <c r="JN233" s="33"/>
      <c r="JO233" s="33"/>
      <c r="JP233" s="33"/>
      <c r="JQ233" s="33"/>
      <c r="JR233" s="33"/>
      <c r="KZ233" s="33"/>
      <c r="LA233" s="33"/>
      <c r="LB233" s="33"/>
      <c r="LC233" s="33"/>
      <c r="LD233" s="33"/>
      <c r="LE233" s="33"/>
      <c r="LF233" s="33"/>
      <c r="LG233" s="33"/>
      <c r="LH233" s="33"/>
      <c r="LI233" s="33"/>
      <c r="LJ233" s="33"/>
      <c r="LK233" s="33"/>
      <c r="LL233" s="33"/>
      <c r="LM233" s="33"/>
      <c r="LN233" s="33"/>
      <c r="LO233" s="33"/>
      <c r="LP233" s="44"/>
      <c r="LQ233" s="44"/>
      <c r="LR233" s="44"/>
      <c r="LS233" s="44"/>
      <c r="LT233" s="44"/>
      <c r="LU233" s="44"/>
      <c r="LV233" s="44"/>
    </row>
    <row r="234" spans="1:334" x14ac:dyDescent="0.2">
      <c r="A234" s="1" t="s">
        <v>8566</v>
      </c>
      <c r="B234" s="1" t="s">
        <v>8331</v>
      </c>
      <c r="D234" s="1" t="s">
        <v>8318</v>
      </c>
      <c r="E234" s="1" t="s">
        <v>7</v>
      </c>
      <c r="F234" s="1" t="s">
        <v>6268</v>
      </c>
      <c r="I234" s="1">
        <v>2</v>
      </c>
      <c r="J234" s="1" t="s">
        <v>8567</v>
      </c>
      <c r="K234" s="1">
        <v>1985</v>
      </c>
      <c r="L234" s="1" t="s">
        <v>8568</v>
      </c>
      <c r="M234" s="1" t="s">
        <v>7657</v>
      </c>
      <c r="N234" s="17" t="s">
        <v>7945</v>
      </c>
      <c r="O234" s="33"/>
      <c r="P234" s="33"/>
      <c r="Q234" s="33"/>
      <c r="R234" s="33"/>
      <c r="S234" s="33">
        <v>8.9</v>
      </c>
      <c r="T234" s="33"/>
      <c r="U234" s="33">
        <v>6.25</v>
      </c>
      <c r="V234" s="33"/>
      <c r="W234" s="33"/>
      <c r="X234" s="33"/>
      <c r="Y234" s="33"/>
      <c r="Z234" s="33">
        <v>21.7</v>
      </c>
      <c r="AA234" s="33"/>
      <c r="AB234" s="33"/>
      <c r="AC234" s="33">
        <v>1.5</v>
      </c>
      <c r="AD234" s="33"/>
      <c r="AE234" s="33">
        <v>62.7</v>
      </c>
      <c r="AF234" s="33"/>
      <c r="AG234" s="33"/>
      <c r="AH234" s="33"/>
      <c r="AI234" s="33"/>
      <c r="AJ234" s="33"/>
      <c r="AK234" s="33"/>
      <c r="AL234" s="33"/>
      <c r="AM234" s="33"/>
      <c r="AN234" s="33"/>
      <c r="AO234" s="33"/>
      <c r="AP234" s="33"/>
      <c r="AQ234" s="33"/>
      <c r="AR234" s="33"/>
      <c r="AS234" s="33"/>
      <c r="AT234" s="33"/>
      <c r="AU234" s="33"/>
      <c r="AV234" s="33">
        <v>5.68</v>
      </c>
      <c r="AW234" s="33"/>
      <c r="AX234" s="33"/>
      <c r="AY234" s="33"/>
      <c r="AZ234" s="33"/>
      <c r="BA234" s="33"/>
      <c r="BB234" s="33"/>
      <c r="BC234" s="33"/>
      <c r="BD234" s="33"/>
      <c r="BE234" s="33">
        <v>2.2999999999999998</v>
      </c>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v>2.9</v>
      </c>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c r="IV234" s="33"/>
      <c r="IW234" s="33"/>
      <c r="IX234" s="33"/>
      <c r="IY234" s="33"/>
      <c r="IZ234" s="33"/>
      <c r="JA234" s="33"/>
      <c r="JB234" s="33"/>
      <c r="JC234" s="33"/>
      <c r="JD234" s="33"/>
      <c r="JE234" s="33"/>
      <c r="JF234" s="33"/>
      <c r="JG234" s="33"/>
      <c r="JH234" s="33"/>
      <c r="JI234" s="33"/>
      <c r="JJ234" s="33"/>
      <c r="JK234" s="33"/>
      <c r="JL234" s="33"/>
      <c r="JM234" s="33"/>
      <c r="JN234" s="33"/>
      <c r="JO234" s="33"/>
      <c r="JP234" s="33"/>
      <c r="JQ234" s="33"/>
      <c r="JR234" s="33"/>
      <c r="KZ234" s="33"/>
      <c r="LA234" s="33"/>
      <c r="LB234" s="33"/>
      <c r="LC234" s="33"/>
      <c r="LD234" s="33"/>
      <c r="LE234" s="33"/>
      <c r="LF234" s="33"/>
      <c r="LG234" s="33"/>
      <c r="LH234" s="33"/>
      <c r="LI234" s="33"/>
      <c r="LJ234" s="33"/>
      <c r="LK234" s="33"/>
      <c r="LL234" s="33"/>
      <c r="LM234" s="33"/>
      <c r="LN234" s="33"/>
      <c r="LO234" s="33"/>
      <c r="LP234" s="44"/>
      <c r="LQ234" s="44"/>
      <c r="LR234" s="44"/>
      <c r="LS234" s="44"/>
      <c r="LT234" s="44"/>
      <c r="LU234" s="44"/>
      <c r="LV234" s="44"/>
    </row>
    <row r="235" spans="1:334" x14ac:dyDescent="0.2">
      <c r="A235" s="1" t="s">
        <v>8569</v>
      </c>
      <c r="B235" s="1" t="s">
        <v>8331</v>
      </c>
      <c r="D235" s="1" t="s">
        <v>8570</v>
      </c>
      <c r="E235" s="1" t="s">
        <v>8037</v>
      </c>
      <c r="F235" s="1" t="s">
        <v>6268</v>
      </c>
      <c r="H235" s="1" t="s">
        <v>8571</v>
      </c>
      <c r="I235" s="1">
        <v>2</v>
      </c>
      <c r="J235" s="1" t="s">
        <v>8567</v>
      </c>
      <c r="K235" s="1">
        <v>1985</v>
      </c>
      <c r="L235" s="1" t="s">
        <v>8568</v>
      </c>
      <c r="M235" s="1" t="s">
        <v>7657</v>
      </c>
      <c r="N235" s="17" t="s">
        <v>7945</v>
      </c>
      <c r="O235" s="33"/>
      <c r="P235" s="33"/>
      <c r="Q235" s="33"/>
      <c r="R235" s="33"/>
      <c r="S235" s="33">
        <v>9.8000000000000007</v>
      </c>
      <c r="T235" s="33"/>
      <c r="U235" s="33">
        <v>6.25</v>
      </c>
      <c r="V235" s="33"/>
      <c r="W235" s="33"/>
      <c r="X235" s="33"/>
      <c r="Y235" s="33"/>
      <c r="Z235" s="33">
        <v>20.9</v>
      </c>
      <c r="AA235" s="33"/>
      <c r="AB235" s="33"/>
      <c r="AC235" s="33">
        <v>1.7</v>
      </c>
      <c r="AD235" s="33"/>
      <c r="AE235" s="33">
        <v>62.4</v>
      </c>
      <c r="AF235" s="33"/>
      <c r="AG235" s="33"/>
      <c r="AH235" s="33"/>
      <c r="AI235" s="33"/>
      <c r="AJ235" s="33"/>
      <c r="AK235" s="33"/>
      <c r="AL235" s="33"/>
      <c r="AM235" s="33"/>
      <c r="AN235" s="33"/>
      <c r="AO235" s="33"/>
      <c r="AP235" s="33"/>
      <c r="AQ235" s="33"/>
      <c r="AR235" s="33"/>
      <c r="AS235" s="33"/>
      <c r="AT235" s="33"/>
      <c r="AU235" s="33"/>
      <c r="AV235" s="33">
        <v>5.08</v>
      </c>
      <c r="AW235" s="33"/>
      <c r="AX235" s="33"/>
      <c r="AY235" s="33"/>
      <c r="AZ235" s="33"/>
      <c r="BA235" s="33"/>
      <c r="BB235" s="33"/>
      <c r="BC235" s="33"/>
      <c r="BD235" s="33"/>
      <c r="BE235" s="33">
        <v>2.1</v>
      </c>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v>3.1</v>
      </c>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c r="IV235" s="33"/>
      <c r="IW235" s="33"/>
      <c r="IX235" s="33"/>
      <c r="IY235" s="33"/>
      <c r="IZ235" s="33"/>
      <c r="JA235" s="33"/>
      <c r="JB235" s="33"/>
      <c r="JC235" s="33"/>
      <c r="JD235" s="33"/>
      <c r="JE235" s="33"/>
      <c r="JF235" s="33"/>
      <c r="JG235" s="33"/>
      <c r="JH235" s="33"/>
      <c r="JI235" s="33"/>
      <c r="JJ235" s="33"/>
      <c r="JK235" s="33"/>
      <c r="JL235" s="33"/>
      <c r="JM235" s="33"/>
      <c r="JN235" s="33"/>
      <c r="JO235" s="33"/>
      <c r="JP235" s="33"/>
      <c r="JQ235" s="33"/>
      <c r="JR235" s="33"/>
      <c r="KZ235" s="33"/>
      <c r="LA235" s="33"/>
      <c r="LB235" s="33"/>
      <c r="LC235" s="33"/>
      <c r="LD235" s="33"/>
      <c r="LE235" s="33"/>
      <c r="LF235" s="33"/>
      <c r="LG235" s="33"/>
      <c r="LH235" s="33"/>
      <c r="LI235" s="33"/>
      <c r="LJ235" s="33"/>
      <c r="LK235" s="33"/>
      <c r="LL235" s="33"/>
      <c r="LM235" s="33"/>
      <c r="LN235" s="33"/>
      <c r="LO235" s="33"/>
      <c r="LP235" s="44"/>
      <c r="LQ235" s="44"/>
      <c r="LR235" s="44"/>
      <c r="LS235" s="44"/>
      <c r="LT235" s="44"/>
      <c r="LU235" s="44"/>
      <c r="LV235" s="44"/>
    </row>
    <row r="236" spans="1:334" x14ac:dyDescent="0.2">
      <c r="A236" s="1" t="s">
        <v>8572</v>
      </c>
      <c r="B236" s="1" t="s">
        <v>8331</v>
      </c>
      <c r="D236" s="1" t="s">
        <v>8573</v>
      </c>
      <c r="E236" s="1" t="s">
        <v>8037</v>
      </c>
      <c r="F236" s="1" t="s">
        <v>6268</v>
      </c>
      <c r="I236" s="1">
        <v>2</v>
      </c>
      <c r="J236" s="1" t="s">
        <v>8567</v>
      </c>
      <c r="K236" s="1">
        <v>1985</v>
      </c>
      <c r="L236" s="1" t="s">
        <v>8568</v>
      </c>
      <c r="M236" s="1" t="s">
        <v>7657</v>
      </c>
      <c r="N236" s="17" t="s">
        <v>7945</v>
      </c>
      <c r="O236" s="33"/>
      <c r="P236" s="33"/>
      <c r="Q236" s="33"/>
      <c r="R236" s="33"/>
      <c r="S236" s="33">
        <v>10.1</v>
      </c>
      <c r="T236" s="33"/>
      <c r="U236" s="33">
        <v>6.25</v>
      </c>
      <c r="V236" s="33"/>
      <c r="W236" s="33"/>
      <c r="X236" s="33"/>
      <c r="Y236" s="33"/>
      <c r="Z236" s="33">
        <v>22.1</v>
      </c>
      <c r="AA236" s="33"/>
      <c r="AB236" s="33"/>
      <c r="AC236" s="33">
        <v>2.7</v>
      </c>
      <c r="AD236" s="33"/>
      <c r="AE236" s="33">
        <v>60.2</v>
      </c>
      <c r="AF236" s="33"/>
      <c r="AG236" s="33"/>
      <c r="AH236" s="33"/>
      <c r="AI236" s="33"/>
      <c r="AJ236" s="33"/>
      <c r="AK236" s="33"/>
      <c r="AL236" s="33"/>
      <c r="AM236" s="33"/>
      <c r="AN236" s="33"/>
      <c r="AO236" s="33"/>
      <c r="AP236" s="33"/>
      <c r="AQ236" s="33"/>
      <c r="AR236" s="33"/>
      <c r="AS236" s="33"/>
      <c r="AT236" s="33"/>
      <c r="AU236" s="33"/>
      <c r="AV236" s="33">
        <v>5.2299999999999995</v>
      </c>
      <c r="AW236" s="33"/>
      <c r="AX236" s="33">
        <v>0.49000000000000005</v>
      </c>
      <c r="AY236" s="33"/>
      <c r="AZ236" s="33"/>
      <c r="BA236" s="33"/>
      <c r="BB236" s="33"/>
      <c r="BC236" s="33"/>
      <c r="BD236" s="33"/>
      <c r="BE236" s="33">
        <v>2.6</v>
      </c>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v>2.2999999999999998</v>
      </c>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c r="IV236" s="33"/>
      <c r="IW236" s="33"/>
      <c r="IX236" s="33"/>
      <c r="IY236" s="33"/>
      <c r="IZ236" s="33"/>
      <c r="JA236" s="33"/>
      <c r="JB236" s="33"/>
      <c r="JC236" s="33"/>
      <c r="JD236" s="33"/>
      <c r="JE236" s="33"/>
      <c r="JF236" s="33"/>
      <c r="JG236" s="33"/>
      <c r="JH236" s="33"/>
      <c r="JI236" s="33"/>
      <c r="JJ236" s="33"/>
      <c r="JK236" s="33"/>
      <c r="JL236" s="33"/>
      <c r="JM236" s="33"/>
      <c r="JN236" s="33"/>
      <c r="JO236" s="33"/>
      <c r="JP236" s="33"/>
      <c r="JQ236" s="33"/>
      <c r="JR236" s="33"/>
      <c r="KZ236" s="33"/>
      <c r="LA236" s="33"/>
      <c r="LB236" s="33"/>
      <c r="LC236" s="33"/>
      <c r="LD236" s="33"/>
      <c r="LE236" s="33"/>
      <c r="LF236" s="33"/>
      <c r="LG236" s="33"/>
      <c r="LH236" s="33"/>
      <c r="LI236" s="33"/>
      <c r="LJ236" s="33"/>
      <c r="LK236" s="33"/>
      <c r="LL236" s="33"/>
      <c r="LM236" s="33"/>
      <c r="LN236" s="33"/>
      <c r="LO236" s="33"/>
      <c r="LP236" s="44"/>
      <c r="LQ236" s="44"/>
      <c r="LR236" s="44"/>
      <c r="LS236" s="44"/>
      <c r="LT236" s="44"/>
      <c r="LU236" s="44"/>
      <c r="LV236" s="44"/>
    </row>
    <row r="237" spans="1:334" x14ac:dyDescent="0.2">
      <c r="A237" s="1" t="s">
        <v>8574</v>
      </c>
      <c r="B237" s="1" t="s">
        <v>8331</v>
      </c>
      <c r="D237" s="1" t="s">
        <v>8575</v>
      </c>
      <c r="E237" s="1" t="s">
        <v>8037</v>
      </c>
      <c r="F237" s="1" t="s">
        <v>6268</v>
      </c>
      <c r="I237" s="1">
        <v>2</v>
      </c>
      <c r="J237" s="1" t="s">
        <v>8567</v>
      </c>
      <c r="K237" s="1">
        <v>1985</v>
      </c>
      <c r="L237" s="1" t="s">
        <v>8568</v>
      </c>
      <c r="M237" s="1" t="s">
        <v>7657</v>
      </c>
      <c r="N237" s="17" t="s">
        <v>7945</v>
      </c>
      <c r="O237" s="33"/>
      <c r="P237" s="33"/>
      <c r="Q237" s="33"/>
      <c r="R237" s="33"/>
      <c r="S237" s="33">
        <v>9.6999999999999993</v>
      </c>
      <c r="T237" s="33"/>
      <c r="U237" s="33">
        <v>6.25</v>
      </c>
      <c r="V237" s="33"/>
      <c r="W237" s="33"/>
      <c r="X237" s="33"/>
      <c r="Y237" s="33"/>
      <c r="Z237" s="33">
        <v>22.4</v>
      </c>
      <c r="AA237" s="33"/>
      <c r="AB237" s="33"/>
      <c r="AC237" s="33">
        <v>3.5</v>
      </c>
      <c r="AD237" s="33"/>
      <c r="AE237" s="33">
        <v>58.9</v>
      </c>
      <c r="AF237" s="33"/>
      <c r="AG237" s="33"/>
      <c r="AH237" s="33"/>
      <c r="AI237" s="33"/>
      <c r="AJ237" s="33"/>
      <c r="AK237" s="33"/>
      <c r="AL237" s="33"/>
      <c r="AM237" s="33"/>
      <c r="AN237" s="33"/>
      <c r="AO237" s="33"/>
      <c r="AP237" s="33"/>
      <c r="AQ237" s="33"/>
      <c r="AR237" s="33"/>
      <c r="AS237" s="33"/>
      <c r="AT237" s="33"/>
      <c r="AU237" s="33"/>
      <c r="AV237" s="33">
        <v>4.51</v>
      </c>
      <c r="AW237" s="33"/>
      <c r="AX237" s="33">
        <v>0.5</v>
      </c>
      <c r="AY237" s="33"/>
      <c r="AZ237" s="33"/>
      <c r="BA237" s="33"/>
      <c r="BB237" s="33"/>
      <c r="BC237" s="33"/>
      <c r="BD237" s="33"/>
      <c r="BE237" s="33">
        <v>2.8</v>
      </c>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v>2.7</v>
      </c>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c r="IV237" s="33"/>
      <c r="IW237" s="33"/>
      <c r="IX237" s="33"/>
      <c r="IY237" s="33"/>
      <c r="IZ237" s="33"/>
      <c r="JA237" s="33"/>
      <c r="JB237" s="33"/>
      <c r="JC237" s="33"/>
      <c r="JD237" s="33"/>
      <c r="JE237" s="33"/>
      <c r="JF237" s="33"/>
      <c r="JG237" s="33"/>
      <c r="JH237" s="33"/>
      <c r="JI237" s="33"/>
      <c r="JJ237" s="33"/>
      <c r="JK237" s="33"/>
      <c r="JL237" s="33"/>
      <c r="JM237" s="33"/>
      <c r="JN237" s="33"/>
      <c r="JO237" s="33"/>
      <c r="JP237" s="33"/>
      <c r="JQ237" s="33"/>
      <c r="JR237" s="33"/>
      <c r="KZ237" s="33"/>
      <c r="LA237" s="33"/>
      <c r="LB237" s="33"/>
      <c r="LC237" s="33"/>
      <c r="LD237" s="33"/>
      <c r="LE237" s="33"/>
      <c r="LF237" s="33"/>
      <c r="LG237" s="33"/>
      <c r="LH237" s="33"/>
      <c r="LI237" s="33"/>
      <c r="LJ237" s="33"/>
      <c r="LK237" s="33"/>
      <c r="LL237" s="33"/>
      <c r="LM237" s="33"/>
      <c r="LN237" s="33"/>
      <c r="LO237" s="33"/>
      <c r="LP237" s="44"/>
      <c r="LQ237" s="44"/>
      <c r="LR237" s="44"/>
      <c r="LS237" s="44"/>
      <c r="LT237" s="44"/>
      <c r="LU237" s="44"/>
      <c r="LV237" s="44"/>
    </row>
    <row r="238" spans="1:334" x14ac:dyDescent="0.2">
      <c r="A238" s="1" t="s">
        <v>8576</v>
      </c>
      <c r="B238" s="1" t="s">
        <v>8331</v>
      </c>
      <c r="D238" s="1" t="s">
        <v>8577</v>
      </c>
      <c r="E238" s="1" t="s">
        <v>8037</v>
      </c>
      <c r="F238" s="1" t="s">
        <v>6268</v>
      </c>
      <c r="I238" s="1">
        <v>2</v>
      </c>
      <c r="J238" s="1" t="s">
        <v>8567</v>
      </c>
      <c r="K238" s="1">
        <v>1985</v>
      </c>
      <c r="L238" s="1" t="s">
        <v>8568</v>
      </c>
      <c r="M238" s="1" t="s">
        <v>7657</v>
      </c>
      <c r="N238" s="17" t="s">
        <v>7945</v>
      </c>
      <c r="O238" s="33"/>
      <c r="P238" s="33"/>
      <c r="Q238" s="33"/>
      <c r="R238" s="33"/>
      <c r="S238" s="33">
        <v>8.6</v>
      </c>
      <c r="T238" s="33"/>
      <c r="U238" s="33">
        <v>6.25</v>
      </c>
      <c r="V238" s="33"/>
      <c r="W238" s="33"/>
      <c r="X238" s="33"/>
      <c r="Y238" s="33"/>
      <c r="Z238" s="33">
        <v>22.3</v>
      </c>
      <c r="AA238" s="33"/>
      <c r="AB238" s="33"/>
      <c r="AC238" s="33">
        <v>3.7</v>
      </c>
      <c r="AD238" s="33"/>
      <c r="AE238" s="33">
        <v>59.8</v>
      </c>
      <c r="AF238" s="33"/>
      <c r="AG238" s="33"/>
      <c r="AH238" s="33"/>
      <c r="AI238" s="33"/>
      <c r="AJ238" s="33"/>
      <c r="AK238" s="33"/>
      <c r="AL238" s="33"/>
      <c r="AM238" s="33"/>
      <c r="AN238" s="33"/>
      <c r="AO238" s="33"/>
      <c r="AP238" s="33"/>
      <c r="AQ238" s="33"/>
      <c r="AR238" s="33"/>
      <c r="AS238" s="33"/>
      <c r="AT238" s="33"/>
      <c r="AU238" s="33"/>
      <c r="AV238" s="33">
        <v>4.5299999999999994</v>
      </c>
      <c r="AW238" s="33"/>
      <c r="AX238" s="33">
        <v>0.63</v>
      </c>
      <c r="AY238" s="33"/>
      <c r="AZ238" s="33"/>
      <c r="BA238" s="33"/>
      <c r="BB238" s="33"/>
      <c r="BC238" s="33"/>
      <c r="BD238" s="33"/>
      <c r="BE238" s="33">
        <v>3.1</v>
      </c>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v>2.5</v>
      </c>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c r="IV238" s="33"/>
      <c r="IW238" s="33"/>
      <c r="IX238" s="33"/>
      <c r="IY238" s="33"/>
      <c r="IZ238" s="33"/>
      <c r="JA238" s="33"/>
      <c r="JB238" s="33"/>
      <c r="JC238" s="33"/>
      <c r="JD238" s="33"/>
      <c r="JE238" s="33"/>
      <c r="JF238" s="33"/>
      <c r="JG238" s="33"/>
      <c r="JH238" s="33"/>
      <c r="JI238" s="33"/>
      <c r="JJ238" s="33"/>
      <c r="JK238" s="33"/>
      <c r="JL238" s="33"/>
      <c r="JM238" s="33"/>
      <c r="JN238" s="33"/>
      <c r="JO238" s="33"/>
      <c r="JP238" s="33"/>
      <c r="JQ238" s="33"/>
      <c r="JR238" s="33"/>
      <c r="KZ238" s="33"/>
      <c r="LA238" s="33"/>
      <c r="LB238" s="33"/>
      <c r="LC238" s="33"/>
      <c r="LD238" s="33"/>
      <c r="LE238" s="33"/>
      <c r="LF238" s="33"/>
      <c r="LG238" s="33"/>
      <c r="LH238" s="33"/>
      <c r="LI238" s="33"/>
      <c r="LJ238" s="33"/>
      <c r="LK238" s="33"/>
      <c r="LL238" s="33"/>
      <c r="LM238" s="33"/>
      <c r="LN238" s="33"/>
      <c r="LO238" s="33"/>
      <c r="LP238" s="44"/>
      <c r="LQ238" s="44"/>
      <c r="LR238" s="44"/>
      <c r="LS238" s="44"/>
      <c r="LT238" s="44"/>
      <c r="LU238" s="44"/>
      <c r="LV238" s="44"/>
    </row>
    <row r="239" spans="1:334" x14ac:dyDescent="0.2">
      <c r="A239" s="1" t="s">
        <v>8578</v>
      </c>
      <c r="B239" s="1" t="s">
        <v>8331</v>
      </c>
      <c r="D239" s="1" t="s">
        <v>8579</v>
      </c>
      <c r="E239" s="1" t="s">
        <v>8037</v>
      </c>
      <c r="F239" s="1" t="s">
        <v>6268</v>
      </c>
      <c r="I239" s="1">
        <v>2</v>
      </c>
      <c r="J239" s="1" t="s">
        <v>8567</v>
      </c>
      <c r="K239" s="1">
        <v>1985</v>
      </c>
      <c r="L239" s="1" t="s">
        <v>8568</v>
      </c>
      <c r="M239" s="1" t="s">
        <v>7657</v>
      </c>
      <c r="N239" s="17" t="s">
        <v>7945</v>
      </c>
      <c r="O239" s="33"/>
      <c r="P239" s="33"/>
      <c r="Q239" s="33"/>
      <c r="R239" s="33"/>
      <c r="S239" s="33">
        <v>10.1</v>
      </c>
      <c r="T239" s="33"/>
      <c r="U239" s="33">
        <v>6.25</v>
      </c>
      <c r="V239" s="33"/>
      <c r="W239" s="33"/>
      <c r="X239" s="33"/>
      <c r="Y239" s="33"/>
      <c r="Z239" s="33">
        <v>20.9</v>
      </c>
      <c r="AA239" s="33"/>
      <c r="AB239" s="33"/>
      <c r="AC239" s="33">
        <v>3.3</v>
      </c>
      <c r="AD239" s="33"/>
      <c r="AE239" s="33">
        <v>59.9</v>
      </c>
      <c r="AF239" s="33"/>
      <c r="AG239" s="33"/>
      <c r="AH239" s="33"/>
      <c r="AI239" s="33"/>
      <c r="AJ239" s="33"/>
      <c r="AK239" s="33"/>
      <c r="AL239" s="33"/>
      <c r="AM239" s="33"/>
      <c r="AN239" s="33"/>
      <c r="AO239" s="33"/>
      <c r="AP239" s="33"/>
      <c r="AQ239" s="33"/>
      <c r="AR239" s="33"/>
      <c r="AS239" s="33"/>
      <c r="AT239" s="33"/>
      <c r="AU239" s="33"/>
      <c r="AV239" s="33">
        <v>4.8</v>
      </c>
      <c r="AW239" s="33"/>
      <c r="AX239" s="33">
        <v>0.41</v>
      </c>
      <c r="AY239" s="33"/>
      <c r="AZ239" s="33"/>
      <c r="BA239" s="33"/>
      <c r="BB239" s="33"/>
      <c r="BC239" s="33"/>
      <c r="BD239" s="33"/>
      <c r="BE239" s="33">
        <v>2.2999999999999998</v>
      </c>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v>3.5</v>
      </c>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c r="IV239" s="33"/>
      <c r="IW239" s="33"/>
      <c r="IX239" s="33"/>
      <c r="IY239" s="33"/>
      <c r="IZ239" s="33"/>
      <c r="JA239" s="33"/>
      <c r="JB239" s="33"/>
      <c r="JC239" s="33"/>
      <c r="JD239" s="33"/>
      <c r="JE239" s="33"/>
      <c r="JF239" s="33"/>
      <c r="JG239" s="33"/>
      <c r="JH239" s="33"/>
      <c r="JI239" s="33"/>
      <c r="JJ239" s="33"/>
      <c r="JK239" s="33"/>
      <c r="JL239" s="33"/>
      <c r="JM239" s="33"/>
      <c r="JN239" s="33"/>
      <c r="JO239" s="33"/>
      <c r="JP239" s="33"/>
      <c r="JQ239" s="33"/>
      <c r="JR239" s="33"/>
      <c r="KZ239" s="33"/>
      <c r="LA239" s="33"/>
      <c r="LB239" s="33"/>
      <c r="LC239" s="33"/>
      <c r="LD239" s="33"/>
      <c r="LE239" s="33"/>
      <c r="LF239" s="33"/>
      <c r="LG239" s="33"/>
      <c r="LH239" s="33"/>
      <c r="LI239" s="33"/>
      <c r="LJ239" s="33"/>
      <c r="LK239" s="33"/>
      <c r="LL239" s="33"/>
      <c r="LM239" s="33"/>
      <c r="LN239" s="33"/>
      <c r="LO239" s="33"/>
      <c r="LP239" s="44"/>
      <c r="LQ239" s="44"/>
      <c r="LR239" s="44"/>
      <c r="LS239" s="44"/>
      <c r="LT239" s="44"/>
      <c r="LU239" s="44"/>
      <c r="LV239" s="44"/>
    </row>
    <row r="240" spans="1:334" x14ac:dyDescent="0.2">
      <c r="A240" s="1" t="s">
        <v>8580</v>
      </c>
      <c r="B240" s="1" t="s">
        <v>8331</v>
      </c>
      <c r="D240" s="1" t="s">
        <v>8581</v>
      </c>
      <c r="E240" s="1" t="s">
        <v>8037</v>
      </c>
      <c r="F240" s="1" t="s">
        <v>6268</v>
      </c>
      <c r="I240" s="1">
        <v>2</v>
      </c>
      <c r="J240" s="1" t="s">
        <v>8567</v>
      </c>
      <c r="K240" s="1">
        <v>1985</v>
      </c>
      <c r="L240" s="1" t="s">
        <v>8568</v>
      </c>
      <c r="M240" s="1" t="s">
        <v>7657</v>
      </c>
      <c r="N240" s="17" t="s">
        <v>7945</v>
      </c>
      <c r="O240" s="33"/>
      <c r="P240" s="33"/>
      <c r="Q240" s="33"/>
      <c r="R240" s="33"/>
      <c r="S240" s="33">
        <v>10.3</v>
      </c>
      <c r="T240" s="33"/>
      <c r="U240" s="33">
        <v>6.25</v>
      </c>
      <c r="V240" s="33"/>
      <c r="W240" s="33"/>
      <c r="X240" s="33"/>
      <c r="Y240" s="33"/>
      <c r="Z240" s="33">
        <v>21.3</v>
      </c>
      <c r="AA240" s="33"/>
      <c r="AB240" s="33"/>
      <c r="AC240" s="33">
        <v>3.6</v>
      </c>
      <c r="AD240" s="33"/>
      <c r="AE240" s="33">
        <v>59.5</v>
      </c>
      <c r="AF240" s="33"/>
      <c r="AG240" s="33"/>
      <c r="AH240" s="33"/>
      <c r="AI240" s="33"/>
      <c r="AJ240" s="33"/>
      <c r="AK240" s="33"/>
      <c r="AL240" s="33"/>
      <c r="AM240" s="33"/>
      <c r="AN240" s="33"/>
      <c r="AO240" s="33"/>
      <c r="AP240" s="33"/>
      <c r="AQ240" s="33"/>
      <c r="AR240" s="33"/>
      <c r="AS240" s="33"/>
      <c r="AT240" s="33"/>
      <c r="AU240" s="33"/>
      <c r="AV240" s="33">
        <v>4.8100000000000005</v>
      </c>
      <c r="AW240" s="33"/>
      <c r="AX240" s="33">
        <v>0.53</v>
      </c>
      <c r="AY240" s="33"/>
      <c r="AZ240" s="33"/>
      <c r="BA240" s="33"/>
      <c r="BB240" s="33"/>
      <c r="BC240" s="33"/>
      <c r="BD240" s="33"/>
      <c r="BE240" s="33">
        <v>2</v>
      </c>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v>3.3</v>
      </c>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c r="IV240" s="33"/>
      <c r="IW240" s="33"/>
      <c r="IX240" s="33"/>
      <c r="IY240" s="33"/>
      <c r="IZ240" s="33"/>
      <c r="JA240" s="33"/>
      <c r="JB240" s="33"/>
      <c r="JC240" s="33"/>
      <c r="JD240" s="33"/>
      <c r="JE240" s="33"/>
      <c r="JF240" s="33"/>
      <c r="JG240" s="33"/>
      <c r="JH240" s="33"/>
      <c r="JI240" s="33"/>
      <c r="JJ240" s="33"/>
      <c r="JK240" s="33"/>
      <c r="JL240" s="33"/>
      <c r="JM240" s="33"/>
      <c r="JN240" s="33"/>
      <c r="JO240" s="33"/>
      <c r="JP240" s="33"/>
      <c r="JQ240" s="33"/>
      <c r="JR240" s="33"/>
      <c r="KZ240" s="33"/>
      <c r="LA240" s="33"/>
      <c r="LB240" s="33"/>
      <c r="LC240" s="33"/>
      <c r="LD240" s="33"/>
      <c r="LE240" s="33"/>
      <c r="LF240" s="33"/>
      <c r="LG240" s="33"/>
      <c r="LH240" s="33"/>
      <c r="LI240" s="33"/>
      <c r="LJ240" s="33"/>
      <c r="LK240" s="33"/>
      <c r="LL240" s="33"/>
      <c r="LM240" s="33"/>
      <c r="LN240" s="33"/>
      <c r="LO240" s="33"/>
      <c r="LP240" s="44"/>
      <c r="LQ240" s="44"/>
      <c r="LR240" s="44"/>
      <c r="LS240" s="44"/>
      <c r="LT240" s="44"/>
      <c r="LU240" s="44"/>
      <c r="LV240" s="44"/>
    </row>
    <row r="241" spans="1:334" x14ac:dyDescent="0.2">
      <c r="A241" s="1" t="s">
        <v>8582</v>
      </c>
      <c r="B241" s="1" t="s">
        <v>8331</v>
      </c>
      <c r="D241" s="1" t="s">
        <v>8583</v>
      </c>
      <c r="E241" s="1" t="s">
        <v>8037</v>
      </c>
      <c r="F241" s="1" t="s">
        <v>6268</v>
      </c>
      <c r="I241" s="1">
        <v>2</v>
      </c>
      <c r="J241" s="1" t="s">
        <v>8567</v>
      </c>
      <c r="K241" s="1">
        <v>1985</v>
      </c>
      <c r="L241" s="1" t="s">
        <v>8568</v>
      </c>
      <c r="M241" s="1" t="s">
        <v>7657</v>
      </c>
      <c r="N241" s="17" t="s">
        <v>7945</v>
      </c>
      <c r="O241" s="33"/>
      <c r="P241" s="33"/>
      <c r="Q241" s="33"/>
      <c r="R241" s="33"/>
      <c r="S241" s="33">
        <v>9.1</v>
      </c>
      <c r="T241" s="33"/>
      <c r="U241" s="33">
        <v>6.25</v>
      </c>
      <c r="V241" s="33"/>
      <c r="W241" s="33"/>
      <c r="X241" s="33"/>
      <c r="Y241" s="33"/>
      <c r="Z241" s="33">
        <v>21.6</v>
      </c>
      <c r="AA241" s="33"/>
      <c r="AB241" s="33"/>
      <c r="AC241" s="33">
        <v>3.2</v>
      </c>
      <c r="AD241" s="33"/>
      <c r="AE241" s="33">
        <v>60.9</v>
      </c>
      <c r="AF241" s="33"/>
      <c r="AG241" s="33"/>
      <c r="AH241" s="33"/>
      <c r="AI241" s="33"/>
      <c r="AJ241" s="33"/>
      <c r="AK241" s="33"/>
      <c r="AL241" s="33"/>
      <c r="AM241" s="33"/>
      <c r="AN241" s="33"/>
      <c r="AO241" s="33"/>
      <c r="AP241" s="33"/>
      <c r="AQ241" s="33"/>
      <c r="AR241" s="33"/>
      <c r="AS241" s="33"/>
      <c r="AT241" s="33"/>
      <c r="AU241" s="33"/>
      <c r="AV241" s="33">
        <v>4.46</v>
      </c>
      <c r="AW241" s="33"/>
      <c r="AX241" s="33">
        <v>0.57000000000000006</v>
      </c>
      <c r="AY241" s="33"/>
      <c r="AZ241" s="33"/>
      <c r="BA241" s="33"/>
      <c r="BB241" s="33"/>
      <c r="BC241" s="33"/>
      <c r="BD241" s="33"/>
      <c r="BE241" s="33">
        <v>1.8</v>
      </c>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v>3.4</v>
      </c>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c r="IV241" s="33"/>
      <c r="IW241" s="33"/>
      <c r="IX241" s="33"/>
      <c r="IY241" s="33"/>
      <c r="IZ241" s="33"/>
      <c r="JA241" s="33"/>
      <c r="JB241" s="33"/>
      <c r="JC241" s="33"/>
      <c r="JD241" s="33"/>
      <c r="JE241" s="33"/>
      <c r="JF241" s="33"/>
      <c r="JG241" s="33"/>
      <c r="JH241" s="33"/>
      <c r="JI241" s="33"/>
      <c r="JJ241" s="33"/>
      <c r="JK241" s="33"/>
      <c r="JL241" s="33"/>
      <c r="JM241" s="33"/>
      <c r="JN241" s="33"/>
      <c r="JO241" s="33"/>
      <c r="JP241" s="33"/>
      <c r="JQ241" s="33"/>
      <c r="JR241" s="33"/>
      <c r="KZ241" s="33"/>
      <c r="LA241" s="33"/>
      <c r="LB241" s="33"/>
      <c r="LC241" s="33"/>
      <c r="LD241" s="33"/>
      <c r="LE241" s="33"/>
      <c r="LF241" s="33"/>
      <c r="LG241" s="33"/>
      <c r="LH241" s="33"/>
      <c r="LI241" s="33"/>
      <c r="LJ241" s="33"/>
      <c r="LK241" s="33"/>
      <c r="LL241" s="33"/>
      <c r="LM241" s="33"/>
      <c r="LN241" s="33"/>
      <c r="LO241" s="33"/>
      <c r="LP241" s="44"/>
      <c r="LQ241" s="44"/>
      <c r="LR241" s="44"/>
      <c r="LS241" s="44"/>
      <c r="LT241" s="44"/>
      <c r="LU241" s="44"/>
      <c r="LV241" s="44"/>
    </row>
    <row r="242" spans="1:334" x14ac:dyDescent="0.2">
      <c r="A242" s="1" t="s">
        <v>8584</v>
      </c>
      <c r="B242" s="1" t="s">
        <v>7232</v>
      </c>
      <c r="D242" s="1" t="s">
        <v>8585</v>
      </c>
      <c r="E242" s="1" t="s">
        <v>7</v>
      </c>
      <c r="F242" s="1" t="s">
        <v>8586</v>
      </c>
      <c r="K242" s="1">
        <v>1997</v>
      </c>
      <c r="L242" s="1" t="s">
        <v>8587</v>
      </c>
      <c r="M242" s="1" t="s">
        <v>7657</v>
      </c>
      <c r="N242" s="17" t="s">
        <v>7945</v>
      </c>
      <c r="O242" s="33"/>
      <c r="P242" s="33"/>
      <c r="Q242" s="33"/>
      <c r="R242" s="33"/>
      <c r="S242" s="33">
        <v>11.5</v>
      </c>
      <c r="T242" s="33"/>
      <c r="U242" s="33"/>
      <c r="V242" s="33"/>
      <c r="W242" s="33"/>
      <c r="X242" s="33"/>
      <c r="Y242" s="33"/>
      <c r="Z242" s="33"/>
      <c r="AA242" s="33"/>
      <c r="AB242" s="33"/>
      <c r="AC242" s="33">
        <v>4.95</v>
      </c>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v>1.68</v>
      </c>
      <c r="FP242" s="33">
        <v>0.09</v>
      </c>
      <c r="FQ242" s="33">
        <v>0.41</v>
      </c>
      <c r="FR242" s="33">
        <v>9.2200000000000006</v>
      </c>
      <c r="FS242" s="33"/>
      <c r="FT242" s="33"/>
      <c r="FU242" s="33"/>
      <c r="FV242" s="33"/>
      <c r="FW242" s="33">
        <v>0.18</v>
      </c>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v>0.47025</v>
      </c>
      <c r="GY242" s="33"/>
      <c r="GZ242" s="33">
        <v>8.9099999999999999E-2</v>
      </c>
      <c r="HA242" s="33"/>
      <c r="HB242" s="33"/>
      <c r="HC242" s="33"/>
      <c r="HD242" s="33"/>
      <c r="HE242" s="33"/>
      <c r="HF242" s="33"/>
      <c r="HG242" s="33"/>
      <c r="HH242" s="33"/>
      <c r="HI242" s="33"/>
      <c r="HJ242" s="33"/>
      <c r="HK242" s="33"/>
      <c r="HL242" s="33"/>
      <c r="HM242" s="33"/>
      <c r="HN242" s="33"/>
      <c r="HO242" s="33"/>
      <c r="HP242" s="33"/>
      <c r="HQ242" s="33"/>
      <c r="HR242" s="33"/>
      <c r="HS242" s="33"/>
      <c r="HT242" s="33">
        <v>0.9405</v>
      </c>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v>3.2620500000000003</v>
      </c>
      <c r="IS242" s="33"/>
      <c r="IT242" s="33"/>
      <c r="IU242" s="33"/>
      <c r="IV242" s="33"/>
      <c r="IW242" s="33"/>
      <c r="IX242" s="33"/>
      <c r="IY242" s="33"/>
      <c r="IZ242" s="33"/>
      <c r="JA242" s="33"/>
      <c r="JB242" s="33">
        <v>0.18809999999999999</v>
      </c>
      <c r="JC242" s="33"/>
      <c r="JD242" s="33"/>
      <c r="JE242" s="33"/>
      <c r="JF242" s="33"/>
      <c r="JG242" s="33"/>
      <c r="JH242" s="33"/>
      <c r="JI242" s="33"/>
      <c r="JJ242" s="33"/>
      <c r="JK242" s="33"/>
      <c r="JL242" s="33"/>
      <c r="JM242" s="33"/>
      <c r="JN242" s="33"/>
      <c r="JO242" s="33"/>
      <c r="JP242" s="33"/>
      <c r="JQ242" s="33"/>
      <c r="JR242" s="33"/>
      <c r="KZ242" s="33"/>
      <c r="LA242" s="33"/>
      <c r="LB242" s="33"/>
      <c r="LC242" s="33"/>
      <c r="LD242" s="33"/>
      <c r="LE242" s="33"/>
      <c r="LF242" s="33"/>
      <c r="LG242" s="33"/>
      <c r="LH242" s="33"/>
      <c r="LI242" s="33"/>
      <c r="LJ242" s="33"/>
      <c r="LK242" s="33"/>
      <c r="LL242" s="33"/>
      <c r="LM242" s="33"/>
      <c r="LN242" s="33"/>
      <c r="LO242" s="33"/>
      <c r="LP242" s="44"/>
      <c r="LQ242" s="44"/>
      <c r="LR242" s="44"/>
      <c r="LS242" s="44"/>
      <c r="LT242" s="44"/>
      <c r="LU242" s="44"/>
      <c r="LV242" s="44"/>
    </row>
    <row r="243" spans="1:334" x14ac:dyDescent="0.2">
      <c r="A243" s="1" t="s">
        <v>8588</v>
      </c>
      <c r="B243" s="1" t="s">
        <v>7232</v>
      </c>
      <c r="D243" s="1" t="s">
        <v>8589</v>
      </c>
      <c r="E243" s="1" t="s">
        <v>7</v>
      </c>
      <c r="F243" s="1" t="s">
        <v>8094</v>
      </c>
      <c r="K243" s="1">
        <v>1997</v>
      </c>
      <c r="L243" s="1" t="s">
        <v>8587</v>
      </c>
      <c r="M243" s="1" t="s">
        <v>7657</v>
      </c>
      <c r="N243" s="17" t="s">
        <v>7945</v>
      </c>
      <c r="O243" s="33"/>
      <c r="P243" s="33"/>
      <c r="Q243" s="33"/>
      <c r="R243" s="33"/>
      <c r="S243" s="33">
        <v>11.63</v>
      </c>
      <c r="T243" s="33"/>
      <c r="U243" s="33"/>
      <c r="V243" s="33"/>
      <c r="W243" s="33"/>
      <c r="X243" s="33"/>
      <c r="Y243" s="33"/>
      <c r="Z243" s="33"/>
      <c r="AA243" s="33"/>
      <c r="AB243" s="33"/>
      <c r="AC243" s="33">
        <v>0.91</v>
      </c>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v>0.03</v>
      </c>
      <c r="FP243" s="33"/>
      <c r="FQ243" s="33">
        <v>0.15</v>
      </c>
      <c r="FR243" s="33">
        <v>6.58</v>
      </c>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v>0.10101</v>
      </c>
      <c r="GY243" s="33"/>
      <c r="GZ243" s="33">
        <v>2.366E-2</v>
      </c>
      <c r="HA243" s="33">
        <v>9.1000000000000011E-4</v>
      </c>
      <c r="HB243" s="33"/>
      <c r="HC243" s="33">
        <v>7.2800000000000009E-3</v>
      </c>
      <c r="HD243" s="33"/>
      <c r="HE243" s="33">
        <v>9.1000000000000011E-4</v>
      </c>
      <c r="HF243" s="33"/>
      <c r="HG243" s="33"/>
      <c r="HH243" s="33"/>
      <c r="HI243" s="33"/>
      <c r="HJ243" s="33"/>
      <c r="HK243" s="33"/>
      <c r="HL243" s="33"/>
      <c r="HM243" s="33"/>
      <c r="HN243" s="33"/>
      <c r="HO243" s="33"/>
      <c r="HP243" s="33"/>
      <c r="HQ243" s="33"/>
      <c r="HR243" s="33"/>
      <c r="HS243" s="33"/>
      <c r="HT243" s="33">
        <v>0.23751</v>
      </c>
      <c r="HU243" s="33"/>
      <c r="HV243" s="33"/>
      <c r="HW243" s="33"/>
      <c r="HX243" s="33"/>
      <c r="HY243" s="33"/>
      <c r="HZ243" s="33"/>
      <c r="IA243" s="33"/>
      <c r="IB243" s="33">
        <v>9.1000000000000011E-4</v>
      </c>
      <c r="IC243" s="33"/>
      <c r="ID243" s="33"/>
      <c r="IE243" s="33"/>
      <c r="IF243" s="33"/>
      <c r="IG243" s="33"/>
      <c r="IH243" s="33"/>
      <c r="II243" s="33"/>
      <c r="IJ243" s="33">
        <v>9.1000000000000011E-4</v>
      </c>
      <c r="IK243" s="33"/>
      <c r="IL243" s="33"/>
      <c r="IM243" s="33"/>
      <c r="IN243" s="33"/>
      <c r="IO243" s="33"/>
      <c r="IP243" s="33"/>
      <c r="IQ243" s="33"/>
      <c r="IR243" s="33">
        <v>6.5520000000000009E-2</v>
      </c>
      <c r="IS243" s="33"/>
      <c r="IT243" s="33"/>
      <c r="IU243" s="33"/>
      <c r="IV243" s="33"/>
      <c r="IW243" s="33"/>
      <c r="IX243" s="33"/>
      <c r="IY243" s="33"/>
      <c r="IZ243" s="33">
        <v>1.8200000000000002E-3</v>
      </c>
      <c r="JA243" s="33"/>
      <c r="JB243" s="33">
        <v>0.44681000000000004</v>
      </c>
      <c r="JC243" s="33"/>
      <c r="JD243" s="33"/>
      <c r="JE243" s="33"/>
      <c r="JF243" s="33">
        <v>9.1000000000000011E-4</v>
      </c>
      <c r="JG243" s="33"/>
      <c r="JH243" s="33"/>
      <c r="JI243" s="33"/>
      <c r="JJ243" s="33"/>
      <c r="JK243" s="33"/>
      <c r="JL243" s="33"/>
      <c r="JM243" s="33"/>
      <c r="JN243" s="33"/>
      <c r="JO243" s="33"/>
      <c r="JP243" s="33"/>
      <c r="JQ243" s="33"/>
      <c r="JR243" s="33"/>
      <c r="KZ243" s="33"/>
      <c r="LA243" s="33"/>
      <c r="LB243" s="33"/>
      <c r="LC243" s="33"/>
      <c r="LD243" s="33"/>
      <c r="LE243" s="33"/>
      <c r="LF243" s="33"/>
      <c r="LG243" s="33"/>
      <c r="LH243" s="33"/>
      <c r="LI243" s="33"/>
      <c r="LJ243" s="33"/>
      <c r="LK243" s="33"/>
      <c r="LL243" s="33"/>
      <c r="LM243" s="33"/>
      <c r="LN243" s="33"/>
      <c r="LO243" s="33"/>
      <c r="LP243" s="44"/>
      <c r="LQ243" s="44"/>
      <c r="LR243" s="44"/>
      <c r="LS243" s="44"/>
      <c r="LT243" s="44"/>
      <c r="LU243" s="44"/>
      <c r="LV243" s="44"/>
    </row>
    <row r="244" spans="1:334" x14ac:dyDescent="0.2">
      <c r="A244" s="1" t="s">
        <v>8590</v>
      </c>
      <c r="B244" s="1" t="s">
        <v>7232</v>
      </c>
      <c r="D244" s="1" t="s">
        <v>8591</v>
      </c>
      <c r="E244" s="1" t="s">
        <v>7</v>
      </c>
      <c r="F244" s="1" t="s">
        <v>8592</v>
      </c>
      <c r="K244" s="1">
        <v>1997</v>
      </c>
      <c r="L244" s="1" t="s">
        <v>8587</v>
      </c>
      <c r="M244" s="1" t="s">
        <v>7657</v>
      </c>
      <c r="N244" s="17" t="s">
        <v>7945</v>
      </c>
      <c r="O244" s="33"/>
      <c r="P244" s="33"/>
      <c r="Q244" s="33"/>
      <c r="R244" s="33"/>
      <c r="S244" s="33">
        <v>11.32</v>
      </c>
      <c r="T244" s="33"/>
      <c r="U244" s="33"/>
      <c r="V244" s="33"/>
      <c r="W244" s="33"/>
      <c r="X244" s="33"/>
      <c r="Y244" s="33"/>
      <c r="Z244" s="33"/>
      <c r="AA244" s="33"/>
      <c r="AB244" s="33"/>
      <c r="AC244" s="33">
        <v>0.8</v>
      </c>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v>0.09</v>
      </c>
      <c r="FP244" s="33">
        <v>0.01</v>
      </c>
      <c r="FQ244" s="33">
        <v>0.78</v>
      </c>
      <c r="FR244" s="33">
        <v>11.66</v>
      </c>
      <c r="FS244" s="33"/>
      <c r="FT244" s="33">
        <v>0.02</v>
      </c>
      <c r="FU244" s="33">
        <v>0.01</v>
      </c>
      <c r="FV244" s="33">
        <v>0.01</v>
      </c>
      <c r="FW244" s="33">
        <v>0.01</v>
      </c>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v>0.19840000000000002</v>
      </c>
      <c r="GY244" s="33"/>
      <c r="GZ244" s="33">
        <v>4.8000000000000008E-2</v>
      </c>
      <c r="HA244" s="33">
        <v>9.5999999999999992E-3</v>
      </c>
      <c r="HB244" s="33"/>
      <c r="HC244" s="33">
        <v>1.7600000000000001E-2</v>
      </c>
      <c r="HD244" s="33"/>
      <c r="HE244" s="33">
        <v>1.1199999999999998E-2</v>
      </c>
      <c r="HF244" s="33"/>
      <c r="HG244" s="33"/>
      <c r="HH244" s="33"/>
      <c r="HI244" s="33"/>
      <c r="HJ244" s="33"/>
      <c r="HK244" s="33"/>
      <c r="HL244" s="33"/>
      <c r="HM244" s="33"/>
      <c r="HN244" s="33"/>
      <c r="HO244" s="33"/>
      <c r="HP244" s="33"/>
      <c r="HQ244" s="33"/>
      <c r="HR244" s="33"/>
      <c r="HS244" s="33"/>
      <c r="HT244" s="33">
        <v>4.3200000000000002E-2</v>
      </c>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v>0.29680000000000001</v>
      </c>
      <c r="IS244" s="33"/>
      <c r="IT244" s="33"/>
      <c r="IU244" s="33"/>
      <c r="IV244" s="33"/>
      <c r="IW244" s="33"/>
      <c r="IX244" s="33"/>
      <c r="IY244" s="33"/>
      <c r="IZ244" s="33"/>
      <c r="JA244" s="33"/>
      <c r="JB244" s="33">
        <v>0.1744</v>
      </c>
      <c r="JC244" s="33"/>
      <c r="JD244" s="33"/>
      <c r="JE244" s="33"/>
      <c r="JF244" s="33"/>
      <c r="JG244" s="33"/>
      <c r="JH244" s="33"/>
      <c r="JI244" s="33"/>
      <c r="JJ244" s="33"/>
      <c r="JK244" s="33"/>
      <c r="JL244" s="33"/>
      <c r="JM244" s="33"/>
      <c r="JN244" s="33"/>
      <c r="JO244" s="33"/>
      <c r="JP244" s="33"/>
      <c r="JQ244" s="33"/>
      <c r="JR244" s="33"/>
      <c r="KZ244" s="33"/>
      <c r="LA244" s="33"/>
      <c r="LB244" s="33"/>
      <c r="LC244" s="33"/>
      <c r="LD244" s="33"/>
      <c r="LE244" s="33"/>
      <c r="LF244" s="33"/>
      <c r="LG244" s="33"/>
      <c r="LH244" s="33"/>
      <c r="LI244" s="33"/>
      <c r="LJ244" s="33"/>
      <c r="LK244" s="33"/>
      <c r="LL244" s="33"/>
      <c r="LM244" s="33"/>
      <c r="LN244" s="33"/>
      <c r="LO244" s="33"/>
      <c r="LP244" s="44"/>
      <c r="LQ244" s="44"/>
      <c r="LR244" s="44"/>
      <c r="LS244" s="44"/>
      <c r="LT244" s="44"/>
      <c r="LU244" s="44"/>
      <c r="LV244" s="44"/>
    </row>
    <row r="245" spans="1:334" x14ac:dyDescent="0.2">
      <c r="A245" s="1" t="s">
        <v>8593</v>
      </c>
      <c r="B245" s="1" t="s">
        <v>7232</v>
      </c>
      <c r="D245" s="1" t="s">
        <v>8594</v>
      </c>
      <c r="E245" s="1" t="s">
        <v>7</v>
      </c>
      <c r="F245" s="1" t="s">
        <v>8595</v>
      </c>
      <c r="K245" s="1">
        <v>1997</v>
      </c>
      <c r="L245" s="1" t="s">
        <v>8587</v>
      </c>
      <c r="M245" s="1" t="s">
        <v>7657</v>
      </c>
      <c r="N245" s="17" t="s">
        <v>7945</v>
      </c>
      <c r="O245" s="33"/>
      <c r="P245" s="33"/>
      <c r="Q245" s="33"/>
      <c r="R245" s="33"/>
      <c r="S245" s="33">
        <v>11.39</v>
      </c>
      <c r="T245" s="33"/>
      <c r="U245" s="33"/>
      <c r="V245" s="33"/>
      <c r="W245" s="33"/>
      <c r="X245" s="33"/>
      <c r="Y245" s="33"/>
      <c r="Z245" s="33"/>
      <c r="AA245" s="33"/>
      <c r="AB245" s="33"/>
      <c r="AC245" s="33">
        <v>0.65</v>
      </c>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v>0.03</v>
      </c>
      <c r="FP245" s="33"/>
      <c r="FQ245" s="33">
        <v>0.69</v>
      </c>
      <c r="FR245" s="33">
        <v>6.63</v>
      </c>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v>0.12740000000000001</v>
      </c>
      <c r="GY245" s="33"/>
      <c r="GZ245" s="33">
        <v>1.5600000000000001E-2</v>
      </c>
      <c r="HA245" s="33">
        <v>6.5000000000000006E-3</v>
      </c>
      <c r="HB245" s="33"/>
      <c r="HC245" s="33">
        <v>3.0550000000000001E-2</v>
      </c>
      <c r="HD245" s="33"/>
      <c r="HE245" s="33">
        <v>1.8849999999999999E-2</v>
      </c>
      <c r="HF245" s="33"/>
      <c r="HG245" s="33"/>
      <c r="HH245" s="33"/>
      <c r="HI245" s="33"/>
      <c r="HJ245" s="33"/>
      <c r="HK245" s="33"/>
      <c r="HL245" s="33"/>
      <c r="HM245" s="33"/>
      <c r="HN245" s="33"/>
      <c r="HO245" s="33"/>
      <c r="HP245" s="33"/>
      <c r="HQ245" s="33"/>
      <c r="HR245" s="33"/>
      <c r="HS245" s="33"/>
      <c r="HT245" s="33">
        <v>9.6850000000000006E-2</v>
      </c>
      <c r="HU245" s="33"/>
      <c r="HV245" s="33"/>
      <c r="HW245" s="33"/>
      <c r="HX245" s="33"/>
      <c r="HY245" s="33"/>
      <c r="HZ245" s="33"/>
      <c r="IA245" s="33"/>
      <c r="IB245" s="33">
        <v>2.5999999999999999E-3</v>
      </c>
      <c r="IC245" s="33"/>
      <c r="ID245" s="33"/>
      <c r="IE245" s="33"/>
      <c r="IF245" s="33"/>
      <c r="IG245" s="33"/>
      <c r="IH245" s="33"/>
      <c r="II245" s="33"/>
      <c r="IJ245" s="33"/>
      <c r="IK245" s="33"/>
      <c r="IL245" s="33"/>
      <c r="IM245" s="33"/>
      <c r="IN245" s="33"/>
      <c r="IO245" s="33"/>
      <c r="IP245" s="33"/>
      <c r="IQ245" s="33"/>
      <c r="IR245" s="33">
        <v>0.2457</v>
      </c>
      <c r="IS245" s="33"/>
      <c r="IT245" s="33"/>
      <c r="IU245" s="33"/>
      <c r="IV245" s="33"/>
      <c r="IW245" s="33"/>
      <c r="IX245" s="33"/>
      <c r="IY245" s="33"/>
      <c r="IZ245" s="33">
        <v>5.1999999999999998E-3</v>
      </c>
      <c r="JA245" s="33"/>
      <c r="JB245" s="33">
        <v>8.4500000000000006E-2</v>
      </c>
      <c r="JC245" s="33"/>
      <c r="JD245" s="33"/>
      <c r="JE245" s="33"/>
      <c r="JF245" s="33"/>
      <c r="JG245" s="33"/>
      <c r="JH245" s="33"/>
      <c r="JI245" s="33"/>
      <c r="JJ245" s="33"/>
      <c r="JK245" s="33"/>
      <c r="JL245" s="33"/>
      <c r="JM245" s="33"/>
      <c r="JN245" s="33"/>
      <c r="JO245" s="33"/>
      <c r="JP245" s="33"/>
      <c r="JQ245" s="33"/>
      <c r="JR245" s="33"/>
      <c r="KZ245" s="33"/>
      <c r="LA245" s="33"/>
      <c r="LB245" s="33"/>
      <c r="LC245" s="33"/>
      <c r="LD245" s="33"/>
      <c r="LE245" s="33"/>
      <c r="LF245" s="33"/>
      <c r="LG245" s="33"/>
      <c r="LH245" s="33"/>
      <c r="LI245" s="33"/>
      <c r="LJ245" s="33"/>
      <c r="LK245" s="33"/>
      <c r="LL245" s="33"/>
      <c r="LM245" s="33"/>
      <c r="LN245" s="33"/>
      <c r="LO245" s="33"/>
      <c r="LP245" s="44"/>
      <c r="LQ245" s="44"/>
      <c r="LR245" s="44"/>
      <c r="LS245" s="44"/>
      <c r="LT245" s="44"/>
      <c r="LU245" s="44"/>
      <c r="LV245" s="44"/>
    </row>
    <row r="246" spans="1:334" x14ac:dyDescent="0.2">
      <c r="A246" s="1" t="s">
        <v>8596</v>
      </c>
      <c r="B246" s="1" t="s">
        <v>7232</v>
      </c>
      <c r="D246" s="1" t="s">
        <v>8597</v>
      </c>
      <c r="E246" s="1" t="s">
        <v>8099</v>
      </c>
      <c r="F246" s="1" t="s">
        <v>8586</v>
      </c>
      <c r="J246" s="1" t="s">
        <v>8598</v>
      </c>
      <c r="K246" s="1">
        <v>2010</v>
      </c>
      <c r="L246" s="1" t="s">
        <v>8599</v>
      </c>
      <c r="M246" s="1" t="s">
        <v>7657</v>
      </c>
      <c r="N246" s="17" t="s">
        <v>7945</v>
      </c>
      <c r="O246" s="33"/>
      <c r="P246" s="33"/>
      <c r="Q246" s="33"/>
      <c r="R246" s="33"/>
      <c r="S246" s="33">
        <v>6.5</v>
      </c>
      <c r="T246" s="33"/>
      <c r="U246" s="33"/>
      <c r="V246" s="33"/>
      <c r="W246" s="33"/>
      <c r="X246" s="33"/>
      <c r="Y246" s="33"/>
      <c r="Z246" s="33">
        <v>22.253</v>
      </c>
      <c r="AA246" s="33"/>
      <c r="AB246" s="33"/>
      <c r="AC246" s="33">
        <v>3.927</v>
      </c>
      <c r="AD246" s="33"/>
      <c r="AE246" s="33"/>
      <c r="AF246" s="33">
        <v>61.6</v>
      </c>
      <c r="AG246" s="33"/>
      <c r="AH246" s="33"/>
      <c r="AI246" s="33"/>
      <c r="AJ246" s="33"/>
      <c r="AK246" s="33"/>
      <c r="AL246" s="33"/>
      <c r="AM246" s="33"/>
      <c r="AN246" s="33"/>
      <c r="AO246" s="33"/>
      <c r="AP246" s="33"/>
      <c r="AQ246" s="33"/>
      <c r="AR246" s="33"/>
      <c r="AS246" s="33"/>
      <c r="AT246" s="33"/>
      <c r="AU246" s="33"/>
      <c r="AV246" s="33"/>
      <c r="AW246" s="33"/>
      <c r="AX246" s="33">
        <v>0.43430750000000001</v>
      </c>
      <c r="AY246" s="33">
        <v>5.0490000000000004</v>
      </c>
      <c r="AZ246" s="33"/>
      <c r="BA246" s="33"/>
      <c r="BB246" s="33">
        <v>13.277000000000001</v>
      </c>
      <c r="BC246" s="33"/>
      <c r="BD246" s="33"/>
      <c r="BE246" s="33">
        <v>1.6830000000000001</v>
      </c>
      <c r="BF246" s="33"/>
      <c r="BG246" s="33">
        <v>12.285900000000002</v>
      </c>
      <c r="BH246" s="33">
        <v>0.99109999999999998</v>
      </c>
      <c r="BI246" s="33"/>
      <c r="BJ246" s="33"/>
      <c r="BK246" s="33"/>
      <c r="BL246" s="33"/>
      <c r="BM246" s="33"/>
      <c r="BN246" s="33"/>
      <c r="BO246" s="33"/>
      <c r="BP246" s="33"/>
      <c r="BQ246" s="33"/>
      <c r="BR246" s="33"/>
      <c r="BS246" s="33"/>
      <c r="BT246" s="33"/>
      <c r="BU246" s="33"/>
      <c r="BV246" s="33"/>
      <c r="BW246" s="33"/>
      <c r="BX246" s="33">
        <v>6.9376999999999995</v>
      </c>
      <c r="BY246" s="33">
        <v>16.371850000000002</v>
      </c>
      <c r="BZ246" s="33">
        <v>8.8731500000000008</v>
      </c>
      <c r="CA246" s="33"/>
      <c r="CB246" s="33"/>
      <c r="CC246" s="33"/>
      <c r="CD246" s="33"/>
      <c r="CE246" s="33"/>
      <c r="CF246" s="33"/>
      <c r="CG246" s="33"/>
      <c r="CH246" s="33"/>
      <c r="CI246" s="33"/>
      <c r="CJ246" s="33"/>
      <c r="CK246" s="33"/>
      <c r="CL246" s="33"/>
      <c r="CM246" s="33"/>
      <c r="CN246" s="33"/>
      <c r="CO246" s="33">
        <v>3.6464999999999996</v>
      </c>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c r="IV246" s="33"/>
      <c r="IW246" s="33"/>
      <c r="IX246" s="33"/>
      <c r="IY246" s="33"/>
      <c r="IZ246" s="33"/>
      <c r="JA246" s="33"/>
      <c r="JB246" s="33"/>
      <c r="JC246" s="33"/>
      <c r="JD246" s="33"/>
      <c r="JE246" s="33"/>
      <c r="JF246" s="33"/>
      <c r="JG246" s="33"/>
      <c r="JH246" s="33"/>
      <c r="JI246" s="33"/>
      <c r="JJ246" s="33"/>
      <c r="JK246" s="33"/>
      <c r="JL246" s="33"/>
      <c r="JM246" s="33"/>
      <c r="JN246" s="33"/>
      <c r="JO246" s="33"/>
      <c r="JP246" s="33"/>
      <c r="JQ246" s="33"/>
      <c r="JR246" s="33"/>
      <c r="KZ246" s="33"/>
      <c r="LA246" s="33"/>
      <c r="LB246" s="33"/>
      <c r="LC246" s="33"/>
      <c r="LD246" s="33"/>
      <c r="LE246" s="33"/>
      <c r="LF246" s="33"/>
      <c r="LG246" s="33"/>
      <c r="LH246" s="33"/>
      <c r="LI246" s="33"/>
      <c r="LJ246" s="33"/>
      <c r="LK246" s="33"/>
      <c r="LL246" s="33"/>
      <c r="LM246" s="33"/>
      <c r="LN246" s="33"/>
      <c r="LO246" s="33"/>
      <c r="LP246" s="44"/>
      <c r="LQ246" s="44"/>
      <c r="LR246" s="44"/>
      <c r="LS246" s="44"/>
      <c r="LT246" s="44"/>
      <c r="LU246" s="44"/>
      <c r="LV246" s="44"/>
    </row>
    <row r="247" spans="1:334" x14ac:dyDescent="0.2">
      <c r="A247" s="1" t="s">
        <v>8600</v>
      </c>
      <c r="B247" s="1" t="s">
        <v>7232</v>
      </c>
      <c r="D247" s="1" t="s">
        <v>8601</v>
      </c>
      <c r="E247" s="1" t="s">
        <v>8099</v>
      </c>
      <c r="F247" s="1" t="s">
        <v>8586</v>
      </c>
      <c r="J247" s="1" t="s">
        <v>8598</v>
      </c>
      <c r="K247" s="1">
        <v>2010</v>
      </c>
      <c r="L247" s="1" t="s">
        <v>8599</v>
      </c>
      <c r="M247" s="1" t="s">
        <v>7657</v>
      </c>
      <c r="N247" s="17" t="s">
        <v>7945</v>
      </c>
      <c r="O247" s="33"/>
      <c r="P247" s="33"/>
      <c r="Q247" s="33"/>
      <c r="R247" s="33"/>
      <c r="S247" s="33">
        <v>9.4</v>
      </c>
      <c r="T247" s="33"/>
      <c r="U247" s="33"/>
      <c r="V247" s="33"/>
      <c r="W247" s="33"/>
      <c r="X247" s="33"/>
      <c r="Y247" s="33"/>
      <c r="Z247" s="33">
        <v>13.046399999999998</v>
      </c>
      <c r="AA247" s="33"/>
      <c r="AB247" s="33"/>
      <c r="AC247" s="33">
        <v>7.0667999999999997</v>
      </c>
      <c r="AD247" s="33"/>
      <c r="AE247" s="33"/>
      <c r="AF247" s="33">
        <v>65.5</v>
      </c>
      <c r="AG247" s="33"/>
      <c r="AH247" s="33"/>
      <c r="AI247" s="33"/>
      <c r="AJ247" s="33"/>
      <c r="AK247" s="33"/>
      <c r="AL247" s="33"/>
      <c r="AM247" s="33"/>
      <c r="AN247" s="33"/>
      <c r="AO247" s="33"/>
      <c r="AP247" s="33"/>
      <c r="AQ247" s="33"/>
      <c r="AR247" s="33"/>
      <c r="AS247" s="33"/>
      <c r="AT247" s="33"/>
      <c r="AU247" s="33"/>
      <c r="AV247" s="33"/>
      <c r="AW247" s="33"/>
      <c r="AX247" s="33">
        <v>0.2372814</v>
      </c>
      <c r="AY247" s="33">
        <v>4.4756400000000003</v>
      </c>
      <c r="AZ247" s="33"/>
      <c r="BA247" s="33"/>
      <c r="BB247" s="33">
        <v>16.398600000000002</v>
      </c>
      <c r="BC247" s="33"/>
      <c r="BD247" s="33"/>
      <c r="BE247" s="33">
        <v>8.5163999999999991</v>
      </c>
      <c r="BF247" s="33"/>
      <c r="BG247" s="33">
        <v>14.224199999999998</v>
      </c>
      <c r="BH247" s="33">
        <v>2.1743999999999999</v>
      </c>
      <c r="BI247" s="33"/>
      <c r="BJ247" s="33"/>
      <c r="BK247" s="33"/>
      <c r="BL247" s="33"/>
      <c r="BM247" s="33"/>
      <c r="BN247" s="33"/>
      <c r="BO247" s="33"/>
      <c r="BP247" s="33"/>
      <c r="BQ247" s="33"/>
      <c r="BR247" s="33"/>
      <c r="BS247" s="33"/>
      <c r="BT247" s="33"/>
      <c r="BU247" s="33"/>
      <c r="BV247" s="33"/>
      <c r="BW247" s="33"/>
      <c r="BX247" s="33">
        <v>3.1166399999999999</v>
      </c>
      <c r="BY247" s="33">
        <v>8.4258000000000006</v>
      </c>
      <c r="BZ247" s="33">
        <v>2.3646599999999998</v>
      </c>
      <c r="CA247" s="33"/>
      <c r="CB247" s="33"/>
      <c r="CC247" s="33"/>
      <c r="CD247" s="33"/>
      <c r="CE247" s="33"/>
      <c r="CF247" s="33"/>
      <c r="CG247" s="33"/>
      <c r="CH247" s="33"/>
      <c r="CI247" s="33"/>
      <c r="CJ247" s="33"/>
      <c r="CK247" s="33"/>
      <c r="CL247" s="33"/>
      <c r="CM247" s="33"/>
      <c r="CN247" s="33"/>
      <c r="CO247" s="33">
        <v>2.6273999999999997</v>
      </c>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c r="IV247" s="33"/>
      <c r="IW247" s="33"/>
      <c r="IX247" s="33"/>
      <c r="IY247" s="33"/>
      <c r="IZ247" s="33"/>
      <c r="JA247" s="33"/>
      <c r="JB247" s="33"/>
      <c r="JC247" s="33"/>
      <c r="JD247" s="33"/>
      <c r="JE247" s="33"/>
      <c r="JF247" s="33"/>
      <c r="JG247" s="33"/>
      <c r="JH247" s="33"/>
      <c r="JI247" s="33"/>
      <c r="JJ247" s="33"/>
      <c r="JK247" s="33"/>
      <c r="JL247" s="33"/>
      <c r="JM247" s="33"/>
      <c r="JN247" s="33"/>
      <c r="JO247" s="33"/>
      <c r="JP247" s="33"/>
      <c r="JQ247" s="33"/>
      <c r="JR247" s="33"/>
      <c r="KZ247" s="33"/>
      <c r="LA247" s="33"/>
      <c r="LB247" s="33"/>
      <c r="LC247" s="33"/>
      <c r="LD247" s="33"/>
      <c r="LE247" s="33"/>
      <c r="LF247" s="33"/>
      <c r="LG247" s="33"/>
      <c r="LH247" s="33"/>
      <c r="LI247" s="33"/>
      <c r="LJ247" s="33"/>
      <c r="LK247" s="33"/>
      <c r="LL247" s="33"/>
      <c r="LM247" s="33"/>
      <c r="LN247" s="33"/>
      <c r="LO247" s="33"/>
      <c r="LP247" s="44"/>
      <c r="LQ247" s="44"/>
      <c r="LR247" s="44"/>
      <c r="LS247" s="44"/>
      <c r="LT247" s="44"/>
      <c r="LU247" s="44"/>
      <c r="LV247" s="44"/>
    </row>
    <row r="248" spans="1:334" x14ac:dyDescent="0.2">
      <c r="A248" s="1" t="s">
        <v>8602</v>
      </c>
      <c r="B248" s="1" t="s">
        <v>7232</v>
      </c>
      <c r="D248" s="1" t="s">
        <v>8603</v>
      </c>
      <c r="E248" s="1" t="s">
        <v>8099</v>
      </c>
      <c r="F248" s="1" t="s">
        <v>8586</v>
      </c>
      <c r="J248" s="1" t="s">
        <v>8598</v>
      </c>
      <c r="K248" s="1">
        <v>2010</v>
      </c>
      <c r="L248" s="1" t="s">
        <v>8599</v>
      </c>
      <c r="M248" s="1" t="s">
        <v>7657</v>
      </c>
      <c r="N248" s="17" t="s">
        <v>7945</v>
      </c>
      <c r="O248" s="33"/>
      <c r="P248" s="33"/>
      <c r="Q248" s="33"/>
      <c r="R248" s="33"/>
      <c r="S248" s="33">
        <v>4.5999999999999996</v>
      </c>
      <c r="T248" s="33"/>
      <c r="U248" s="33"/>
      <c r="V248" s="33"/>
      <c r="W248" s="33"/>
      <c r="X248" s="33"/>
      <c r="Y248" s="33"/>
      <c r="Z248" s="33">
        <v>6.9642000000000008</v>
      </c>
      <c r="AA248" s="33"/>
      <c r="AB248" s="33"/>
      <c r="AC248" s="33">
        <v>1.5264000000000002</v>
      </c>
      <c r="AD248" s="33"/>
      <c r="AE248" s="33"/>
      <c r="AF248" s="33">
        <v>83.9</v>
      </c>
      <c r="AG248" s="33"/>
      <c r="AH248" s="33"/>
      <c r="AI248" s="33"/>
      <c r="AJ248" s="33"/>
      <c r="AK248" s="33"/>
      <c r="AL248" s="33"/>
      <c r="AM248" s="33"/>
      <c r="AN248" s="33"/>
      <c r="AO248" s="33"/>
      <c r="AP248" s="33"/>
      <c r="AQ248" s="33"/>
      <c r="AR248" s="33"/>
      <c r="AS248" s="33"/>
      <c r="AT248" s="33"/>
      <c r="AU248" s="33"/>
      <c r="AV248" s="33"/>
      <c r="AW248" s="33"/>
      <c r="AX248" s="33">
        <v>0.12344759999999999</v>
      </c>
      <c r="AY248" s="33">
        <v>0.84906000000000004</v>
      </c>
      <c r="AZ248" s="33"/>
      <c r="BA248" s="33"/>
      <c r="BB248" s="33">
        <v>26.902800000000003</v>
      </c>
      <c r="BC248" s="33"/>
      <c r="BD248" s="33"/>
      <c r="BE248" s="33">
        <v>16.790400000000002</v>
      </c>
      <c r="BF248" s="33"/>
      <c r="BG248" s="33">
        <v>24.2316</v>
      </c>
      <c r="BH248" s="33">
        <v>2.6712000000000002</v>
      </c>
      <c r="BI248" s="33"/>
      <c r="BJ248" s="33"/>
      <c r="BK248" s="33"/>
      <c r="BL248" s="33"/>
      <c r="BM248" s="33"/>
      <c r="BN248" s="33"/>
      <c r="BO248" s="33"/>
      <c r="BP248" s="33"/>
      <c r="BQ248" s="33"/>
      <c r="BR248" s="33"/>
      <c r="BS248" s="33"/>
      <c r="BT248" s="33"/>
      <c r="BU248" s="33"/>
      <c r="BV248" s="33"/>
      <c r="BW248" s="33"/>
      <c r="BX248" s="33">
        <v>0.71550000000000014</v>
      </c>
      <c r="BY248" s="33">
        <v>0.87768000000000013</v>
      </c>
      <c r="BZ248" s="33">
        <v>1.8412200000000001</v>
      </c>
      <c r="CA248" s="33"/>
      <c r="CB248" s="33"/>
      <c r="CC248" s="33"/>
      <c r="CD248" s="33"/>
      <c r="CE248" s="33"/>
      <c r="CF248" s="33"/>
      <c r="CG248" s="33"/>
      <c r="CH248" s="33"/>
      <c r="CI248" s="33"/>
      <c r="CJ248" s="33"/>
      <c r="CK248" s="33"/>
      <c r="CL248" s="33"/>
      <c r="CM248" s="33"/>
      <c r="CN248" s="33"/>
      <c r="CO248" s="33">
        <v>2.4804000000000004</v>
      </c>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c r="IV248" s="33"/>
      <c r="IW248" s="33"/>
      <c r="IX248" s="33"/>
      <c r="IY248" s="33"/>
      <c r="IZ248" s="33"/>
      <c r="JA248" s="33"/>
      <c r="JB248" s="33"/>
      <c r="JC248" s="33"/>
      <c r="JD248" s="33"/>
      <c r="JE248" s="33"/>
      <c r="JF248" s="33"/>
      <c r="JG248" s="33"/>
      <c r="JH248" s="33"/>
      <c r="JI248" s="33"/>
      <c r="JJ248" s="33"/>
      <c r="JK248" s="33"/>
      <c r="JL248" s="33"/>
      <c r="JM248" s="33"/>
      <c r="JN248" s="33"/>
      <c r="JO248" s="33"/>
      <c r="JP248" s="33"/>
      <c r="JQ248" s="33"/>
      <c r="JR248" s="33"/>
      <c r="KZ248" s="33"/>
      <c r="LA248" s="33"/>
      <c r="LB248" s="33"/>
      <c r="LC248" s="33"/>
      <c r="LD248" s="33"/>
      <c r="LE248" s="33"/>
      <c r="LF248" s="33"/>
      <c r="LG248" s="33"/>
      <c r="LH248" s="33"/>
      <c r="LI248" s="33"/>
      <c r="LJ248" s="33"/>
      <c r="LK248" s="33"/>
      <c r="LL248" s="33"/>
      <c r="LM248" s="33"/>
      <c r="LN248" s="33"/>
      <c r="LO248" s="33"/>
      <c r="LP248" s="44"/>
      <c r="LQ248" s="44"/>
      <c r="LR248" s="44"/>
      <c r="LS248" s="44"/>
      <c r="LT248" s="44"/>
      <c r="LU248" s="44"/>
      <c r="LV248" s="44"/>
    </row>
    <row r="249" spans="1:334" x14ac:dyDescent="0.2">
      <c r="A249" s="1" t="s">
        <v>8604</v>
      </c>
      <c r="B249" s="1" t="s">
        <v>7232</v>
      </c>
      <c r="D249" s="1" t="s">
        <v>8605</v>
      </c>
      <c r="E249" s="1" t="s">
        <v>8099</v>
      </c>
      <c r="F249" s="1" t="s">
        <v>8606</v>
      </c>
      <c r="J249" s="1" t="s">
        <v>8598</v>
      </c>
      <c r="K249" s="1">
        <v>2010</v>
      </c>
      <c r="L249" s="1" t="s">
        <v>8599</v>
      </c>
      <c r="M249" s="1" t="s">
        <v>7657</v>
      </c>
      <c r="N249" s="17" t="s">
        <v>7945</v>
      </c>
      <c r="O249" s="33"/>
      <c r="P249" s="33"/>
      <c r="Q249" s="33"/>
      <c r="R249" s="33"/>
      <c r="S249" s="33">
        <v>5.8</v>
      </c>
      <c r="T249" s="33"/>
      <c r="U249" s="33"/>
      <c r="V249" s="33"/>
      <c r="W249" s="33"/>
      <c r="X249" s="33"/>
      <c r="Y249" s="33"/>
      <c r="Z249" s="33">
        <v>21.289200000000001</v>
      </c>
      <c r="AA249" s="33"/>
      <c r="AB249" s="33"/>
      <c r="AC249" s="33">
        <v>1.6956</v>
      </c>
      <c r="AD249" s="33"/>
      <c r="AE249" s="33"/>
      <c r="AF249" s="33">
        <v>66.900000000000006</v>
      </c>
      <c r="AG249" s="33"/>
      <c r="AH249" s="33"/>
      <c r="AI249" s="33"/>
      <c r="AJ249" s="33"/>
      <c r="AK249" s="33"/>
      <c r="AL249" s="33"/>
      <c r="AM249" s="33"/>
      <c r="AN249" s="33"/>
      <c r="AO249" s="33"/>
      <c r="AP249" s="33"/>
      <c r="AQ249" s="33"/>
      <c r="AR249" s="33"/>
      <c r="AS249" s="33"/>
      <c r="AT249" s="33"/>
      <c r="AU249" s="33"/>
      <c r="AV249" s="33"/>
      <c r="AW249" s="33"/>
      <c r="AX249" s="33">
        <v>0.50707860000000005</v>
      </c>
      <c r="AY249" s="33">
        <v>5.5201200000000004</v>
      </c>
      <c r="AZ249" s="33"/>
      <c r="BA249" s="33"/>
      <c r="BB249" s="33">
        <v>15.731399999999999</v>
      </c>
      <c r="BC249" s="33"/>
      <c r="BD249" s="33"/>
      <c r="BE249" s="33">
        <v>1.5072000000000001</v>
      </c>
      <c r="BF249" s="33"/>
      <c r="BG249" s="33">
        <v>14.487960000000001</v>
      </c>
      <c r="BH249" s="33">
        <v>1.2434400000000001</v>
      </c>
      <c r="BI249" s="33"/>
      <c r="BJ249" s="33"/>
      <c r="BK249" s="33"/>
      <c r="BL249" s="33"/>
      <c r="BM249" s="33"/>
      <c r="BN249" s="33"/>
      <c r="BO249" s="33"/>
      <c r="BP249" s="33"/>
      <c r="BQ249" s="33"/>
      <c r="BR249" s="33"/>
      <c r="BS249" s="33"/>
      <c r="BT249" s="33"/>
      <c r="BU249" s="33"/>
      <c r="BV249" s="33"/>
      <c r="BW249" s="33"/>
      <c r="BX249" s="33">
        <v>5.9817</v>
      </c>
      <c r="BY249" s="33">
        <v>13.979280000000001</v>
      </c>
      <c r="BZ249" s="33">
        <v>3.5325000000000002</v>
      </c>
      <c r="CA249" s="33"/>
      <c r="CB249" s="33"/>
      <c r="CC249" s="33"/>
      <c r="CD249" s="33"/>
      <c r="CE249" s="33"/>
      <c r="CF249" s="33"/>
      <c r="CG249" s="33"/>
      <c r="CH249" s="33"/>
      <c r="CI249" s="33"/>
      <c r="CJ249" s="33"/>
      <c r="CK249" s="33"/>
      <c r="CL249" s="33"/>
      <c r="CM249" s="33"/>
      <c r="CN249" s="33"/>
      <c r="CO249" s="33">
        <v>2.7318000000000002</v>
      </c>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c r="IV249" s="33"/>
      <c r="IW249" s="33"/>
      <c r="IX249" s="33"/>
      <c r="IY249" s="33"/>
      <c r="IZ249" s="33"/>
      <c r="JA249" s="33"/>
      <c r="JB249" s="33"/>
      <c r="JC249" s="33"/>
      <c r="JD249" s="33"/>
      <c r="JE249" s="33"/>
      <c r="JF249" s="33"/>
      <c r="JG249" s="33"/>
      <c r="JH249" s="33"/>
      <c r="JI249" s="33"/>
      <c r="JJ249" s="33"/>
      <c r="JK249" s="33"/>
      <c r="JL249" s="33"/>
      <c r="JM249" s="33"/>
      <c r="JN249" s="33"/>
      <c r="JO249" s="33"/>
      <c r="JP249" s="33"/>
      <c r="JQ249" s="33"/>
      <c r="JR249" s="33"/>
      <c r="KZ249" s="33"/>
      <c r="LA249" s="33"/>
      <c r="LB249" s="33"/>
      <c r="LC249" s="33"/>
      <c r="LD249" s="33"/>
      <c r="LE249" s="33"/>
      <c r="LF249" s="33"/>
      <c r="LG249" s="33"/>
      <c r="LH249" s="33"/>
      <c r="LI249" s="33"/>
      <c r="LJ249" s="33"/>
      <c r="LK249" s="33"/>
      <c r="LL249" s="33"/>
      <c r="LM249" s="33"/>
      <c r="LN249" s="33"/>
      <c r="LO249" s="33"/>
      <c r="LP249" s="44"/>
      <c r="LQ249" s="44"/>
      <c r="LR249" s="44"/>
      <c r="LS249" s="44"/>
      <c r="LT249" s="44"/>
      <c r="LU249" s="44"/>
      <c r="LV249" s="44"/>
    </row>
    <row r="250" spans="1:334" x14ac:dyDescent="0.2">
      <c r="A250" s="1" t="s">
        <v>8607</v>
      </c>
      <c r="B250" s="1" t="s">
        <v>7232</v>
      </c>
      <c r="D250" s="1" t="s">
        <v>8608</v>
      </c>
      <c r="E250" s="1" t="s">
        <v>8099</v>
      </c>
      <c r="F250" s="1" t="s">
        <v>8606</v>
      </c>
      <c r="J250" s="1" t="s">
        <v>8598</v>
      </c>
      <c r="K250" s="1">
        <v>2010</v>
      </c>
      <c r="L250" s="1" t="s">
        <v>8599</v>
      </c>
      <c r="M250" s="1" t="s">
        <v>7657</v>
      </c>
      <c r="N250" s="17" t="s">
        <v>7945</v>
      </c>
      <c r="O250" s="33"/>
      <c r="P250" s="33"/>
      <c r="Q250" s="33"/>
      <c r="R250" s="33"/>
      <c r="S250" s="33">
        <v>8.4</v>
      </c>
      <c r="T250" s="33"/>
      <c r="U250" s="33"/>
      <c r="V250" s="33"/>
      <c r="W250" s="33"/>
      <c r="X250" s="33"/>
      <c r="Y250" s="33"/>
      <c r="Z250" s="33">
        <v>17.037600000000001</v>
      </c>
      <c r="AA250" s="33"/>
      <c r="AB250" s="33"/>
      <c r="AC250" s="33">
        <v>2.3816000000000002</v>
      </c>
      <c r="AD250" s="33"/>
      <c r="AE250" s="33"/>
      <c r="AF250" s="33">
        <v>68.2</v>
      </c>
      <c r="AG250" s="33"/>
      <c r="AH250" s="33"/>
      <c r="AI250" s="33"/>
      <c r="AJ250" s="33"/>
      <c r="AK250" s="33"/>
      <c r="AL250" s="33"/>
      <c r="AM250" s="33"/>
      <c r="AN250" s="33"/>
      <c r="AO250" s="33"/>
      <c r="AP250" s="33"/>
      <c r="AQ250" s="33"/>
      <c r="AR250" s="33"/>
      <c r="AS250" s="33"/>
      <c r="AT250" s="33"/>
      <c r="AU250" s="33"/>
      <c r="AV250" s="33"/>
      <c r="AW250" s="33"/>
      <c r="AX250" s="33">
        <v>0.19391719999999998</v>
      </c>
      <c r="AY250" s="33">
        <v>4.2135999999999996</v>
      </c>
      <c r="AZ250" s="33"/>
      <c r="BA250" s="33"/>
      <c r="BB250" s="33">
        <v>20.701599999999999</v>
      </c>
      <c r="BC250" s="33"/>
      <c r="BD250" s="33"/>
      <c r="BE250" s="33">
        <v>10.259199999999998</v>
      </c>
      <c r="BF250" s="33"/>
      <c r="BG250" s="33">
        <v>17.861999999999998</v>
      </c>
      <c r="BH250" s="33">
        <v>2.8395999999999999</v>
      </c>
      <c r="BI250" s="33"/>
      <c r="BJ250" s="33"/>
      <c r="BK250" s="33"/>
      <c r="BL250" s="33"/>
      <c r="BM250" s="33"/>
      <c r="BN250" s="33"/>
      <c r="BO250" s="33"/>
      <c r="BP250" s="33"/>
      <c r="BQ250" s="33"/>
      <c r="BR250" s="33"/>
      <c r="BS250" s="33"/>
      <c r="BT250" s="33"/>
      <c r="BU250" s="33"/>
      <c r="BV250" s="33"/>
      <c r="BW250" s="33"/>
      <c r="BX250" s="33">
        <v>2.6197599999999999</v>
      </c>
      <c r="BY250" s="33">
        <v>5.8440799999999991</v>
      </c>
      <c r="BZ250" s="33">
        <v>1.2640799999999999</v>
      </c>
      <c r="CA250" s="33"/>
      <c r="CB250" s="33"/>
      <c r="CC250" s="33"/>
      <c r="CD250" s="33"/>
      <c r="CE250" s="33"/>
      <c r="CF250" s="33"/>
      <c r="CG250" s="33"/>
      <c r="CH250" s="33"/>
      <c r="CI250" s="33"/>
      <c r="CJ250" s="33"/>
      <c r="CK250" s="33"/>
      <c r="CL250" s="33"/>
      <c r="CM250" s="33"/>
      <c r="CN250" s="33"/>
      <c r="CO250" s="33">
        <v>2.0152000000000001</v>
      </c>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c r="IV250" s="33"/>
      <c r="IW250" s="33"/>
      <c r="IX250" s="33"/>
      <c r="IY250" s="33"/>
      <c r="IZ250" s="33"/>
      <c r="JA250" s="33"/>
      <c r="JB250" s="33"/>
      <c r="JC250" s="33"/>
      <c r="JD250" s="33"/>
      <c r="JE250" s="33"/>
      <c r="JF250" s="33"/>
      <c r="JG250" s="33"/>
      <c r="JH250" s="33"/>
      <c r="JI250" s="33"/>
      <c r="JJ250" s="33"/>
      <c r="JK250" s="33"/>
      <c r="JL250" s="33"/>
      <c r="JM250" s="33"/>
      <c r="JN250" s="33"/>
      <c r="JO250" s="33"/>
      <c r="JP250" s="33"/>
      <c r="JQ250" s="33"/>
      <c r="JR250" s="33"/>
      <c r="KZ250" s="33"/>
      <c r="LA250" s="33"/>
      <c r="LB250" s="33"/>
      <c r="LC250" s="33"/>
      <c r="LD250" s="33"/>
      <c r="LE250" s="33"/>
      <c r="LF250" s="33"/>
      <c r="LG250" s="33"/>
      <c r="LH250" s="33"/>
      <c r="LI250" s="33"/>
      <c r="LJ250" s="33"/>
      <c r="LK250" s="33"/>
      <c r="LL250" s="33"/>
      <c r="LM250" s="33"/>
      <c r="LN250" s="33"/>
      <c r="LO250" s="33"/>
      <c r="LP250" s="44"/>
      <c r="LQ250" s="44"/>
      <c r="LR250" s="44"/>
      <c r="LS250" s="44"/>
      <c r="LT250" s="44"/>
      <c r="LU250" s="44"/>
      <c r="LV250" s="44"/>
    </row>
    <row r="251" spans="1:334" x14ac:dyDescent="0.2">
      <c r="A251" s="1" t="s">
        <v>8609</v>
      </c>
      <c r="B251" s="1" t="s">
        <v>7232</v>
      </c>
      <c r="D251" s="1" t="s">
        <v>8610</v>
      </c>
      <c r="E251" s="1" t="s">
        <v>8099</v>
      </c>
      <c r="F251" s="1" t="s">
        <v>8606</v>
      </c>
      <c r="J251" s="1" t="s">
        <v>8598</v>
      </c>
      <c r="K251" s="1">
        <v>2010</v>
      </c>
      <c r="L251" s="1" t="s">
        <v>8599</v>
      </c>
      <c r="M251" s="1" t="s">
        <v>7657</v>
      </c>
      <c r="N251" s="17" t="s">
        <v>7945</v>
      </c>
      <c r="O251" s="33"/>
      <c r="P251" s="33"/>
      <c r="Q251" s="33"/>
      <c r="R251" s="33"/>
      <c r="S251" s="33">
        <v>3.9</v>
      </c>
      <c r="T251" s="33"/>
      <c r="U251" s="33"/>
      <c r="V251" s="33"/>
      <c r="W251" s="33"/>
      <c r="X251" s="33"/>
      <c r="Y251" s="33"/>
      <c r="Z251" s="33">
        <v>8.745099999999999</v>
      </c>
      <c r="AA251" s="33"/>
      <c r="AB251" s="33"/>
      <c r="AC251" s="33">
        <v>0.5766</v>
      </c>
      <c r="AD251" s="33"/>
      <c r="AE251" s="33"/>
      <c r="AF251" s="33">
        <v>82.6</v>
      </c>
      <c r="AG251" s="33"/>
      <c r="AH251" s="33"/>
      <c r="AI251" s="33"/>
      <c r="AJ251" s="33"/>
      <c r="AK251" s="33"/>
      <c r="AL251" s="33"/>
      <c r="AM251" s="33"/>
      <c r="AN251" s="33"/>
      <c r="AO251" s="33"/>
      <c r="AP251" s="33"/>
      <c r="AQ251" s="33"/>
      <c r="AR251" s="33"/>
      <c r="AS251" s="33"/>
      <c r="AT251" s="33"/>
      <c r="AU251" s="33"/>
      <c r="AV251" s="33"/>
      <c r="AW251" s="33"/>
      <c r="AX251" s="33">
        <v>0.1043646</v>
      </c>
      <c r="AY251" s="33">
        <v>0.81684999999999985</v>
      </c>
      <c r="AZ251" s="33"/>
      <c r="BA251" s="33"/>
      <c r="BB251" s="33">
        <v>34.980399999999996</v>
      </c>
      <c r="BC251" s="33"/>
      <c r="BD251" s="33"/>
      <c r="BE251" s="33">
        <v>20.9498</v>
      </c>
      <c r="BF251" s="33"/>
      <c r="BG251" s="33">
        <v>31.232500000000002</v>
      </c>
      <c r="BH251" s="33">
        <v>3.7478999999999996</v>
      </c>
      <c r="BI251" s="33"/>
      <c r="BJ251" s="33"/>
      <c r="BK251" s="33"/>
      <c r="BL251" s="33"/>
      <c r="BM251" s="33"/>
      <c r="BN251" s="33"/>
      <c r="BO251" s="33"/>
      <c r="BP251" s="33"/>
      <c r="BQ251" s="33"/>
      <c r="BR251" s="33"/>
      <c r="BS251" s="33"/>
      <c r="BT251" s="33"/>
      <c r="BU251" s="33"/>
      <c r="BV251" s="33"/>
      <c r="BW251" s="33"/>
      <c r="BX251" s="33">
        <v>0.92255999999999982</v>
      </c>
      <c r="BY251" s="33">
        <v>0.67269999999999996</v>
      </c>
      <c r="BZ251" s="33">
        <v>1.00905</v>
      </c>
      <c r="CA251" s="33"/>
      <c r="CB251" s="33"/>
      <c r="CC251" s="33"/>
      <c r="CD251" s="33"/>
      <c r="CE251" s="33"/>
      <c r="CF251" s="33"/>
      <c r="CG251" s="33"/>
      <c r="CH251" s="33"/>
      <c r="CI251" s="33"/>
      <c r="CJ251" s="33"/>
      <c r="CK251" s="33"/>
      <c r="CL251" s="33"/>
      <c r="CM251" s="33"/>
      <c r="CN251" s="33"/>
      <c r="CO251" s="33">
        <v>3.6517999999999997</v>
      </c>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c r="IV251" s="33"/>
      <c r="IW251" s="33"/>
      <c r="IX251" s="33"/>
      <c r="IY251" s="33"/>
      <c r="IZ251" s="33"/>
      <c r="JA251" s="33"/>
      <c r="JB251" s="33"/>
      <c r="JC251" s="33"/>
      <c r="JD251" s="33"/>
      <c r="JE251" s="33"/>
      <c r="JF251" s="33"/>
      <c r="JG251" s="33"/>
      <c r="JH251" s="33"/>
      <c r="JI251" s="33"/>
      <c r="JJ251" s="33"/>
      <c r="JK251" s="33"/>
      <c r="JL251" s="33"/>
      <c r="JM251" s="33"/>
      <c r="JN251" s="33"/>
      <c r="JO251" s="33"/>
      <c r="JP251" s="33"/>
      <c r="JQ251" s="33"/>
      <c r="JR251" s="33"/>
      <c r="KZ251" s="33"/>
      <c r="LA251" s="33"/>
      <c r="LB251" s="33"/>
      <c r="LC251" s="33"/>
      <c r="LD251" s="33"/>
      <c r="LE251" s="33"/>
      <c r="LF251" s="33"/>
      <c r="LG251" s="33"/>
      <c r="LH251" s="33"/>
      <c r="LI251" s="33"/>
      <c r="LJ251" s="33"/>
      <c r="LK251" s="33"/>
      <c r="LL251" s="33"/>
      <c r="LM251" s="33"/>
      <c r="LN251" s="33"/>
      <c r="LO251" s="33"/>
      <c r="LP251" s="44"/>
      <c r="LQ251" s="44"/>
      <c r="LR251" s="44"/>
      <c r="LS251" s="44"/>
      <c r="LT251" s="44"/>
      <c r="LU251" s="44"/>
      <c r="LV251" s="44"/>
    </row>
    <row r="252" spans="1:334" x14ac:dyDescent="0.2">
      <c r="A252" s="1" t="s">
        <v>8611</v>
      </c>
      <c r="B252" s="1" t="s">
        <v>8612</v>
      </c>
      <c r="D252" s="1" t="s">
        <v>8254</v>
      </c>
      <c r="E252" s="1" t="s">
        <v>7</v>
      </c>
      <c r="F252" s="1" t="s">
        <v>8586</v>
      </c>
      <c r="J252" s="1" t="s">
        <v>8613</v>
      </c>
      <c r="K252" s="1">
        <v>1987</v>
      </c>
      <c r="L252" s="1" t="s">
        <v>8614</v>
      </c>
      <c r="M252" s="1" t="s">
        <v>7657</v>
      </c>
      <c r="N252" s="17" t="s">
        <v>7945</v>
      </c>
      <c r="O252" s="33"/>
      <c r="P252" s="33"/>
      <c r="Q252" s="33"/>
      <c r="R252" s="33"/>
      <c r="S252" s="33">
        <v>5.9</v>
      </c>
      <c r="T252" s="33"/>
      <c r="U252" s="33"/>
      <c r="V252" s="33"/>
      <c r="W252" s="33"/>
      <c r="X252" s="33"/>
      <c r="Y252" s="33"/>
      <c r="Z252" s="33"/>
      <c r="AA252" s="33">
        <v>19.899999999999999</v>
      </c>
      <c r="AB252" s="33"/>
      <c r="AC252" s="33"/>
      <c r="AD252" s="33">
        <v>5.4</v>
      </c>
      <c r="AE252" s="33">
        <v>62.3</v>
      </c>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v>3.7</v>
      </c>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v>2.8</v>
      </c>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c r="IV252" s="33"/>
      <c r="IW252" s="33"/>
      <c r="IX252" s="33"/>
      <c r="IY252" s="33"/>
      <c r="IZ252" s="33"/>
      <c r="JA252" s="33"/>
      <c r="JB252" s="33"/>
      <c r="JC252" s="33"/>
      <c r="JD252" s="33"/>
      <c r="JE252" s="33"/>
      <c r="JF252" s="33"/>
      <c r="JG252" s="33"/>
      <c r="JH252" s="33"/>
      <c r="JI252" s="33"/>
      <c r="JJ252" s="33"/>
      <c r="JK252" s="33"/>
      <c r="JL252" s="33"/>
      <c r="JM252" s="33"/>
      <c r="JN252" s="33"/>
      <c r="JO252" s="33"/>
      <c r="JP252" s="33"/>
      <c r="JQ252" s="33"/>
      <c r="JR252" s="33"/>
      <c r="KZ252" s="33"/>
      <c r="LA252" s="33"/>
      <c r="LB252" s="33"/>
      <c r="LC252" s="33"/>
      <c r="LD252" s="33"/>
      <c r="LE252" s="33"/>
      <c r="LF252" s="33"/>
      <c r="LG252" s="33"/>
      <c r="LH252" s="33"/>
      <c r="LI252" s="33"/>
      <c r="LJ252" s="33"/>
      <c r="LK252" s="33"/>
      <c r="LL252" s="33"/>
      <c r="LM252" s="33"/>
      <c r="LN252" s="33"/>
      <c r="LO252" s="33"/>
      <c r="LP252" s="44"/>
      <c r="LQ252" s="44"/>
      <c r="LR252" s="44"/>
      <c r="LS252" s="44"/>
      <c r="LT252" s="44"/>
      <c r="LU252" s="44"/>
      <c r="LV252" s="44"/>
    </row>
    <row r="253" spans="1:334" x14ac:dyDescent="0.2">
      <c r="A253" s="1" t="s">
        <v>8615</v>
      </c>
      <c r="B253" s="1" t="s">
        <v>8612</v>
      </c>
      <c r="D253" s="1" t="s">
        <v>8616</v>
      </c>
      <c r="E253" s="1" t="s">
        <v>8037</v>
      </c>
      <c r="F253" s="1" t="s">
        <v>8586</v>
      </c>
      <c r="H253" s="1" t="s">
        <v>8617</v>
      </c>
      <c r="J253" s="1" t="s">
        <v>8613</v>
      </c>
      <c r="K253" s="1">
        <v>1987</v>
      </c>
      <c r="L253" s="1" t="s">
        <v>8614</v>
      </c>
      <c r="M253" s="1" t="s">
        <v>7657</v>
      </c>
      <c r="N253" s="17" t="s">
        <v>7945</v>
      </c>
      <c r="O253" s="33"/>
      <c r="P253" s="33"/>
      <c r="Q253" s="33"/>
      <c r="R253" s="33"/>
      <c r="S253" s="33">
        <v>3.5</v>
      </c>
      <c r="T253" s="33"/>
      <c r="U253" s="33"/>
      <c r="V253" s="33"/>
      <c r="W253" s="33"/>
      <c r="X253" s="33"/>
      <c r="Y253" s="33"/>
      <c r="Z253" s="33"/>
      <c r="AA253" s="33">
        <v>22</v>
      </c>
      <c r="AB253" s="33"/>
      <c r="AC253" s="33"/>
      <c r="AD253" s="33">
        <v>7</v>
      </c>
      <c r="AE253" s="33">
        <v>61.8</v>
      </c>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v>3</v>
      </c>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v>2.7</v>
      </c>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c r="IV253" s="33"/>
      <c r="IW253" s="33"/>
      <c r="IX253" s="33"/>
      <c r="IY253" s="33"/>
      <c r="IZ253" s="33"/>
      <c r="JA253" s="33"/>
      <c r="JB253" s="33"/>
      <c r="JC253" s="33"/>
      <c r="JD253" s="33"/>
      <c r="JE253" s="33"/>
      <c r="JF253" s="33"/>
      <c r="JG253" s="33"/>
      <c r="JH253" s="33"/>
      <c r="JI253" s="33"/>
      <c r="JJ253" s="33"/>
      <c r="JK253" s="33"/>
      <c r="JL253" s="33"/>
      <c r="JM253" s="33"/>
      <c r="JN253" s="33"/>
      <c r="JO253" s="33"/>
      <c r="JP253" s="33"/>
      <c r="JQ253" s="33"/>
      <c r="JR253" s="33"/>
      <c r="KZ253" s="33"/>
      <c r="LA253" s="33"/>
      <c r="LB253" s="33"/>
      <c r="LC253" s="33"/>
      <c r="LD253" s="33"/>
      <c r="LE253" s="33"/>
      <c r="LF253" s="33"/>
      <c r="LG253" s="33"/>
      <c r="LH253" s="33"/>
      <c r="LI253" s="33"/>
      <c r="LJ253" s="33"/>
      <c r="LK253" s="33"/>
      <c r="LL253" s="33"/>
      <c r="LM253" s="33"/>
      <c r="LN253" s="33"/>
      <c r="LO253" s="33"/>
      <c r="LP253" s="44"/>
      <c r="LQ253" s="44"/>
      <c r="LR253" s="44"/>
      <c r="LS253" s="44"/>
      <c r="LT253" s="44"/>
      <c r="LU253" s="44"/>
      <c r="LV253" s="44"/>
    </row>
    <row r="254" spans="1:334" x14ac:dyDescent="0.2">
      <c r="A254" s="1" t="s">
        <v>8618</v>
      </c>
      <c r="B254" s="1" t="s">
        <v>8619</v>
      </c>
      <c r="D254" s="1" t="s">
        <v>8620</v>
      </c>
      <c r="E254" s="1" t="s">
        <v>7</v>
      </c>
      <c r="F254" s="1" t="s">
        <v>688</v>
      </c>
      <c r="G254" s="1">
        <v>2011</v>
      </c>
      <c r="H254" s="1" t="s">
        <v>8621</v>
      </c>
      <c r="I254" s="1">
        <v>3</v>
      </c>
      <c r="J254" s="1" t="s">
        <v>8622</v>
      </c>
      <c r="K254" s="1">
        <v>2014</v>
      </c>
      <c r="L254" s="1" t="s">
        <v>8623</v>
      </c>
      <c r="M254" s="1" t="s">
        <v>7657</v>
      </c>
      <c r="N254" s="17" t="s">
        <v>7945</v>
      </c>
      <c r="O254" s="33"/>
      <c r="P254" s="33"/>
      <c r="Q254" s="33"/>
      <c r="R254" s="33"/>
      <c r="S254" s="33">
        <v>46.89</v>
      </c>
      <c r="T254" s="33"/>
      <c r="U254" s="33">
        <v>6.25</v>
      </c>
      <c r="V254" s="33"/>
      <c r="W254" s="33"/>
      <c r="X254" s="33"/>
      <c r="Y254" s="33"/>
      <c r="Z254" s="33">
        <v>13.949872600000001</v>
      </c>
      <c r="AA254" s="33"/>
      <c r="AB254" s="33">
        <v>3.2662649999999998</v>
      </c>
      <c r="AC254" s="33"/>
      <c r="AD254" s="33"/>
      <c r="AE254" s="33"/>
      <c r="AF254" s="33">
        <v>34.211868699999997</v>
      </c>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v>0.37548769999999998</v>
      </c>
      <c r="BU254" s="33"/>
      <c r="BV254" s="33"/>
      <c r="BW254" s="33"/>
      <c r="BX254" s="33">
        <v>0.40469820000000001</v>
      </c>
      <c r="BY254" s="33">
        <v>1.1965683000000003</v>
      </c>
      <c r="BZ254" s="33">
        <v>0.6463487</v>
      </c>
      <c r="CA254" s="33">
        <v>1.6092330000000001</v>
      </c>
      <c r="CB254" s="33"/>
      <c r="CC254" s="33"/>
      <c r="CD254" s="33"/>
      <c r="CE254" s="33"/>
      <c r="CF254" s="33"/>
      <c r="CG254" s="33"/>
      <c r="CH254" s="33"/>
      <c r="CI254" s="33"/>
      <c r="CJ254" s="33"/>
      <c r="CK254" s="33"/>
      <c r="CL254" s="33">
        <v>0.23527729999999997</v>
      </c>
      <c r="CM254" s="33"/>
      <c r="CN254" s="33"/>
      <c r="CO254" s="33">
        <v>1.7340414999999996</v>
      </c>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v>1.975692</v>
      </c>
      <c r="FP254" s="33">
        <v>5.5234400000000003E-2</v>
      </c>
      <c r="FQ254" s="33">
        <v>0.53216219999999992</v>
      </c>
      <c r="FR254" s="33">
        <v>7.1432950000000002</v>
      </c>
      <c r="FS254" s="33"/>
      <c r="FT254" s="33"/>
      <c r="FU254" s="33"/>
      <c r="FV254" s="33"/>
      <c r="FW254" s="33"/>
      <c r="FX254" s="33"/>
      <c r="FY254" s="33"/>
      <c r="FZ254" s="33"/>
      <c r="GA254" s="33"/>
      <c r="GB254" s="33"/>
      <c r="GC254" s="33"/>
      <c r="GD254" s="33">
        <v>0.29794052763750001</v>
      </c>
      <c r="GE254" s="33">
        <v>0.61005664537500004</v>
      </c>
      <c r="GF254" s="33">
        <v>1.6233582019874999</v>
      </c>
      <c r="GG254" s="33"/>
      <c r="GH254" s="33"/>
      <c r="GI254" s="33"/>
      <c r="GJ254" s="33"/>
      <c r="GK254" s="33"/>
      <c r="GL254" s="33"/>
      <c r="GM254" s="33"/>
      <c r="GN254" s="33"/>
      <c r="GO254" s="33"/>
      <c r="GP254" s="33">
        <v>2.531355375E-4</v>
      </c>
      <c r="GQ254" s="33">
        <v>2.531355375E-4</v>
      </c>
      <c r="GR254" s="33" t="s">
        <v>15</v>
      </c>
      <c r="GS254" s="33"/>
      <c r="GT254" s="33"/>
      <c r="GU254" s="33">
        <v>2.531355375E-4</v>
      </c>
      <c r="GV254" s="33">
        <v>3.7970330625E-3</v>
      </c>
      <c r="GW254" s="33">
        <v>1.5188132249999999E-3</v>
      </c>
      <c r="GX254" s="33">
        <v>0.23085961019999998</v>
      </c>
      <c r="GY254" s="33">
        <v>2.0250843E-3</v>
      </c>
      <c r="GZ254" s="33">
        <v>3.0882535574999998E-2</v>
      </c>
      <c r="HA254" s="33">
        <v>1.2656776874999999E-2</v>
      </c>
      <c r="HB254" s="33"/>
      <c r="HC254" s="33">
        <v>7.8472016624999991E-3</v>
      </c>
      <c r="HD254" s="33">
        <v>2.2782198374999996E-3</v>
      </c>
      <c r="HE254" s="33">
        <v>5.3158462875000003E-3</v>
      </c>
      <c r="HF254" s="33"/>
      <c r="HG254" s="33">
        <v>2.531355375E-4</v>
      </c>
      <c r="HH254" s="33"/>
      <c r="HI254" s="33"/>
      <c r="HJ254" s="33"/>
      <c r="HK254" s="33">
        <v>6.8346595124999998E-3</v>
      </c>
      <c r="HL254" s="33"/>
      <c r="HM254" s="33"/>
      <c r="HN254" s="33"/>
      <c r="HO254" s="33"/>
      <c r="HP254" s="33"/>
      <c r="HQ254" s="33"/>
      <c r="HR254" s="33"/>
      <c r="HS254" s="33"/>
      <c r="HT254" s="33">
        <v>0.59259029328750001</v>
      </c>
      <c r="HU254" s="33"/>
      <c r="HV254" s="33"/>
      <c r="HW254" s="33"/>
      <c r="HX254" s="33"/>
      <c r="HY254" s="33"/>
      <c r="HZ254" s="33">
        <v>1.0125421500000001E-2</v>
      </c>
      <c r="IA254" s="33"/>
      <c r="IB254" s="33"/>
      <c r="IC254" s="33"/>
      <c r="ID254" s="33"/>
      <c r="IE254" s="33"/>
      <c r="IF254" s="33"/>
      <c r="IG254" s="33"/>
      <c r="IH254" s="33"/>
      <c r="II254" s="33"/>
      <c r="IJ254" s="33">
        <v>2.531355375E-4</v>
      </c>
      <c r="IK254" s="33">
        <v>5.06271075E-4</v>
      </c>
      <c r="IL254" s="33"/>
      <c r="IM254" s="33"/>
      <c r="IN254" s="33"/>
      <c r="IO254" s="33"/>
      <c r="IP254" s="33"/>
      <c r="IQ254" s="33"/>
      <c r="IR254" s="33">
        <v>1.5312168663375001</v>
      </c>
      <c r="IS254" s="33"/>
      <c r="IT254" s="33"/>
      <c r="IU254" s="33">
        <v>1.7719487625000002E-3</v>
      </c>
      <c r="IV254" s="33"/>
      <c r="IW254" s="33"/>
      <c r="IX254" s="33"/>
      <c r="IY254" s="33"/>
      <c r="IZ254" s="33"/>
      <c r="JA254" s="33"/>
      <c r="JB254" s="33"/>
      <c r="JC254" s="33"/>
      <c r="JD254" s="33"/>
      <c r="JE254" s="33">
        <v>8.8091167049999988E-2</v>
      </c>
      <c r="JF254" s="33"/>
      <c r="JG254" s="33"/>
      <c r="JH254" s="33"/>
      <c r="JI254" s="33"/>
      <c r="JJ254" s="33"/>
      <c r="JK254" s="33"/>
      <c r="JL254" s="33">
        <v>7.5940661249999995E-4</v>
      </c>
      <c r="JM254" s="33"/>
      <c r="JN254" s="33"/>
      <c r="JO254" s="33"/>
      <c r="JP254" s="33">
        <v>1253.396</v>
      </c>
      <c r="JQ254" s="33">
        <v>2662.4043000000001</v>
      </c>
      <c r="JR254" s="33">
        <v>3.7177000000000002</v>
      </c>
      <c r="KZ254" s="33"/>
      <c r="LA254" s="33"/>
      <c r="LB254" s="33"/>
      <c r="LC254" s="33"/>
      <c r="LD254" s="33"/>
      <c r="LE254" s="33"/>
      <c r="LF254" s="33"/>
      <c r="LG254" s="33"/>
      <c r="LH254" s="33"/>
      <c r="LI254" s="33"/>
      <c r="LJ254" s="33"/>
      <c r="LK254" s="33"/>
      <c r="LL254" s="33"/>
      <c r="LM254" s="33"/>
      <c r="LN254" s="33"/>
      <c r="LO254" s="33"/>
      <c r="LP254" s="44"/>
      <c r="LQ254" s="44"/>
      <c r="LR254" s="44"/>
      <c r="LS254" s="44"/>
      <c r="LT254" s="44"/>
      <c r="LU254" s="44"/>
      <c r="LV254" s="44"/>
    </row>
    <row r="255" spans="1:334" x14ac:dyDescent="0.2">
      <c r="A255" s="1" t="s">
        <v>8624</v>
      </c>
      <c r="B255" s="1" t="s">
        <v>8619</v>
      </c>
      <c r="D255" s="1" t="s">
        <v>8625</v>
      </c>
      <c r="E255" s="1" t="s">
        <v>11</v>
      </c>
      <c r="F255" s="1" t="s">
        <v>688</v>
      </c>
      <c r="G255" s="1">
        <v>2011</v>
      </c>
      <c r="H255" s="1" t="s">
        <v>8626</v>
      </c>
      <c r="I255" s="1">
        <v>3</v>
      </c>
      <c r="J255" s="1" t="s">
        <v>8622</v>
      </c>
      <c r="K255" s="1">
        <v>2014</v>
      </c>
      <c r="L255" s="1" t="s">
        <v>8623</v>
      </c>
      <c r="M255" s="1" t="s">
        <v>7657</v>
      </c>
      <c r="N255" s="17" t="s">
        <v>7945</v>
      </c>
      <c r="O255" s="33"/>
      <c r="P255" s="33"/>
      <c r="Q255" s="33"/>
      <c r="R255" s="33"/>
      <c r="S255" s="33">
        <v>56.49</v>
      </c>
      <c r="T255" s="33"/>
      <c r="U255" s="33">
        <v>6.25</v>
      </c>
      <c r="V255" s="33"/>
      <c r="W255" s="33"/>
      <c r="X255" s="33"/>
      <c r="Y255" s="33"/>
      <c r="Z255" s="33">
        <v>8.6445668000000015</v>
      </c>
      <c r="AA255" s="33"/>
      <c r="AB255" s="33">
        <v>3.1414219999999999</v>
      </c>
      <c r="AC255" s="33"/>
      <c r="AD255" s="33"/>
      <c r="AE255" s="33"/>
      <c r="AF255" s="33">
        <v>30.646268499999998</v>
      </c>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v>0.24887719999999999</v>
      </c>
      <c r="BU255" s="33"/>
      <c r="BV255" s="33"/>
      <c r="BW255" s="33"/>
      <c r="BX255" s="33">
        <v>0.23712949999999999</v>
      </c>
      <c r="BY255" s="33">
        <v>0.80275949999999985</v>
      </c>
      <c r="BZ255" s="33">
        <v>0.41987150000000001</v>
      </c>
      <c r="CA255" s="33">
        <v>0.87846690000000005</v>
      </c>
      <c r="CB255" s="33"/>
      <c r="CC255" s="33"/>
      <c r="CD255" s="33"/>
      <c r="CE255" s="33"/>
      <c r="CF255" s="33"/>
      <c r="CG255" s="33"/>
      <c r="CH255" s="33"/>
      <c r="CI255" s="33"/>
      <c r="CJ255" s="33"/>
      <c r="CK255" s="33"/>
      <c r="CL255" s="33">
        <v>0.11791209999999999</v>
      </c>
      <c r="CM255" s="33"/>
      <c r="CN255" s="33"/>
      <c r="CO255" s="33">
        <v>1.0768724999999999</v>
      </c>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v>1.9214015999999998</v>
      </c>
      <c r="FP255" s="33">
        <v>5.8303400000000005E-2</v>
      </c>
      <c r="FQ255" s="33">
        <v>0.52603589999999989</v>
      </c>
      <c r="FR255" s="33">
        <v>7.1513036000000003</v>
      </c>
      <c r="FS255" s="33"/>
      <c r="FT255" s="33"/>
      <c r="FU255" s="33"/>
      <c r="FV255" s="33"/>
      <c r="FW255" s="33"/>
      <c r="FX255" s="33"/>
      <c r="FY255" s="33"/>
      <c r="FZ255" s="33"/>
      <c r="GA255" s="33"/>
      <c r="GB255" s="33"/>
      <c r="GC255" s="33"/>
      <c r="GD255" s="33">
        <v>0.297751830715</v>
      </c>
      <c r="GE255" s="33">
        <v>0.59939902471000006</v>
      </c>
      <c r="GF255" s="33">
        <v>1.5372077343700001</v>
      </c>
      <c r="GG255" s="33"/>
      <c r="GH255" s="33"/>
      <c r="GI255" s="33"/>
      <c r="GJ255" s="33"/>
      <c r="GK255" s="33"/>
      <c r="GL255" s="33"/>
      <c r="GM255" s="33"/>
      <c r="GN255" s="33"/>
      <c r="GO255" s="33"/>
      <c r="GP255" s="33" t="s">
        <v>15</v>
      </c>
      <c r="GQ255" s="33" t="s">
        <v>15</v>
      </c>
      <c r="GR255" s="33" t="s">
        <v>15</v>
      </c>
      <c r="GS255" s="33"/>
      <c r="GT255" s="33"/>
      <c r="GU255" s="33">
        <v>2.4346020500000002E-4</v>
      </c>
      <c r="GV255" s="33">
        <v>3.1649826650000002E-3</v>
      </c>
      <c r="GW255" s="33">
        <v>1.7042214350000001E-3</v>
      </c>
      <c r="GX255" s="33">
        <v>0.23177411515999999</v>
      </c>
      <c r="GY255" s="33">
        <v>2.1911418449999998E-3</v>
      </c>
      <c r="GZ255" s="33">
        <v>3.1162906240000003E-2</v>
      </c>
      <c r="HA255" s="33">
        <v>1.1442629635E-2</v>
      </c>
      <c r="HB255" s="33"/>
      <c r="HC255" s="33">
        <v>7.3038061499999998E-3</v>
      </c>
      <c r="HD255" s="33">
        <v>2.9215224600000001E-3</v>
      </c>
      <c r="HE255" s="33">
        <v>5.5995847149999996E-3</v>
      </c>
      <c r="HF255" s="33"/>
      <c r="HG255" s="33">
        <v>2.4346020500000002E-4</v>
      </c>
      <c r="HH255" s="33"/>
      <c r="HI255" s="33"/>
      <c r="HJ255" s="33"/>
      <c r="HK255" s="33">
        <v>6.0865051249999998E-3</v>
      </c>
      <c r="HL255" s="33"/>
      <c r="HM255" s="33"/>
      <c r="HN255" s="33"/>
      <c r="HO255" s="33"/>
      <c r="HP255" s="33"/>
      <c r="HQ255" s="33"/>
      <c r="HR255" s="33"/>
      <c r="HS255" s="33"/>
      <c r="HT255" s="33">
        <v>0.58308719097500006</v>
      </c>
      <c r="HU255" s="33"/>
      <c r="HV255" s="33"/>
      <c r="HW255" s="33"/>
      <c r="HX255" s="33"/>
      <c r="HY255" s="33"/>
      <c r="HZ255" s="33">
        <v>9.4949479950000009E-3</v>
      </c>
      <c r="IA255" s="33"/>
      <c r="IB255" s="33"/>
      <c r="IC255" s="33"/>
      <c r="ID255" s="33"/>
      <c r="IE255" s="33"/>
      <c r="IF255" s="33"/>
      <c r="IG255" s="33"/>
      <c r="IH255" s="33"/>
      <c r="II255" s="33"/>
      <c r="IJ255" s="33">
        <v>2.4346020500000002E-4</v>
      </c>
      <c r="IK255" s="33">
        <v>2.4346020500000002E-4</v>
      </c>
      <c r="IL255" s="33"/>
      <c r="IM255" s="33"/>
      <c r="IN255" s="33"/>
      <c r="IO255" s="33"/>
      <c r="IP255" s="33"/>
      <c r="IQ255" s="33"/>
      <c r="IR255" s="33">
        <v>1.4517532024149999</v>
      </c>
      <c r="IS255" s="33"/>
      <c r="IT255" s="33"/>
      <c r="IU255" s="33">
        <v>2.4346020499999999E-3</v>
      </c>
      <c r="IV255" s="33"/>
      <c r="IW255" s="33"/>
      <c r="IX255" s="33"/>
      <c r="IY255" s="33"/>
      <c r="IZ255" s="33"/>
      <c r="JA255" s="33"/>
      <c r="JB255" s="33"/>
      <c r="JC255" s="33"/>
      <c r="JD255" s="33"/>
      <c r="JE255" s="33">
        <v>8.1072248264999994E-2</v>
      </c>
      <c r="JF255" s="33"/>
      <c r="JG255" s="33"/>
      <c r="JH255" s="33"/>
      <c r="JI255" s="33"/>
      <c r="JJ255" s="33"/>
      <c r="JK255" s="33"/>
      <c r="JL255" s="33">
        <v>7.3038061500000002E-4</v>
      </c>
      <c r="JM255" s="33"/>
      <c r="JN255" s="33"/>
      <c r="JO255" s="33"/>
      <c r="JP255" s="33">
        <v>1123.4282000000001</v>
      </c>
      <c r="JQ255" s="33">
        <v>1696.0197999999998</v>
      </c>
      <c r="JR255" s="33">
        <v>3.0457000000000001</v>
      </c>
      <c r="KZ255" s="33"/>
      <c r="LA255" s="33"/>
      <c r="LB255" s="33"/>
      <c r="LC255" s="33"/>
      <c r="LD255" s="33"/>
      <c r="LE255" s="33"/>
      <c r="LF255" s="33"/>
      <c r="LG255" s="33"/>
      <c r="LH255" s="33"/>
      <c r="LI255" s="33"/>
      <c r="LJ255" s="33"/>
      <c r="LK255" s="33"/>
      <c r="LL255" s="33"/>
      <c r="LM255" s="33"/>
      <c r="LN255" s="33"/>
      <c r="LO255" s="33"/>
      <c r="LP255" s="44"/>
      <c r="LQ255" s="44"/>
      <c r="LR255" s="44"/>
      <c r="LS255" s="44"/>
      <c r="LT255" s="44"/>
      <c r="LU255" s="44"/>
      <c r="LV255" s="44"/>
    </row>
    <row r="256" spans="1:334" x14ac:dyDescent="0.2">
      <c r="A256" s="1" t="s">
        <v>8627</v>
      </c>
      <c r="B256" s="1" t="s">
        <v>8619</v>
      </c>
      <c r="D256" s="1" t="s">
        <v>8628</v>
      </c>
      <c r="E256" s="1" t="s">
        <v>8099</v>
      </c>
      <c r="F256" s="1" t="s">
        <v>8485</v>
      </c>
      <c r="G256" s="1">
        <v>2011</v>
      </c>
      <c r="H256" s="1" t="s">
        <v>8621</v>
      </c>
      <c r="I256" s="1">
        <v>3</v>
      </c>
      <c r="J256" s="1" t="s">
        <v>8622</v>
      </c>
      <c r="K256" s="1">
        <v>2014</v>
      </c>
      <c r="L256" s="1" t="s">
        <v>8623</v>
      </c>
      <c r="M256" s="1" t="s">
        <v>7657</v>
      </c>
      <c r="N256" s="17" t="s">
        <v>7945</v>
      </c>
      <c r="O256" s="33"/>
      <c r="P256" s="33"/>
      <c r="Q256" s="33"/>
      <c r="R256" s="33"/>
      <c r="S256" s="33">
        <v>45.04</v>
      </c>
      <c r="T256" s="33"/>
      <c r="U256" s="33">
        <v>6.25</v>
      </c>
      <c r="V256" s="33"/>
      <c r="W256" s="33"/>
      <c r="X256" s="33"/>
      <c r="Y256" s="33"/>
      <c r="Z256" s="33">
        <v>15.909271200000001</v>
      </c>
      <c r="AA256" s="33"/>
      <c r="AB256" s="33">
        <v>0.45067199999999996</v>
      </c>
      <c r="AC256" s="33"/>
      <c r="AD256" s="33"/>
      <c r="AE256" s="33"/>
      <c r="AF256" s="33">
        <v>36.6176496</v>
      </c>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t="s">
        <v>17</v>
      </c>
      <c r="BU256" s="33"/>
      <c r="BV256" s="33"/>
      <c r="BW256" s="33"/>
      <c r="BX256" s="33" t="s">
        <v>17</v>
      </c>
      <c r="BY256" s="33" t="s">
        <v>17</v>
      </c>
      <c r="BZ256" s="33" t="s">
        <v>17</v>
      </c>
      <c r="CA256" s="33">
        <v>1.3256352000000002</v>
      </c>
      <c r="CB256" s="33"/>
      <c r="CC256" s="33"/>
      <c r="CD256" s="33"/>
      <c r="CE256" s="33"/>
      <c r="CF256" s="33"/>
      <c r="CG256" s="33"/>
      <c r="CH256" s="33"/>
      <c r="CI256" s="33"/>
      <c r="CJ256" s="33"/>
      <c r="CK256" s="33"/>
      <c r="CL256" s="33" t="s">
        <v>17</v>
      </c>
      <c r="CM256" s="33"/>
      <c r="CN256" s="33"/>
      <c r="CO256" s="33">
        <v>1.9813079999999998</v>
      </c>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v>8.4638400000000003E-2</v>
      </c>
      <c r="FP256" s="33" t="s">
        <v>17</v>
      </c>
      <c r="FQ256" s="33" t="s">
        <v>17</v>
      </c>
      <c r="FR256" s="33">
        <v>4.0917720000000006</v>
      </c>
      <c r="FS256" s="33"/>
      <c r="FT256" s="33"/>
      <c r="FU256" s="33"/>
      <c r="FV256" s="33"/>
      <c r="FW256" s="33"/>
      <c r="FX256" s="33"/>
      <c r="FY256" s="33"/>
      <c r="FZ256" s="33"/>
      <c r="GA256" s="33"/>
      <c r="GB256" s="33"/>
      <c r="GC256" s="33"/>
      <c r="GD256" s="33">
        <v>5.6861286240000003E-2</v>
      </c>
      <c r="GE256" s="33">
        <v>6.0179358840000002E-2</v>
      </c>
      <c r="GF256" s="33">
        <v>0.23223015491999999</v>
      </c>
      <c r="GG256" s="33"/>
      <c r="GH256" s="33"/>
      <c r="GI256" s="33"/>
      <c r="GJ256" s="33"/>
      <c r="GK256" s="33"/>
      <c r="GL256" s="33"/>
      <c r="GM256" s="33"/>
      <c r="GN256" s="33"/>
      <c r="GO256" s="33"/>
      <c r="GP256" s="33">
        <v>6.985416000000001E-5</v>
      </c>
      <c r="GQ256" s="33">
        <v>1.0478124E-4</v>
      </c>
      <c r="GR256" s="33">
        <v>1.0478124E-4</v>
      </c>
      <c r="GS256" s="33"/>
      <c r="GT256" s="33"/>
      <c r="GU256" s="33">
        <v>2.0956248E-4</v>
      </c>
      <c r="GV256" s="33">
        <v>1.8162081599999999E-3</v>
      </c>
      <c r="GW256" s="33">
        <v>8.3824992000000001E-4</v>
      </c>
      <c r="GX256" s="33">
        <v>2.8675132680000003E-2</v>
      </c>
      <c r="GY256" s="33">
        <v>1.0128853199999998E-3</v>
      </c>
      <c r="GZ256" s="33">
        <v>1.652050884E-2</v>
      </c>
      <c r="HA256" s="33">
        <v>3.1783642800000001E-3</v>
      </c>
      <c r="HB256" s="33"/>
      <c r="HC256" s="33">
        <v>1.64157276E-3</v>
      </c>
      <c r="HD256" s="33">
        <v>8.0332284000000009E-4</v>
      </c>
      <c r="HE256" s="33">
        <v>1.8860623200000002E-3</v>
      </c>
      <c r="HF256" s="33"/>
      <c r="HG256" s="33">
        <v>2.0956248E-4</v>
      </c>
      <c r="HH256" s="33"/>
      <c r="HI256" s="33"/>
      <c r="HJ256" s="33"/>
      <c r="HK256" s="33">
        <v>8.7317699999999994E-4</v>
      </c>
      <c r="HL256" s="33"/>
      <c r="HM256" s="33"/>
      <c r="HN256" s="33"/>
      <c r="HO256" s="33"/>
      <c r="HP256" s="33"/>
      <c r="HQ256" s="33"/>
      <c r="HR256" s="33"/>
      <c r="HS256" s="33"/>
      <c r="HT256" s="33">
        <v>5.598810924E-2</v>
      </c>
      <c r="HU256" s="33"/>
      <c r="HV256" s="33"/>
      <c r="HW256" s="33"/>
      <c r="HX256" s="33"/>
      <c r="HY256" s="33"/>
      <c r="HZ256" s="33">
        <v>1.2573748799999999E-3</v>
      </c>
      <c r="IA256" s="33"/>
      <c r="IB256" s="33"/>
      <c r="IC256" s="33"/>
      <c r="ID256" s="33"/>
      <c r="IE256" s="33"/>
      <c r="IF256" s="33"/>
      <c r="IG256" s="33"/>
      <c r="IH256" s="33"/>
      <c r="II256" s="33"/>
      <c r="IJ256" s="33">
        <v>8.7317699999999994E-4</v>
      </c>
      <c r="IK256" s="33">
        <v>9.7795824000000003E-4</v>
      </c>
      <c r="IL256" s="33"/>
      <c r="IM256" s="33"/>
      <c r="IN256" s="33"/>
      <c r="IO256" s="33"/>
      <c r="IP256" s="33"/>
      <c r="IQ256" s="33"/>
      <c r="IR256" s="33">
        <v>0.19842074148000002</v>
      </c>
      <c r="IS256" s="33"/>
      <c r="IT256" s="33"/>
      <c r="IU256" s="33">
        <v>5.9376036000000001E-4</v>
      </c>
      <c r="IV256" s="33"/>
      <c r="IW256" s="33"/>
      <c r="IX256" s="33"/>
      <c r="IY256" s="33"/>
      <c r="IZ256" s="33"/>
      <c r="JA256" s="33"/>
      <c r="JB256" s="33"/>
      <c r="JC256" s="33"/>
      <c r="JD256" s="33"/>
      <c r="JE256" s="33">
        <v>3.2307548999999998E-2</v>
      </c>
      <c r="JF256" s="33"/>
      <c r="JG256" s="33"/>
      <c r="JH256" s="33"/>
      <c r="JI256" s="33"/>
      <c r="JJ256" s="33"/>
      <c r="JK256" s="33"/>
      <c r="JL256" s="33">
        <v>2.0956248E-4</v>
      </c>
      <c r="JM256" s="33"/>
      <c r="JN256" s="33"/>
      <c r="JO256" s="33"/>
      <c r="JP256" s="33">
        <v>1312.4448</v>
      </c>
      <c r="JQ256" s="33">
        <v>1078.3152</v>
      </c>
      <c r="JR256" s="33">
        <v>269.85360000000003</v>
      </c>
      <c r="KZ256" s="33"/>
      <c r="LA256" s="33"/>
      <c r="LB256" s="33"/>
      <c r="LC256" s="33"/>
      <c r="LD256" s="33"/>
      <c r="LE256" s="33"/>
      <c r="LF256" s="33"/>
      <c r="LG256" s="33"/>
      <c r="LH256" s="33"/>
      <c r="LI256" s="33"/>
      <c r="LJ256" s="33"/>
      <c r="LK256" s="33"/>
      <c r="LL256" s="33"/>
      <c r="LM256" s="33"/>
      <c r="LN256" s="33"/>
      <c r="LO256" s="33"/>
      <c r="LP256" s="44"/>
      <c r="LQ256" s="44"/>
      <c r="LR256" s="44"/>
      <c r="LS256" s="44"/>
      <c r="LT256" s="44"/>
      <c r="LU256" s="44"/>
      <c r="LV256" s="44"/>
    </row>
    <row r="257" spans="1:334" x14ac:dyDescent="0.2">
      <c r="A257" s="1" t="s">
        <v>8629</v>
      </c>
      <c r="B257" s="1" t="s">
        <v>8619</v>
      </c>
      <c r="D257" s="1" t="s">
        <v>8630</v>
      </c>
      <c r="E257" s="1" t="s">
        <v>11</v>
      </c>
      <c r="F257" s="1" t="s">
        <v>8485</v>
      </c>
      <c r="G257" s="1">
        <v>2011</v>
      </c>
      <c r="H257" s="1" t="s">
        <v>8626</v>
      </c>
      <c r="I257" s="1">
        <v>3</v>
      </c>
      <c r="J257" s="1" t="s">
        <v>8622</v>
      </c>
      <c r="K257" s="1">
        <v>2014</v>
      </c>
      <c r="L257" s="1" t="s">
        <v>8623</v>
      </c>
      <c r="M257" s="1" t="s">
        <v>7657</v>
      </c>
      <c r="N257" s="17" t="s">
        <v>7945</v>
      </c>
      <c r="O257" s="33"/>
      <c r="P257" s="33"/>
      <c r="Q257" s="33"/>
      <c r="R257" s="33"/>
      <c r="S257" s="33">
        <v>59</v>
      </c>
      <c r="T257" s="33"/>
      <c r="U257" s="33">
        <v>6.25</v>
      </c>
      <c r="V257" s="33"/>
      <c r="W257" s="33"/>
      <c r="X257" s="33"/>
      <c r="Y257" s="33"/>
      <c r="Z257" s="33">
        <v>10.53618</v>
      </c>
      <c r="AA257" s="33"/>
      <c r="AB257" s="33">
        <v>0.60885</v>
      </c>
      <c r="AC257" s="33"/>
      <c r="AD257" s="33"/>
      <c r="AE257" s="33"/>
      <c r="AF257" s="33">
        <v>28.658179999999998</v>
      </c>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t="s">
        <v>17</v>
      </c>
      <c r="BU257" s="33"/>
      <c r="BV257" s="33"/>
      <c r="BW257" s="33"/>
      <c r="BX257" s="33" t="s">
        <v>17</v>
      </c>
      <c r="BY257" s="33" t="s">
        <v>17</v>
      </c>
      <c r="BZ257" s="33" t="s">
        <v>17</v>
      </c>
      <c r="CA257" s="33">
        <v>0.87002000000000002</v>
      </c>
      <c r="CB257" s="33"/>
      <c r="CC257" s="33"/>
      <c r="CD257" s="33"/>
      <c r="CE257" s="33"/>
      <c r="CF257" s="33"/>
      <c r="CG257" s="33"/>
      <c r="CH257" s="33"/>
      <c r="CI257" s="33"/>
      <c r="CJ257" s="33"/>
      <c r="CK257" s="33"/>
      <c r="CL257" s="33" t="s">
        <v>17</v>
      </c>
      <c r="CM257" s="33"/>
      <c r="CN257" s="33"/>
      <c r="CO257" s="33">
        <v>1.1951499999999999</v>
      </c>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v>7.6670000000000002E-2</v>
      </c>
      <c r="FP257" s="33" t="s">
        <v>17</v>
      </c>
      <c r="FQ257" s="33" t="s">
        <v>17</v>
      </c>
      <c r="FR257" s="33">
        <v>4.1627300000000007</v>
      </c>
      <c r="FS257" s="33"/>
      <c r="FT257" s="33"/>
      <c r="FU257" s="33"/>
      <c r="FV257" s="33"/>
      <c r="FW257" s="33"/>
      <c r="FX257" s="33"/>
      <c r="FY257" s="33"/>
      <c r="FZ257" s="33"/>
      <c r="GA257" s="33"/>
      <c r="GB257" s="33"/>
      <c r="GC257" s="33"/>
      <c r="GD257" s="33">
        <v>8.054628862499999E-2</v>
      </c>
      <c r="GE257" s="33">
        <v>8.0310359249999991E-2</v>
      </c>
      <c r="GF257" s="33">
        <v>0.31100210212500001</v>
      </c>
      <c r="GG257" s="33"/>
      <c r="GH257" s="33"/>
      <c r="GI257" s="33"/>
      <c r="GJ257" s="33"/>
      <c r="GK257" s="33"/>
      <c r="GL257" s="33"/>
      <c r="GM257" s="33"/>
      <c r="GN257" s="33"/>
      <c r="GO257" s="33"/>
      <c r="GP257" s="33">
        <v>1.8874350000000001E-4</v>
      </c>
      <c r="GQ257" s="33">
        <v>1.8874350000000001E-4</v>
      </c>
      <c r="GR257" s="33">
        <v>2.8311524999999999E-4</v>
      </c>
      <c r="GS257" s="33"/>
      <c r="GT257" s="33"/>
      <c r="GU257" s="33">
        <v>3.3030112500000001E-4</v>
      </c>
      <c r="GV257" s="33">
        <v>2.028992625E-3</v>
      </c>
      <c r="GW257" s="33">
        <v>1.0852751250000001E-3</v>
      </c>
      <c r="GX257" s="33">
        <v>4.0249551374999991E-2</v>
      </c>
      <c r="GY257" s="33">
        <v>1.8402491249999999E-3</v>
      </c>
      <c r="GZ257" s="33">
        <v>2.6895948749999999E-2</v>
      </c>
      <c r="HA257" s="33">
        <v>3.3973829999999999E-3</v>
      </c>
      <c r="HB257" s="33"/>
      <c r="HC257" s="33">
        <v>1.557133875E-3</v>
      </c>
      <c r="HD257" s="33">
        <v>7.0778812499999993E-4</v>
      </c>
      <c r="HE257" s="33">
        <v>1.8402491249999999E-3</v>
      </c>
      <c r="HF257" s="33"/>
      <c r="HG257" s="33">
        <v>1.41557625E-4</v>
      </c>
      <c r="HH257" s="33"/>
      <c r="HI257" s="33"/>
      <c r="HJ257" s="33"/>
      <c r="HK257" s="33">
        <v>8.4934574999999998E-4</v>
      </c>
      <c r="HL257" s="33"/>
      <c r="HM257" s="33"/>
      <c r="HN257" s="33"/>
      <c r="HO257" s="33"/>
      <c r="HP257" s="33"/>
      <c r="HQ257" s="33"/>
      <c r="HR257" s="33"/>
      <c r="HS257" s="33"/>
      <c r="HT257" s="33">
        <v>7.6158002249999995E-2</v>
      </c>
      <c r="HU257" s="33"/>
      <c r="HV257" s="33"/>
      <c r="HW257" s="33"/>
      <c r="HX257" s="33"/>
      <c r="HY257" s="33"/>
      <c r="HZ257" s="33">
        <v>1.6986915E-3</v>
      </c>
      <c r="IA257" s="33"/>
      <c r="IB257" s="33"/>
      <c r="IC257" s="33"/>
      <c r="ID257" s="33"/>
      <c r="IE257" s="33"/>
      <c r="IF257" s="33"/>
      <c r="IG257" s="33"/>
      <c r="IH257" s="33"/>
      <c r="II257" s="33"/>
      <c r="IJ257" s="33">
        <v>9.9090337500000003E-4</v>
      </c>
      <c r="IK257" s="33">
        <v>4.7185875000000001E-4</v>
      </c>
      <c r="IL257" s="33"/>
      <c r="IM257" s="33"/>
      <c r="IN257" s="33"/>
      <c r="IO257" s="33"/>
      <c r="IP257" s="33"/>
      <c r="IQ257" s="33"/>
      <c r="IR257" s="33">
        <v>0.26711923837500001</v>
      </c>
      <c r="IS257" s="33"/>
      <c r="IT257" s="33"/>
      <c r="IU257" s="33">
        <v>7.0778812499999993E-4</v>
      </c>
      <c r="IV257" s="33"/>
      <c r="IW257" s="33"/>
      <c r="IX257" s="33"/>
      <c r="IY257" s="33"/>
      <c r="IZ257" s="33"/>
      <c r="JA257" s="33"/>
      <c r="JB257" s="33"/>
      <c r="JC257" s="33"/>
      <c r="JD257" s="33"/>
      <c r="JE257" s="33">
        <v>4.2514473375E-2</v>
      </c>
      <c r="JF257" s="33"/>
      <c r="JG257" s="33"/>
      <c r="JH257" s="33"/>
      <c r="JI257" s="33"/>
      <c r="JJ257" s="33"/>
      <c r="JK257" s="33"/>
      <c r="JL257" s="33">
        <v>9.4371750000000007E-5</v>
      </c>
      <c r="JM257" s="33"/>
      <c r="JN257" s="33"/>
      <c r="JO257" s="33"/>
      <c r="JP257" s="33">
        <v>952.43000000000006</v>
      </c>
      <c r="JQ257" s="33">
        <v>601.06000000000006</v>
      </c>
      <c r="JR257" s="33">
        <v>200.07999999999998</v>
      </c>
      <c r="KZ257" s="33"/>
      <c r="LA257" s="33"/>
      <c r="LB257" s="33"/>
      <c r="LC257" s="33"/>
      <c r="LD257" s="33"/>
      <c r="LE257" s="33"/>
      <c r="LF257" s="33"/>
      <c r="LG257" s="33"/>
      <c r="LH257" s="33"/>
      <c r="LI257" s="33"/>
      <c r="LJ257" s="33"/>
      <c r="LK257" s="33"/>
      <c r="LL257" s="33"/>
      <c r="LM257" s="33"/>
      <c r="LN257" s="33"/>
      <c r="LO257" s="33"/>
      <c r="LP257" s="44"/>
      <c r="LQ257" s="44"/>
      <c r="LR257" s="44"/>
      <c r="LS257" s="44"/>
      <c r="LT257" s="44"/>
      <c r="LU257" s="44"/>
      <c r="LV257" s="44"/>
    </row>
    <row r="258" spans="1:334" x14ac:dyDescent="0.2">
      <c r="A258" s="1" t="s">
        <v>8631</v>
      </c>
      <c r="B258" s="1" t="s">
        <v>8632</v>
      </c>
      <c r="D258" s="1" t="s">
        <v>8633</v>
      </c>
      <c r="E258" s="1" t="s">
        <v>7966</v>
      </c>
      <c r="F258" s="1" t="s">
        <v>8110</v>
      </c>
      <c r="G258" s="1" t="s">
        <v>8634</v>
      </c>
      <c r="J258" s="1" t="s">
        <v>8635</v>
      </c>
      <c r="K258" s="1">
        <v>2015</v>
      </c>
      <c r="L258" s="1" t="s">
        <v>8636</v>
      </c>
      <c r="M258" s="1" t="s">
        <v>7657</v>
      </c>
      <c r="N258" s="17" t="s">
        <v>7945</v>
      </c>
      <c r="O258" s="33"/>
      <c r="P258" s="33"/>
      <c r="Q258" s="33"/>
      <c r="R258" s="33"/>
      <c r="S258" s="33">
        <v>7.68</v>
      </c>
      <c r="T258" s="33"/>
      <c r="U258" s="33"/>
      <c r="V258" s="33"/>
      <c r="W258" s="33"/>
      <c r="X258" s="33"/>
      <c r="Y258" s="33"/>
      <c r="Z258" s="33">
        <v>20.5412</v>
      </c>
      <c r="AA258" s="33"/>
      <c r="AB258" s="33"/>
      <c r="AC258" s="33">
        <v>1.6894559999999998</v>
      </c>
      <c r="AD258" s="33"/>
      <c r="AE258" s="33"/>
      <c r="AF258" s="33">
        <v>67.098176000000009</v>
      </c>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v>2.991168</v>
      </c>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c r="IV258" s="33"/>
      <c r="IW258" s="33"/>
      <c r="IX258" s="33"/>
      <c r="IY258" s="33"/>
      <c r="IZ258" s="33"/>
      <c r="JA258" s="33"/>
      <c r="JB258" s="33"/>
      <c r="JC258" s="33"/>
      <c r="JD258" s="33"/>
      <c r="JE258" s="33"/>
      <c r="JF258" s="33"/>
      <c r="JG258" s="33"/>
      <c r="JH258" s="33"/>
      <c r="JI258" s="33"/>
      <c r="JJ258" s="33"/>
      <c r="JK258" s="33"/>
      <c r="JL258" s="33"/>
      <c r="JM258" s="33"/>
      <c r="JN258" s="33"/>
      <c r="JO258" s="33"/>
      <c r="JP258" s="33"/>
      <c r="JQ258" s="33"/>
      <c r="JR258" s="33"/>
      <c r="KZ258" s="33"/>
      <c r="LA258" s="33"/>
      <c r="LB258" s="33"/>
      <c r="LC258" s="33"/>
      <c r="LD258" s="33"/>
      <c r="LE258" s="33"/>
      <c r="LF258" s="33"/>
      <c r="LG258" s="33"/>
      <c r="LH258" s="33"/>
      <c r="LI258" s="33"/>
      <c r="LJ258" s="33"/>
      <c r="LK258" s="33"/>
      <c r="LL258" s="33"/>
      <c r="LM258" s="33"/>
      <c r="LN258" s="33"/>
      <c r="LO258" s="33"/>
      <c r="LP258" s="44"/>
      <c r="LQ258" s="44"/>
      <c r="LR258" s="44"/>
      <c r="LS258" s="44"/>
      <c r="LT258" s="44"/>
      <c r="LU258" s="44"/>
      <c r="LV258" s="44"/>
    </row>
    <row r="259" spans="1:334" x14ac:dyDescent="0.2">
      <c r="A259" s="1" t="s">
        <v>8637</v>
      </c>
      <c r="B259" s="1" t="s">
        <v>8632</v>
      </c>
      <c r="D259" s="1" t="s">
        <v>8638</v>
      </c>
      <c r="E259" s="1" t="s">
        <v>7966</v>
      </c>
      <c r="F259" s="1" t="s">
        <v>688</v>
      </c>
      <c r="G259" s="1" t="s">
        <v>8634</v>
      </c>
      <c r="J259" s="1" t="s">
        <v>8635</v>
      </c>
      <c r="K259" s="1">
        <v>2015</v>
      </c>
      <c r="L259" s="1" t="s">
        <v>8636</v>
      </c>
      <c r="M259" s="1" t="s">
        <v>7657</v>
      </c>
      <c r="N259" s="17" t="s">
        <v>7945</v>
      </c>
      <c r="O259" s="33"/>
      <c r="P259" s="33"/>
      <c r="Q259" s="33"/>
      <c r="R259" s="33"/>
      <c r="S259" s="33">
        <v>8.2799999999999994</v>
      </c>
      <c r="T259" s="33"/>
      <c r="U259" s="33"/>
      <c r="V259" s="33"/>
      <c r="W259" s="33"/>
      <c r="X259" s="33"/>
      <c r="Y259" s="33"/>
      <c r="Z259" s="33">
        <v>22.388852</v>
      </c>
      <c r="AA259" s="33"/>
      <c r="AB259" s="33"/>
      <c r="AC259" s="33">
        <v>5.1088040000000001</v>
      </c>
      <c r="AD259" s="33"/>
      <c r="AE259" s="33"/>
      <c r="AF259" s="33">
        <v>61.975203999999991</v>
      </c>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v>2.2471400000000004</v>
      </c>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c r="IV259" s="33"/>
      <c r="IW259" s="33"/>
      <c r="IX259" s="33"/>
      <c r="IY259" s="33"/>
      <c r="IZ259" s="33"/>
      <c r="JA259" s="33"/>
      <c r="JB259" s="33"/>
      <c r="JC259" s="33"/>
      <c r="JD259" s="33"/>
      <c r="JE259" s="33"/>
      <c r="JF259" s="33"/>
      <c r="JG259" s="33"/>
      <c r="JH259" s="33"/>
      <c r="JI259" s="33"/>
      <c r="JJ259" s="33"/>
      <c r="JK259" s="33"/>
      <c r="JL259" s="33"/>
      <c r="JM259" s="33"/>
      <c r="JN259" s="33"/>
      <c r="JO259" s="33"/>
      <c r="JP259" s="33"/>
      <c r="JQ259" s="33"/>
      <c r="JR259" s="33"/>
      <c r="KZ259" s="33"/>
      <c r="LA259" s="33"/>
      <c r="LB259" s="33"/>
      <c r="LC259" s="33"/>
      <c r="LD259" s="33"/>
      <c r="LE259" s="33"/>
      <c r="LF259" s="33"/>
      <c r="LG259" s="33"/>
      <c r="LH259" s="33"/>
      <c r="LI259" s="33"/>
      <c r="LJ259" s="33"/>
      <c r="LK259" s="33"/>
      <c r="LL259" s="33"/>
      <c r="LM259" s="33"/>
      <c r="LN259" s="33"/>
      <c r="LO259" s="33"/>
      <c r="LP259" s="44"/>
      <c r="LQ259" s="44"/>
      <c r="LR259" s="44"/>
      <c r="LS259" s="44"/>
      <c r="LT259" s="44"/>
      <c r="LU259" s="44"/>
      <c r="LV259" s="44"/>
    </row>
    <row r="260" spans="1:334" x14ac:dyDescent="0.2">
      <c r="A260" s="1" t="s">
        <v>8639</v>
      </c>
      <c r="B260" s="1" t="s">
        <v>8632</v>
      </c>
      <c r="D260" s="1" t="s">
        <v>8640</v>
      </c>
      <c r="E260" s="1" t="s">
        <v>7966</v>
      </c>
      <c r="F260" s="1" t="s">
        <v>8024</v>
      </c>
      <c r="G260" s="1" t="s">
        <v>8634</v>
      </c>
      <c r="J260" s="1" t="s">
        <v>8635</v>
      </c>
      <c r="K260" s="1">
        <v>2015</v>
      </c>
      <c r="L260" s="1" t="s">
        <v>8636</v>
      </c>
      <c r="M260" s="1" t="s">
        <v>7657</v>
      </c>
      <c r="N260" s="17" t="s">
        <v>7945</v>
      </c>
      <c r="O260" s="33"/>
      <c r="P260" s="33"/>
      <c r="Q260" s="33"/>
      <c r="R260" s="33"/>
      <c r="S260" s="33">
        <v>8.41</v>
      </c>
      <c r="T260" s="33"/>
      <c r="U260" s="33"/>
      <c r="V260" s="33"/>
      <c r="W260" s="33"/>
      <c r="X260" s="33"/>
      <c r="Y260" s="33"/>
      <c r="Z260" s="33">
        <v>24.124806</v>
      </c>
      <c r="AA260" s="33"/>
      <c r="AB260" s="33"/>
      <c r="AC260" s="33">
        <v>1.1448750000000001</v>
      </c>
      <c r="AD260" s="33"/>
      <c r="AE260" s="33"/>
      <c r="AF260" s="33">
        <v>63.911501999999999</v>
      </c>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v>2.408817</v>
      </c>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c r="IV260" s="33"/>
      <c r="IW260" s="33"/>
      <c r="IX260" s="33"/>
      <c r="IY260" s="33"/>
      <c r="IZ260" s="33"/>
      <c r="JA260" s="33"/>
      <c r="JB260" s="33"/>
      <c r="JC260" s="33"/>
      <c r="JD260" s="33"/>
      <c r="JE260" s="33"/>
      <c r="JF260" s="33"/>
      <c r="JG260" s="33"/>
      <c r="JH260" s="33"/>
      <c r="JI260" s="33"/>
      <c r="JJ260" s="33"/>
      <c r="JK260" s="33"/>
      <c r="JL260" s="33"/>
      <c r="JM260" s="33"/>
      <c r="JN260" s="33"/>
      <c r="JO260" s="33"/>
      <c r="JP260" s="33"/>
      <c r="JQ260" s="33"/>
      <c r="JR260" s="33"/>
      <c r="KZ260" s="33"/>
      <c r="LA260" s="33"/>
      <c r="LB260" s="33"/>
      <c r="LC260" s="33"/>
      <c r="LD260" s="33"/>
      <c r="LE260" s="33"/>
      <c r="LF260" s="33"/>
      <c r="LG260" s="33"/>
      <c r="LH260" s="33"/>
      <c r="LI260" s="33"/>
      <c r="LJ260" s="33"/>
      <c r="LK260" s="33"/>
      <c r="LL260" s="33"/>
      <c r="LM260" s="33"/>
      <c r="LN260" s="33"/>
      <c r="LO260" s="33"/>
      <c r="LP260" s="44"/>
      <c r="LQ260" s="44"/>
      <c r="LR260" s="44"/>
      <c r="LS260" s="44"/>
      <c r="LT260" s="44"/>
      <c r="LU260" s="44"/>
      <c r="LV260" s="44"/>
    </row>
    <row r="261" spans="1:334" x14ac:dyDescent="0.2">
      <c r="A261" s="1" t="s">
        <v>8641</v>
      </c>
      <c r="D261" s="1" t="s">
        <v>8642</v>
      </c>
      <c r="E261" s="1" t="s">
        <v>8099</v>
      </c>
      <c r="F261" s="1" t="s">
        <v>688</v>
      </c>
      <c r="H261" s="1" t="s">
        <v>8643</v>
      </c>
      <c r="K261" s="1">
        <v>1997</v>
      </c>
      <c r="L261" s="1" t="s">
        <v>8644</v>
      </c>
      <c r="M261" s="1" t="s">
        <v>7657</v>
      </c>
      <c r="N261" s="17" t="s">
        <v>7945</v>
      </c>
      <c r="O261" s="33"/>
      <c r="P261" s="33"/>
      <c r="Q261" s="33"/>
      <c r="R261" s="33"/>
      <c r="S261" s="33">
        <v>3.2</v>
      </c>
      <c r="T261" s="33"/>
      <c r="U261" s="33"/>
      <c r="V261" s="33"/>
      <c r="W261" s="33"/>
      <c r="X261" s="33"/>
      <c r="Y261" s="33"/>
      <c r="Z261" s="33">
        <v>21.2</v>
      </c>
      <c r="AA261" s="33"/>
      <c r="AB261" s="33"/>
      <c r="AC261" s="33"/>
      <c r="AD261" s="33">
        <v>5.6</v>
      </c>
      <c r="AE261" s="33">
        <v>66.099999999999994</v>
      </c>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v>1.3</v>
      </c>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v>2.6</v>
      </c>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c r="IV261" s="33"/>
      <c r="IW261" s="33"/>
      <c r="IX261" s="33"/>
      <c r="IY261" s="33"/>
      <c r="IZ261" s="33"/>
      <c r="JA261" s="33"/>
      <c r="JB261" s="33"/>
      <c r="JC261" s="33"/>
      <c r="JD261" s="33"/>
      <c r="JE261" s="33"/>
      <c r="JF261" s="33"/>
      <c r="JG261" s="33"/>
      <c r="JH261" s="33"/>
      <c r="JI261" s="33"/>
      <c r="JJ261" s="33"/>
      <c r="JK261" s="33"/>
      <c r="JL261" s="33"/>
      <c r="JM261" s="33"/>
      <c r="JN261" s="33"/>
      <c r="JO261" s="33"/>
      <c r="JP261" s="33"/>
      <c r="JQ261" s="33"/>
      <c r="JR261" s="33"/>
      <c r="KZ261" s="33"/>
      <c r="LA261" s="33"/>
      <c r="LB261" s="33"/>
      <c r="LC261" s="33"/>
      <c r="LD261" s="33"/>
      <c r="LE261" s="33"/>
      <c r="LF261" s="33"/>
      <c r="LG261" s="33"/>
      <c r="LH261" s="33"/>
      <c r="LI261" s="33"/>
      <c r="LJ261" s="33"/>
      <c r="LK261" s="33"/>
      <c r="LL261" s="33"/>
      <c r="LM261" s="33"/>
      <c r="LN261" s="33"/>
      <c r="LO261" s="33"/>
      <c r="LP261" s="44"/>
      <c r="LQ261" s="44"/>
      <c r="LR261" s="44"/>
      <c r="LS261" s="44"/>
      <c r="LT261" s="44"/>
      <c r="LU261" s="44"/>
      <c r="LV261" s="44"/>
    </row>
    <row r="262" spans="1:334" x14ac:dyDescent="0.2">
      <c r="A262" s="1" t="s">
        <v>8645</v>
      </c>
      <c r="D262" s="1" t="s">
        <v>8646</v>
      </c>
      <c r="E262" s="1" t="s">
        <v>8099</v>
      </c>
      <c r="F262" s="1" t="s">
        <v>8647</v>
      </c>
      <c r="H262" s="1" t="s">
        <v>8643</v>
      </c>
      <c r="K262" s="1">
        <v>1997</v>
      </c>
      <c r="L262" s="1" t="s">
        <v>8644</v>
      </c>
      <c r="M262" s="1" t="s">
        <v>7657</v>
      </c>
      <c r="N262" s="17" t="s">
        <v>7945</v>
      </c>
      <c r="O262" s="33"/>
      <c r="P262" s="33"/>
      <c r="Q262" s="33"/>
      <c r="R262" s="33"/>
      <c r="S262" s="33">
        <v>3.3</v>
      </c>
      <c r="T262" s="33"/>
      <c r="U262" s="33"/>
      <c r="V262" s="33"/>
      <c r="W262" s="33"/>
      <c r="X262" s="33"/>
      <c r="Y262" s="33"/>
      <c r="Z262" s="33">
        <v>23.2</v>
      </c>
      <c r="AA262" s="33"/>
      <c r="AB262" s="33"/>
      <c r="AC262" s="33"/>
      <c r="AD262" s="33">
        <v>1.4</v>
      </c>
      <c r="AE262" s="33">
        <v>67.900000000000006</v>
      </c>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v>0.8</v>
      </c>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v>3.3</v>
      </c>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c r="IV262" s="33"/>
      <c r="IW262" s="33"/>
      <c r="IX262" s="33"/>
      <c r="IY262" s="33"/>
      <c r="IZ262" s="33"/>
      <c r="JA262" s="33"/>
      <c r="JB262" s="33"/>
      <c r="JC262" s="33"/>
      <c r="JD262" s="33"/>
      <c r="JE262" s="33"/>
      <c r="JF262" s="33"/>
      <c r="JG262" s="33"/>
      <c r="JH262" s="33"/>
      <c r="JI262" s="33"/>
      <c r="JJ262" s="33"/>
      <c r="JK262" s="33"/>
      <c r="JL262" s="33"/>
      <c r="JM262" s="33"/>
      <c r="JN262" s="33"/>
      <c r="JO262" s="33"/>
      <c r="JP262" s="33"/>
      <c r="JQ262" s="33"/>
      <c r="JR262" s="33"/>
      <c r="KZ262" s="33"/>
      <c r="LA262" s="33"/>
      <c r="LB262" s="33"/>
      <c r="LC262" s="33"/>
      <c r="LD262" s="33"/>
      <c r="LE262" s="33"/>
      <c r="LF262" s="33"/>
      <c r="LG262" s="33"/>
      <c r="LH262" s="33"/>
      <c r="LI262" s="33"/>
      <c r="LJ262" s="33"/>
      <c r="LK262" s="33"/>
      <c r="LL262" s="33"/>
      <c r="LM262" s="33"/>
      <c r="LN262" s="33"/>
      <c r="LO262" s="33"/>
      <c r="LP262" s="44"/>
      <c r="LQ262" s="44"/>
      <c r="LR262" s="44"/>
      <c r="LS262" s="44"/>
      <c r="LT262" s="44"/>
      <c r="LU262" s="44"/>
      <c r="LV262" s="44"/>
    </row>
    <row r="263" spans="1:334" x14ac:dyDescent="0.2">
      <c r="A263" s="1" t="s">
        <v>8648</v>
      </c>
      <c r="D263" s="1" t="s">
        <v>8649</v>
      </c>
      <c r="E263" s="1" t="s">
        <v>8099</v>
      </c>
      <c r="F263" s="1" t="s">
        <v>8650</v>
      </c>
      <c r="H263" s="1" t="s">
        <v>8643</v>
      </c>
      <c r="K263" s="1">
        <v>1997</v>
      </c>
      <c r="L263" s="1" t="s">
        <v>8644</v>
      </c>
      <c r="M263" s="1" t="s">
        <v>7657</v>
      </c>
      <c r="N263" s="17" t="s">
        <v>7945</v>
      </c>
      <c r="O263" s="33"/>
      <c r="P263" s="33"/>
      <c r="Q263" s="33"/>
      <c r="R263" s="33"/>
      <c r="S263" s="33">
        <v>1.3</v>
      </c>
      <c r="T263" s="33"/>
      <c r="U263" s="33"/>
      <c r="V263" s="33"/>
      <c r="W263" s="33"/>
      <c r="X263" s="33"/>
      <c r="Y263" s="33"/>
      <c r="Z263" s="33">
        <v>25.6</v>
      </c>
      <c r="AA263" s="33"/>
      <c r="AB263" s="33"/>
      <c r="AC263" s="33"/>
      <c r="AD263" s="33">
        <v>1.3</v>
      </c>
      <c r="AE263" s="33">
        <v>67.7</v>
      </c>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v>0.8</v>
      </c>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v>3.3</v>
      </c>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c r="IV263" s="33"/>
      <c r="IW263" s="33"/>
      <c r="IX263" s="33"/>
      <c r="IY263" s="33"/>
      <c r="IZ263" s="33"/>
      <c r="JA263" s="33"/>
      <c r="JB263" s="33"/>
      <c r="JC263" s="33"/>
      <c r="JD263" s="33"/>
      <c r="JE263" s="33"/>
      <c r="JF263" s="33"/>
      <c r="JG263" s="33"/>
      <c r="JH263" s="33"/>
      <c r="JI263" s="33"/>
      <c r="JJ263" s="33"/>
      <c r="JK263" s="33"/>
      <c r="JL263" s="33"/>
      <c r="JM263" s="33"/>
      <c r="JN263" s="33"/>
      <c r="JO263" s="33"/>
      <c r="JP263" s="33"/>
      <c r="JQ263" s="33"/>
      <c r="JR263" s="33"/>
      <c r="KZ263" s="33"/>
      <c r="LA263" s="33"/>
      <c r="LB263" s="33"/>
      <c r="LC263" s="33"/>
      <c r="LD263" s="33"/>
      <c r="LE263" s="33"/>
      <c r="LF263" s="33"/>
      <c r="LG263" s="33"/>
      <c r="LH263" s="33"/>
      <c r="LI263" s="33"/>
      <c r="LJ263" s="33"/>
      <c r="LK263" s="33"/>
      <c r="LL263" s="33"/>
      <c r="LM263" s="33"/>
      <c r="LN263" s="33"/>
      <c r="LO263" s="33"/>
      <c r="LP263" s="44"/>
      <c r="LQ263" s="44"/>
      <c r="LR263" s="44"/>
      <c r="LS263" s="44"/>
      <c r="LT263" s="44"/>
      <c r="LU263" s="44"/>
      <c r="LV263" s="44"/>
    </row>
    <row r="264" spans="1:334" x14ac:dyDescent="0.2">
      <c r="A264" s="1" t="s">
        <v>8651</v>
      </c>
      <c r="D264" s="1" t="s">
        <v>8652</v>
      </c>
      <c r="E264" s="1" t="s">
        <v>8099</v>
      </c>
      <c r="F264" s="1" t="s">
        <v>8395</v>
      </c>
      <c r="H264" s="1" t="s">
        <v>8643</v>
      </c>
      <c r="K264" s="1">
        <v>1997</v>
      </c>
      <c r="L264" s="1" t="s">
        <v>8644</v>
      </c>
      <c r="M264" s="1" t="s">
        <v>7657</v>
      </c>
      <c r="N264" s="17" t="s">
        <v>7945</v>
      </c>
      <c r="O264" s="33"/>
      <c r="P264" s="33"/>
      <c r="Q264" s="33"/>
      <c r="R264" s="33"/>
      <c r="S264" s="33">
        <v>5</v>
      </c>
      <c r="T264" s="33"/>
      <c r="U264" s="33"/>
      <c r="V264" s="33"/>
      <c r="W264" s="33"/>
      <c r="X264" s="33"/>
      <c r="Y264" s="33"/>
      <c r="Z264" s="33">
        <v>26</v>
      </c>
      <c r="AA264" s="33"/>
      <c r="AB264" s="33"/>
      <c r="AC264" s="33"/>
      <c r="AD264" s="33">
        <v>0.8</v>
      </c>
      <c r="AE264" s="33">
        <v>65.2</v>
      </c>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v>0.7</v>
      </c>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v>2.2999999999999998</v>
      </c>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c r="IV264" s="33"/>
      <c r="IW264" s="33"/>
      <c r="IX264" s="33"/>
      <c r="IY264" s="33"/>
      <c r="IZ264" s="33"/>
      <c r="JA264" s="33"/>
      <c r="JB264" s="33"/>
      <c r="JC264" s="33"/>
      <c r="JD264" s="33"/>
      <c r="JE264" s="33"/>
      <c r="JF264" s="33"/>
      <c r="JG264" s="33"/>
      <c r="JH264" s="33"/>
      <c r="JI264" s="33"/>
      <c r="JJ264" s="33"/>
      <c r="JK264" s="33"/>
      <c r="JL264" s="33"/>
      <c r="JM264" s="33"/>
      <c r="JN264" s="33"/>
      <c r="JO264" s="33"/>
      <c r="JP264" s="33"/>
      <c r="JQ264" s="33"/>
      <c r="JR264" s="33"/>
      <c r="KZ264" s="33"/>
      <c r="LA264" s="33"/>
      <c r="LB264" s="33"/>
      <c r="LC264" s="33"/>
      <c r="LD264" s="33"/>
      <c r="LE264" s="33"/>
      <c r="LF264" s="33"/>
      <c r="LG264" s="33"/>
      <c r="LH264" s="33"/>
      <c r="LI264" s="33"/>
      <c r="LJ264" s="33"/>
      <c r="LK264" s="33"/>
      <c r="LL264" s="33"/>
      <c r="LM264" s="33"/>
      <c r="LN264" s="33"/>
      <c r="LO264" s="33"/>
      <c r="LP264" s="44"/>
      <c r="LQ264" s="44"/>
      <c r="LR264" s="44"/>
      <c r="LS264" s="44"/>
      <c r="LT264" s="44"/>
      <c r="LU264" s="44"/>
      <c r="LV264" s="44"/>
    </row>
    <row r="265" spans="1:334" x14ac:dyDescent="0.2">
      <c r="A265" s="1" t="s">
        <v>8653</v>
      </c>
      <c r="D265" s="1" t="s">
        <v>8654</v>
      </c>
      <c r="E265" s="1" t="s">
        <v>11</v>
      </c>
      <c r="F265" s="1" t="s">
        <v>688</v>
      </c>
      <c r="H265" s="1" t="s">
        <v>8643</v>
      </c>
      <c r="K265" s="1">
        <v>1997</v>
      </c>
      <c r="L265" s="1" t="s">
        <v>8644</v>
      </c>
      <c r="M265" s="1" t="s">
        <v>7657</v>
      </c>
      <c r="N265" s="17" t="s">
        <v>7945</v>
      </c>
      <c r="O265" s="33"/>
      <c r="P265" s="33"/>
      <c r="Q265" s="33"/>
      <c r="R265" s="33"/>
      <c r="S265" s="33">
        <v>1.6</v>
      </c>
      <c r="T265" s="33"/>
      <c r="U265" s="33"/>
      <c r="V265" s="33"/>
      <c r="W265" s="33"/>
      <c r="X265" s="33"/>
      <c r="Y265" s="33"/>
      <c r="Z265" s="33">
        <v>21.3</v>
      </c>
      <c r="AA265" s="33"/>
      <c r="AB265" s="33"/>
      <c r="AC265" s="33"/>
      <c r="AD265" s="33">
        <v>5.5</v>
      </c>
      <c r="AE265" s="33">
        <v>67.8</v>
      </c>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v>1.2</v>
      </c>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v>2.6</v>
      </c>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c r="IV265" s="33"/>
      <c r="IW265" s="33"/>
      <c r="IX265" s="33"/>
      <c r="IY265" s="33"/>
      <c r="IZ265" s="33"/>
      <c r="JA265" s="33"/>
      <c r="JB265" s="33"/>
      <c r="JC265" s="33"/>
      <c r="JD265" s="33"/>
      <c r="JE265" s="33"/>
      <c r="JF265" s="33"/>
      <c r="JG265" s="33"/>
      <c r="JH265" s="33"/>
      <c r="JI265" s="33"/>
      <c r="JJ265" s="33"/>
      <c r="JK265" s="33"/>
      <c r="JL265" s="33"/>
      <c r="JM265" s="33"/>
      <c r="JN265" s="33"/>
      <c r="JO265" s="33"/>
      <c r="JP265" s="33"/>
      <c r="JQ265" s="33"/>
      <c r="JR265" s="33"/>
      <c r="KZ265" s="33"/>
      <c r="LA265" s="33"/>
      <c r="LB265" s="33"/>
      <c r="LC265" s="33"/>
      <c r="LD265" s="33"/>
      <c r="LE265" s="33"/>
      <c r="LF265" s="33"/>
      <c r="LG265" s="33"/>
      <c r="LH265" s="33"/>
      <c r="LI265" s="33"/>
      <c r="LJ265" s="33"/>
      <c r="LK265" s="33"/>
      <c r="LL265" s="33"/>
      <c r="LM265" s="33"/>
      <c r="LN265" s="33"/>
      <c r="LO265" s="33"/>
      <c r="LP265" s="44"/>
      <c r="LQ265" s="44"/>
      <c r="LR265" s="44"/>
      <c r="LS265" s="44"/>
      <c r="LT265" s="44"/>
      <c r="LU265" s="44"/>
      <c r="LV265" s="44"/>
    </row>
    <row r="266" spans="1:334" x14ac:dyDescent="0.2">
      <c r="A266" s="1" t="s">
        <v>8655</v>
      </c>
      <c r="D266" s="1" t="s">
        <v>8656</v>
      </c>
      <c r="E266" s="1" t="s">
        <v>11</v>
      </c>
      <c r="F266" s="1" t="s">
        <v>8647</v>
      </c>
      <c r="H266" s="1" t="s">
        <v>8643</v>
      </c>
      <c r="K266" s="1">
        <v>1997</v>
      </c>
      <c r="L266" s="1" t="s">
        <v>8644</v>
      </c>
      <c r="M266" s="1" t="s">
        <v>7657</v>
      </c>
      <c r="N266" s="17" t="s">
        <v>7945</v>
      </c>
      <c r="O266" s="33"/>
      <c r="P266" s="33"/>
      <c r="Q266" s="33"/>
      <c r="R266" s="33"/>
      <c r="S266" s="33">
        <v>1.6</v>
      </c>
      <c r="T266" s="33"/>
      <c r="U266" s="33"/>
      <c r="V266" s="33"/>
      <c r="W266" s="33"/>
      <c r="X266" s="33"/>
      <c r="Y266" s="33"/>
      <c r="Z266" s="33">
        <v>23.3</v>
      </c>
      <c r="AA266" s="33"/>
      <c r="AB266" s="33"/>
      <c r="AC266" s="33"/>
      <c r="AD266" s="33">
        <v>1.5</v>
      </c>
      <c r="AE266" s="33">
        <v>69.3</v>
      </c>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v>1</v>
      </c>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v>3.3</v>
      </c>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c r="IV266" s="33"/>
      <c r="IW266" s="33"/>
      <c r="IX266" s="33"/>
      <c r="IY266" s="33"/>
      <c r="IZ266" s="33"/>
      <c r="JA266" s="33"/>
      <c r="JB266" s="33"/>
      <c r="JC266" s="33"/>
      <c r="JD266" s="33"/>
      <c r="JE266" s="33"/>
      <c r="JF266" s="33"/>
      <c r="JG266" s="33"/>
      <c r="JH266" s="33"/>
      <c r="JI266" s="33"/>
      <c r="JJ266" s="33"/>
      <c r="JK266" s="33"/>
      <c r="JL266" s="33"/>
      <c r="JM266" s="33"/>
      <c r="JN266" s="33"/>
      <c r="JO266" s="33"/>
      <c r="JP266" s="33"/>
      <c r="JQ266" s="33"/>
      <c r="JR266" s="33"/>
      <c r="KZ266" s="33"/>
      <c r="LA266" s="33"/>
      <c r="LB266" s="33"/>
      <c r="LC266" s="33"/>
      <c r="LD266" s="33"/>
      <c r="LE266" s="33"/>
      <c r="LF266" s="33"/>
      <c r="LG266" s="33"/>
      <c r="LH266" s="33"/>
      <c r="LI266" s="33"/>
      <c r="LJ266" s="33"/>
      <c r="LK266" s="33"/>
      <c r="LL266" s="33"/>
      <c r="LM266" s="33"/>
      <c r="LN266" s="33"/>
      <c r="LO266" s="33"/>
      <c r="LP266" s="44"/>
      <c r="LQ266" s="44"/>
      <c r="LR266" s="44"/>
      <c r="LS266" s="44"/>
      <c r="LT266" s="44"/>
      <c r="LU266" s="44"/>
      <c r="LV266" s="44"/>
    </row>
    <row r="267" spans="1:334" x14ac:dyDescent="0.2">
      <c r="A267" s="1" t="s">
        <v>8657</v>
      </c>
      <c r="D267" s="1" t="s">
        <v>8658</v>
      </c>
      <c r="E267" s="1" t="s">
        <v>11</v>
      </c>
      <c r="F267" s="1" t="s">
        <v>8650</v>
      </c>
      <c r="H267" s="1" t="s">
        <v>8643</v>
      </c>
      <c r="K267" s="1">
        <v>1997</v>
      </c>
      <c r="L267" s="1" t="s">
        <v>8644</v>
      </c>
      <c r="M267" s="1" t="s">
        <v>7657</v>
      </c>
      <c r="N267" s="17" t="s">
        <v>7945</v>
      </c>
      <c r="O267" s="33"/>
      <c r="P267" s="33"/>
      <c r="Q267" s="33"/>
      <c r="R267" s="33"/>
      <c r="S267" s="33">
        <v>4.4000000000000004</v>
      </c>
      <c r="T267" s="33"/>
      <c r="U267" s="33"/>
      <c r="V267" s="33"/>
      <c r="W267" s="33"/>
      <c r="X267" s="33"/>
      <c r="Y267" s="33"/>
      <c r="Z267" s="33">
        <v>25.6</v>
      </c>
      <c r="AA267" s="33"/>
      <c r="AB267" s="33"/>
      <c r="AC267" s="33"/>
      <c r="AD267" s="33">
        <v>1.5</v>
      </c>
      <c r="AE267" s="33">
        <v>63.9</v>
      </c>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v>1</v>
      </c>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v>3.6</v>
      </c>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c r="IV267" s="33"/>
      <c r="IW267" s="33"/>
      <c r="IX267" s="33"/>
      <c r="IY267" s="33"/>
      <c r="IZ267" s="33"/>
      <c r="JA267" s="33"/>
      <c r="JB267" s="33"/>
      <c r="JC267" s="33"/>
      <c r="JD267" s="33"/>
      <c r="JE267" s="33"/>
      <c r="JF267" s="33"/>
      <c r="JG267" s="33"/>
      <c r="JH267" s="33"/>
      <c r="JI267" s="33"/>
      <c r="JJ267" s="33"/>
      <c r="JK267" s="33"/>
      <c r="JL267" s="33"/>
      <c r="JM267" s="33"/>
      <c r="JN267" s="33"/>
      <c r="JO267" s="33"/>
      <c r="JP267" s="33"/>
      <c r="JQ267" s="33"/>
      <c r="JR267" s="33"/>
      <c r="KZ267" s="33"/>
      <c r="LA267" s="33"/>
      <c r="LB267" s="33"/>
      <c r="LC267" s="33"/>
      <c r="LD267" s="33"/>
      <c r="LE267" s="33"/>
      <c r="LF267" s="33"/>
      <c r="LG267" s="33"/>
      <c r="LH267" s="33"/>
      <c r="LI267" s="33"/>
      <c r="LJ267" s="33"/>
      <c r="LK267" s="33"/>
      <c r="LL267" s="33"/>
      <c r="LM267" s="33"/>
      <c r="LN267" s="33"/>
      <c r="LO267" s="33"/>
      <c r="LP267" s="44"/>
      <c r="LQ267" s="44"/>
      <c r="LR267" s="44"/>
      <c r="LS267" s="44"/>
      <c r="LT267" s="44"/>
      <c r="LU267" s="44"/>
      <c r="LV267" s="44"/>
    </row>
    <row r="268" spans="1:334" x14ac:dyDescent="0.2">
      <c r="A268" s="1" t="s">
        <v>8659</v>
      </c>
      <c r="D268" s="1" t="s">
        <v>8660</v>
      </c>
      <c r="E268" s="1" t="s">
        <v>11</v>
      </c>
      <c r="F268" s="1" t="s">
        <v>8395</v>
      </c>
      <c r="H268" s="1" t="s">
        <v>8643</v>
      </c>
      <c r="K268" s="1">
        <v>1997</v>
      </c>
      <c r="L268" s="1" t="s">
        <v>8644</v>
      </c>
      <c r="M268" s="1" t="s">
        <v>7657</v>
      </c>
      <c r="N268" s="17" t="s">
        <v>7945</v>
      </c>
      <c r="O268" s="33"/>
      <c r="P268" s="33"/>
      <c r="Q268" s="33"/>
      <c r="R268" s="33"/>
      <c r="S268" s="33">
        <v>1.2</v>
      </c>
      <c r="T268" s="33"/>
      <c r="U268" s="33"/>
      <c r="V268" s="33"/>
      <c r="W268" s="33"/>
      <c r="X268" s="33"/>
      <c r="Y268" s="33"/>
      <c r="Z268" s="33">
        <v>25.8</v>
      </c>
      <c r="AA268" s="33"/>
      <c r="AB268" s="33"/>
      <c r="AC268" s="33"/>
      <c r="AD268" s="33">
        <v>0.7</v>
      </c>
      <c r="AE268" s="33">
        <v>69.5</v>
      </c>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v>0.8</v>
      </c>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v>2</v>
      </c>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c r="IV268" s="33"/>
      <c r="IW268" s="33"/>
      <c r="IX268" s="33"/>
      <c r="IY268" s="33"/>
      <c r="IZ268" s="33"/>
      <c r="JA268" s="33"/>
      <c r="JB268" s="33"/>
      <c r="JC268" s="33"/>
      <c r="JD268" s="33"/>
      <c r="JE268" s="33"/>
      <c r="JF268" s="33"/>
      <c r="JG268" s="33"/>
      <c r="JH268" s="33"/>
      <c r="JI268" s="33"/>
      <c r="JJ268" s="33"/>
      <c r="JK268" s="33"/>
      <c r="JL268" s="33"/>
      <c r="JM268" s="33"/>
      <c r="JN268" s="33"/>
      <c r="JO268" s="33"/>
      <c r="JP268" s="33"/>
      <c r="JQ268" s="33"/>
      <c r="JR268" s="33"/>
      <c r="KZ268" s="33"/>
      <c r="LA268" s="33"/>
      <c r="LB268" s="33"/>
      <c r="LC268" s="33"/>
      <c r="LD268" s="33"/>
      <c r="LE268" s="33"/>
      <c r="LF268" s="33"/>
      <c r="LG268" s="33"/>
      <c r="LH268" s="33"/>
      <c r="LI268" s="33"/>
      <c r="LJ268" s="33"/>
      <c r="LK268" s="33"/>
      <c r="LL268" s="33"/>
      <c r="LM268" s="33"/>
      <c r="LN268" s="33"/>
      <c r="LO268" s="33"/>
      <c r="LP268" s="44"/>
      <c r="LQ268" s="44"/>
      <c r="LR268" s="44"/>
      <c r="LS268" s="44"/>
      <c r="LT268" s="44"/>
      <c r="LU268" s="44"/>
      <c r="LV268" s="44"/>
    </row>
    <row r="269" spans="1:334" x14ac:dyDescent="0.2">
      <c r="A269" s="1" t="s">
        <v>8661</v>
      </c>
      <c r="B269" s="1" t="s">
        <v>8662</v>
      </c>
      <c r="D269" s="1" t="s">
        <v>8663</v>
      </c>
      <c r="E269" s="1" t="s">
        <v>7966</v>
      </c>
      <c r="F269" s="1" t="s">
        <v>8664</v>
      </c>
      <c r="J269" s="1" t="s">
        <v>8665</v>
      </c>
      <c r="K269" s="1">
        <v>2003</v>
      </c>
      <c r="L269" s="1" t="s">
        <v>8666</v>
      </c>
      <c r="M269" s="1" t="s">
        <v>7657</v>
      </c>
      <c r="N269" s="17" t="s">
        <v>7945</v>
      </c>
      <c r="O269" s="33">
        <v>1444.14913</v>
      </c>
      <c r="P269" s="33"/>
      <c r="Q269" s="33"/>
      <c r="R269" s="33"/>
      <c r="S269" s="33">
        <v>8.34</v>
      </c>
      <c r="T269" s="33"/>
      <c r="U269" s="33">
        <v>6.25</v>
      </c>
      <c r="V269" s="33"/>
      <c r="W269" s="33"/>
      <c r="X269" s="33"/>
      <c r="Y269" s="33"/>
      <c r="Z269" s="33">
        <v>15.884677999999999</v>
      </c>
      <c r="AA269" s="33"/>
      <c r="AB269" s="33"/>
      <c r="AC269" s="33">
        <v>4.1796959999999999</v>
      </c>
      <c r="AD269" s="33"/>
      <c r="AE269" s="33">
        <v>61.155552</v>
      </c>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v>7.5252860000000013</v>
      </c>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v>2.9147879999999997</v>
      </c>
      <c r="CP269" s="33">
        <v>150.542384</v>
      </c>
      <c r="CQ269" s="33"/>
      <c r="CR269" s="33">
        <v>1.2099120000000001</v>
      </c>
      <c r="CS269" s="33" t="s">
        <v>9364</v>
      </c>
      <c r="CT269" s="33"/>
      <c r="CU269" s="33">
        <v>1727.1677119999999</v>
      </c>
      <c r="CV269" s="33">
        <v>115.76657999999999</v>
      </c>
      <c r="CW269" s="33">
        <v>0.87993599999999983</v>
      </c>
      <c r="CX269" s="33">
        <v>26.123100000000001</v>
      </c>
      <c r="CY269" s="33">
        <v>154.11712399999999</v>
      </c>
      <c r="CZ269" s="33"/>
      <c r="DA269" s="33">
        <v>2.4748199999999998</v>
      </c>
      <c r="DB269" s="33"/>
      <c r="DC269" s="33"/>
      <c r="DD269" s="33"/>
      <c r="DE269" s="33"/>
      <c r="DF269" s="33"/>
      <c r="DG269" s="33"/>
      <c r="DH269" s="33"/>
      <c r="DI269" s="33"/>
      <c r="DJ269" s="33"/>
      <c r="DK269" s="33"/>
      <c r="DL269" s="33"/>
      <c r="DM269" s="33"/>
      <c r="DN269" s="33"/>
      <c r="DO269" s="33"/>
      <c r="DP269" s="33"/>
      <c r="DQ269" s="33"/>
      <c r="DR269" s="33"/>
      <c r="DS269" s="33" t="s">
        <v>9365</v>
      </c>
      <c r="DT269" s="33"/>
      <c r="DU269" s="33"/>
      <c r="DV269" s="33"/>
      <c r="DW269" s="33"/>
      <c r="DX269" s="33"/>
      <c r="DY269" s="33"/>
      <c r="DZ269" s="33"/>
      <c r="EA269" s="33"/>
      <c r="EB269" s="33"/>
      <c r="EC269" s="33"/>
      <c r="ED269" s="33">
        <v>11.4575</v>
      </c>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c r="IV269" s="33"/>
      <c r="IW269" s="33"/>
      <c r="IX269" s="33"/>
      <c r="IY269" s="33"/>
      <c r="IZ269" s="33"/>
      <c r="JA269" s="33"/>
      <c r="JB269" s="33"/>
      <c r="JC269" s="33"/>
      <c r="JD269" s="33"/>
      <c r="JE269" s="33"/>
      <c r="JF269" s="33"/>
      <c r="JG269" s="33"/>
      <c r="JH269" s="33"/>
      <c r="JI269" s="33"/>
      <c r="JJ269" s="33"/>
      <c r="JK269" s="33"/>
      <c r="JL269" s="33"/>
      <c r="JM269" s="33"/>
      <c r="JN269" s="33"/>
      <c r="JO269" s="33"/>
      <c r="JP269" s="33"/>
      <c r="JQ269" s="33"/>
      <c r="JR269" s="33"/>
      <c r="KZ269" s="33"/>
      <c r="LA269" s="33"/>
      <c r="LB269" s="33"/>
      <c r="LC269" s="33"/>
      <c r="LD269" s="33"/>
      <c r="LE269" s="33"/>
      <c r="LF269" s="33"/>
      <c r="LG269" s="33"/>
      <c r="LH269" s="33"/>
      <c r="LI269" s="33"/>
      <c r="LJ269" s="33"/>
      <c r="LK269" s="33"/>
      <c r="LL269" s="33"/>
      <c r="LM269" s="33"/>
      <c r="LN269" s="33"/>
      <c r="LO269" s="33"/>
      <c r="LP269" s="44"/>
      <c r="LQ269" s="44"/>
      <c r="LR269" s="44"/>
      <c r="LS269" s="44"/>
      <c r="LT269" s="44"/>
      <c r="LU269" s="44"/>
      <c r="LV269" s="44"/>
    </row>
    <row r="270" spans="1:334" x14ac:dyDescent="0.2">
      <c r="A270" s="1" t="s">
        <v>8667</v>
      </c>
      <c r="B270" s="1" t="s">
        <v>8662</v>
      </c>
      <c r="D270" s="1" t="s">
        <v>8668</v>
      </c>
      <c r="E270" s="1" t="s">
        <v>7966</v>
      </c>
      <c r="F270" s="1" t="s">
        <v>8669</v>
      </c>
      <c r="J270" s="1" t="s">
        <v>8665</v>
      </c>
      <c r="K270" s="1">
        <v>2003</v>
      </c>
      <c r="L270" s="1" t="s">
        <v>8666</v>
      </c>
      <c r="M270" s="1" t="s">
        <v>7657</v>
      </c>
      <c r="N270" s="17" t="s">
        <v>7945</v>
      </c>
      <c r="O270" s="33">
        <v>1584.890922</v>
      </c>
      <c r="P270" s="33"/>
      <c r="Q270" s="33"/>
      <c r="R270" s="33"/>
      <c r="S270" s="33">
        <v>9.34</v>
      </c>
      <c r="T270" s="33"/>
      <c r="U270" s="33">
        <v>6.25</v>
      </c>
      <c r="V270" s="33"/>
      <c r="W270" s="33"/>
      <c r="X270" s="33"/>
      <c r="Y270" s="33"/>
      <c r="Z270" s="33">
        <v>15.339672</v>
      </c>
      <c r="AA270" s="33"/>
      <c r="AB270" s="33"/>
      <c r="AC270" s="33">
        <v>3.4178819999999996</v>
      </c>
      <c r="AD270" s="33"/>
      <c r="AE270" s="33">
        <v>71.848050000000001</v>
      </c>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v>9.7187520000000003</v>
      </c>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v>3.9346439999999996</v>
      </c>
      <c r="CP270" s="33">
        <v>117.94865999999998</v>
      </c>
      <c r="CQ270" s="33"/>
      <c r="CR270" s="33">
        <v>1.3599000000000001</v>
      </c>
      <c r="CS270" s="33" t="s">
        <v>9366</v>
      </c>
      <c r="CT270" s="33"/>
      <c r="CU270" s="33">
        <v>1929.4079879999999</v>
      </c>
      <c r="CV270" s="33">
        <v>121.62039</v>
      </c>
      <c r="CW270" s="33">
        <v>1.1241839999999999</v>
      </c>
      <c r="CX270" s="33">
        <v>22.664999999999999</v>
      </c>
      <c r="CY270" s="33">
        <v>130.804248</v>
      </c>
      <c r="CZ270" s="33"/>
      <c r="DA270" s="33">
        <v>3.7351920000000001</v>
      </c>
      <c r="DB270" s="33"/>
      <c r="DC270" s="33"/>
      <c r="DD270" s="33"/>
      <c r="DE270" s="33"/>
      <c r="DF270" s="33"/>
      <c r="DG270" s="33"/>
      <c r="DH270" s="33"/>
      <c r="DI270" s="33"/>
      <c r="DJ270" s="33"/>
      <c r="DK270" s="33"/>
      <c r="DL270" s="33"/>
      <c r="DM270" s="33"/>
      <c r="DN270" s="33"/>
      <c r="DO270" s="33"/>
      <c r="DP270" s="33"/>
      <c r="DQ270" s="33"/>
      <c r="DR270" s="33"/>
      <c r="DS270" s="33" t="s">
        <v>9367</v>
      </c>
      <c r="DT270" s="33"/>
      <c r="DU270" s="33"/>
      <c r="DV270" s="33"/>
      <c r="DW270" s="33"/>
      <c r="DX270" s="33"/>
      <c r="DY270" s="33"/>
      <c r="DZ270" s="33"/>
      <c r="EA270" s="33"/>
      <c r="EB270" s="33"/>
      <c r="EC270" s="33"/>
      <c r="ED270" s="33" t="s">
        <v>9368</v>
      </c>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c r="IV270" s="33"/>
      <c r="IW270" s="33"/>
      <c r="IX270" s="33"/>
      <c r="IY270" s="33"/>
      <c r="IZ270" s="33"/>
      <c r="JA270" s="33"/>
      <c r="JB270" s="33"/>
      <c r="JC270" s="33"/>
      <c r="JD270" s="33"/>
      <c r="JE270" s="33"/>
      <c r="JF270" s="33"/>
      <c r="JG270" s="33"/>
      <c r="JH270" s="33"/>
      <c r="JI270" s="33"/>
      <c r="JJ270" s="33"/>
      <c r="JK270" s="33"/>
      <c r="JL270" s="33"/>
      <c r="JM270" s="33"/>
      <c r="JN270" s="33"/>
      <c r="JO270" s="33"/>
      <c r="JP270" s="33"/>
      <c r="JQ270" s="33"/>
      <c r="JR270" s="33"/>
      <c r="KZ270" s="33"/>
      <c r="LA270" s="33"/>
      <c r="LB270" s="33"/>
      <c r="LC270" s="33"/>
      <c r="LD270" s="33"/>
      <c r="LE270" s="33"/>
      <c r="LF270" s="33"/>
      <c r="LG270" s="33"/>
      <c r="LH270" s="33"/>
      <c r="LI270" s="33"/>
      <c r="LJ270" s="33"/>
      <c r="LK270" s="33"/>
      <c r="LL270" s="33"/>
      <c r="LM270" s="33"/>
      <c r="LN270" s="33"/>
      <c r="LO270" s="33"/>
      <c r="LP270" s="44"/>
      <c r="LQ270" s="44"/>
      <c r="LR270" s="44"/>
      <c r="LS270" s="44"/>
      <c r="LT270" s="44"/>
      <c r="LU270" s="44"/>
      <c r="LV270" s="44"/>
    </row>
    <row r="271" spans="1:334" x14ac:dyDescent="0.2">
      <c r="A271" s="1" t="s">
        <v>8670</v>
      </c>
      <c r="B271" s="1" t="s">
        <v>8662</v>
      </c>
      <c r="D271" s="1" t="s">
        <v>8671</v>
      </c>
      <c r="E271" s="1" t="s">
        <v>7966</v>
      </c>
      <c r="F271" s="1" t="s">
        <v>8672</v>
      </c>
      <c r="J271" s="1" t="s">
        <v>8665</v>
      </c>
      <c r="K271" s="1">
        <v>2003</v>
      </c>
      <c r="L271" s="1" t="s">
        <v>8666</v>
      </c>
      <c r="M271" s="1" t="s">
        <v>7657</v>
      </c>
      <c r="N271" s="17" t="s">
        <v>7945</v>
      </c>
      <c r="O271" s="33">
        <v>1574.3164049999998</v>
      </c>
      <c r="P271" s="33"/>
      <c r="Q271" s="33"/>
      <c r="R271" s="33"/>
      <c r="S271" s="33">
        <v>9.67</v>
      </c>
      <c r="T271" s="33"/>
      <c r="U271" s="33">
        <v>6.25</v>
      </c>
      <c r="V271" s="33"/>
      <c r="W271" s="33"/>
      <c r="X271" s="33"/>
      <c r="Y271" s="33"/>
      <c r="Z271" s="33">
        <v>18.264726</v>
      </c>
      <c r="AA271" s="33"/>
      <c r="AB271" s="33"/>
      <c r="AC271" s="33">
        <v>11.128656000000001</v>
      </c>
      <c r="AD271" s="33"/>
      <c r="AE271" s="33">
        <v>50.882888999999999</v>
      </c>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v>6.539892</v>
      </c>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v>3.5138369999999997</v>
      </c>
      <c r="CP271" s="33">
        <v>200.857788</v>
      </c>
      <c r="CQ271" s="33"/>
      <c r="CR271" s="33">
        <v>0.79490399999999994</v>
      </c>
      <c r="CS271" s="33">
        <v>5.7991859999999997</v>
      </c>
      <c r="CT271" s="33"/>
      <c r="CU271" s="33">
        <v>1774.2618599999998</v>
      </c>
      <c r="CV271" s="33">
        <v>137.30160000000001</v>
      </c>
      <c r="CW271" s="33">
        <v>1.1200919999999999</v>
      </c>
      <c r="CX271" s="33">
        <v>29.411448</v>
      </c>
      <c r="CY271" s="33">
        <v>143.04658800000001</v>
      </c>
      <c r="CZ271" s="33"/>
      <c r="DA271" s="33">
        <v>1.4091480000000001</v>
      </c>
      <c r="DB271" s="33"/>
      <c r="DC271" s="33"/>
      <c r="DD271" s="33"/>
      <c r="DE271" s="33"/>
      <c r="DF271" s="33"/>
      <c r="DG271" s="33"/>
      <c r="DH271" s="33"/>
      <c r="DI271" s="33"/>
      <c r="DJ271" s="33"/>
      <c r="DK271" s="33"/>
      <c r="DL271" s="33"/>
      <c r="DM271" s="33"/>
      <c r="DN271" s="33"/>
      <c r="DO271" s="33"/>
      <c r="DP271" s="33"/>
      <c r="DQ271" s="33"/>
      <c r="DR271" s="33"/>
      <c r="DS271" s="33" t="s">
        <v>9369</v>
      </c>
      <c r="DT271" s="33"/>
      <c r="DU271" s="33"/>
      <c r="DV271" s="33"/>
      <c r="DW271" s="33"/>
      <c r="DX271" s="33"/>
      <c r="DY271" s="33"/>
      <c r="DZ271" s="33"/>
      <c r="EA271" s="33"/>
      <c r="EB271" s="33"/>
      <c r="EC271" s="33"/>
      <c r="ED271" s="33" t="s">
        <v>9370</v>
      </c>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c r="IV271" s="33"/>
      <c r="IW271" s="33"/>
      <c r="IX271" s="33"/>
      <c r="IY271" s="33"/>
      <c r="IZ271" s="33"/>
      <c r="JA271" s="33"/>
      <c r="JB271" s="33"/>
      <c r="JC271" s="33"/>
      <c r="JD271" s="33"/>
      <c r="JE271" s="33"/>
      <c r="JF271" s="33"/>
      <c r="JG271" s="33"/>
      <c r="JH271" s="33"/>
      <c r="JI271" s="33"/>
      <c r="JJ271" s="33"/>
      <c r="JK271" s="33"/>
      <c r="JL271" s="33"/>
      <c r="JM271" s="33"/>
      <c r="JN271" s="33"/>
      <c r="JO271" s="33"/>
      <c r="JP271" s="33"/>
      <c r="JQ271" s="33"/>
      <c r="JR271" s="33"/>
      <c r="KZ271" s="33"/>
      <c r="LA271" s="33"/>
      <c r="LB271" s="33"/>
      <c r="LC271" s="33"/>
      <c r="LD271" s="33"/>
      <c r="LE271" s="33"/>
      <c r="LF271" s="33"/>
      <c r="LG271" s="33"/>
      <c r="LH271" s="33"/>
      <c r="LI271" s="33"/>
      <c r="LJ271" s="33"/>
      <c r="LK271" s="33"/>
      <c r="LL271" s="33"/>
      <c r="LM271" s="33"/>
      <c r="LN271" s="33"/>
      <c r="LO271" s="33"/>
      <c r="LP271" s="44"/>
      <c r="LQ271" s="44"/>
      <c r="LR271" s="44"/>
      <c r="LS271" s="44"/>
      <c r="LT271" s="44"/>
      <c r="LU271" s="44"/>
      <c r="LV271" s="44"/>
    </row>
    <row r="272" spans="1:334" x14ac:dyDescent="0.2">
      <c r="A272" s="1" t="s">
        <v>8673</v>
      </c>
      <c r="B272" s="1" t="s">
        <v>8662</v>
      </c>
      <c r="D272" s="1" t="s">
        <v>8674</v>
      </c>
      <c r="E272" s="1" t="s">
        <v>7966</v>
      </c>
      <c r="F272" s="1" t="s">
        <v>8675</v>
      </c>
      <c r="J272" s="1" t="s">
        <v>8665</v>
      </c>
      <c r="K272" s="1">
        <v>2003</v>
      </c>
      <c r="L272" s="1" t="s">
        <v>8666</v>
      </c>
      <c r="M272" s="1" t="s">
        <v>7657</v>
      </c>
      <c r="N272" s="17" t="s">
        <v>7945</v>
      </c>
      <c r="O272" s="33">
        <v>1477.0789830000001</v>
      </c>
      <c r="P272" s="33"/>
      <c r="Q272" s="33"/>
      <c r="R272" s="33"/>
      <c r="S272" s="33">
        <v>9.73</v>
      </c>
      <c r="T272" s="33"/>
      <c r="U272" s="33">
        <v>6.25</v>
      </c>
      <c r="V272" s="33"/>
      <c r="W272" s="33"/>
      <c r="X272" s="33"/>
      <c r="Y272" s="33"/>
      <c r="Z272" s="33">
        <v>14.380011</v>
      </c>
      <c r="AA272" s="33"/>
      <c r="AB272" s="33"/>
      <c r="AC272" s="33">
        <v>4.1072849999999992</v>
      </c>
      <c r="AD272" s="33"/>
      <c r="AE272" s="33">
        <v>64.795805999999999</v>
      </c>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v>4.1163119999999989</v>
      </c>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v>2.8705860000000003</v>
      </c>
      <c r="CP272" s="33">
        <v>151.74386999999999</v>
      </c>
      <c r="CQ272" s="33"/>
      <c r="CR272" s="33">
        <v>0.57772800000000002</v>
      </c>
      <c r="CS272" s="33">
        <v>13.468283999999999</v>
      </c>
      <c r="CT272" s="33"/>
      <c r="CU272" s="33">
        <v>1822.4790839999998</v>
      </c>
      <c r="CV272" s="33">
        <v>21.6648</v>
      </c>
      <c r="CW272" s="33">
        <v>2.16648</v>
      </c>
      <c r="CX272" s="33">
        <v>29.33775</v>
      </c>
      <c r="CY272" s="33">
        <v>119.24666999999999</v>
      </c>
      <c r="CZ272" s="33"/>
      <c r="DA272" s="33">
        <v>1.08324</v>
      </c>
      <c r="DB272" s="33"/>
      <c r="DC272" s="33"/>
      <c r="DD272" s="33"/>
      <c r="DE272" s="33"/>
      <c r="DF272" s="33"/>
      <c r="DG272" s="33"/>
      <c r="DH272" s="33"/>
      <c r="DI272" s="33"/>
      <c r="DJ272" s="33"/>
      <c r="DK272" s="33"/>
      <c r="DL272" s="33"/>
      <c r="DM272" s="33"/>
      <c r="DN272" s="33"/>
      <c r="DO272" s="33"/>
      <c r="DP272" s="33"/>
      <c r="DQ272" s="33"/>
      <c r="DR272" s="33"/>
      <c r="DS272" s="33">
        <v>3.5024759999999997</v>
      </c>
      <c r="DT272" s="33"/>
      <c r="DU272" s="33"/>
      <c r="DV272" s="33"/>
      <c r="DW272" s="33"/>
      <c r="DX272" s="33"/>
      <c r="DY272" s="33"/>
      <c r="DZ272" s="33"/>
      <c r="EA272" s="33"/>
      <c r="EB272" s="33"/>
      <c r="EC272" s="33"/>
      <c r="ED272" s="33" t="s">
        <v>9371</v>
      </c>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c r="IV272" s="33"/>
      <c r="IW272" s="33"/>
      <c r="IX272" s="33"/>
      <c r="IY272" s="33"/>
      <c r="IZ272" s="33"/>
      <c r="JA272" s="33"/>
      <c r="JB272" s="33"/>
      <c r="JC272" s="33"/>
      <c r="JD272" s="33"/>
      <c r="JE272" s="33"/>
      <c r="JF272" s="33"/>
      <c r="JG272" s="33"/>
      <c r="JH272" s="33"/>
      <c r="JI272" s="33"/>
      <c r="JJ272" s="33"/>
      <c r="JK272" s="33"/>
      <c r="JL272" s="33"/>
      <c r="JM272" s="33"/>
      <c r="JN272" s="33"/>
      <c r="JO272" s="33"/>
      <c r="JP272" s="33"/>
      <c r="JQ272" s="33"/>
      <c r="JR272" s="33"/>
      <c r="KZ272" s="33"/>
      <c r="LA272" s="33"/>
      <c r="LB272" s="33"/>
      <c r="LC272" s="33"/>
      <c r="LD272" s="33"/>
      <c r="LE272" s="33"/>
      <c r="LF272" s="33"/>
      <c r="LG272" s="33"/>
      <c r="LH272" s="33"/>
      <c r="LI272" s="33"/>
      <c r="LJ272" s="33"/>
      <c r="LK272" s="33"/>
      <c r="LL272" s="33"/>
      <c r="LM272" s="33"/>
      <c r="LN272" s="33"/>
      <c r="LO272" s="33"/>
      <c r="LP272" s="44"/>
      <c r="LQ272" s="44"/>
      <c r="LR272" s="44"/>
      <c r="LS272" s="44"/>
      <c r="LT272" s="44"/>
      <c r="LU272" s="44"/>
      <c r="LV272" s="44"/>
    </row>
    <row r="273" spans="1:334" x14ac:dyDescent="0.2">
      <c r="A273" s="1" t="s">
        <v>8676</v>
      </c>
      <c r="B273" s="1" t="s">
        <v>8677</v>
      </c>
      <c r="C273" s="1" t="s">
        <v>8678</v>
      </c>
      <c r="D273" s="1" t="s">
        <v>8679</v>
      </c>
      <c r="E273" s="1" t="s">
        <v>11</v>
      </c>
      <c r="F273" s="1" t="s">
        <v>8021</v>
      </c>
      <c r="H273" s="1" t="s">
        <v>8680</v>
      </c>
      <c r="J273" s="1" t="s">
        <v>8622</v>
      </c>
      <c r="K273" s="1">
        <v>2010</v>
      </c>
      <c r="L273" s="1" t="s">
        <v>8681</v>
      </c>
      <c r="M273" s="1" t="s">
        <v>7657</v>
      </c>
      <c r="N273" s="17" t="s">
        <v>7945</v>
      </c>
      <c r="O273" s="33"/>
      <c r="P273" s="33"/>
      <c r="Q273" s="33">
        <v>469.4</v>
      </c>
      <c r="R273" s="33">
        <v>112.1</v>
      </c>
      <c r="S273" s="33">
        <v>73.5</v>
      </c>
      <c r="T273" s="33"/>
      <c r="U273" s="33">
        <v>6.25</v>
      </c>
      <c r="V273" s="33"/>
      <c r="W273" s="33"/>
      <c r="X273" s="33"/>
      <c r="Y273" s="33"/>
      <c r="Z273" s="33">
        <v>6.4</v>
      </c>
      <c r="AA273" s="33"/>
      <c r="AB273" s="33">
        <v>1.2</v>
      </c>
      <c r="AC273" s="33"/>
      <c r="AD273" s="33"/>
      <c r="AE273" s="33"/>
      <c r="AF273" s="33">
        <v>18.3</v>
      </c>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v>5.7</v>
      </c>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v>0.61</v>
      </c>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v>0.03</v>
      </c>
      <c r="FP273" s="33"/>
      <c r="FQ273" s="33">
        <v>0.02</v>
      </c>
      <c r="FR273" s="33"/>
      <c r="FS273" s="33">
        <v>0.28000000000000003</v>
      </c>
      <c r="FT273" s="33"/>
      <c r="FU273" s="33"/>
      <c r="FV273" s="33"/>
      <c r="FW273" s="33"/>
      <c r="FX273" s="33"/>
      <c r="FY273" s="33"/>
      <c r="FZ273" s="33"/>
      <c r="GA273" s="33"/>
      <c r="GB273" s="33"/>
      <c r="GC273" s="33"/>
      <c r="GD273" s="33">
        <v>0.22134000000000001</v>
      </c>
      <c r="GE273" s="33">
        <v>0.21389999999999998</v>
      </c>
      <c r="GF273" s="33">
        <v>0.44918999999999998</v>
      </c>
      <c r="GG273" s="33">
        <v>4.6499999999999996E-3</v>
      </c>
      <c r="GH273" s="33"/>
      <c r="GI273" s="33"/>
      <c r="GJ273" s="33"/>
      <c r="GK273" s="33"/>
      <c r="GL273" s="33"/>
      <c r="GM273" s="33">
        <v>4.4639999999999992E-2</v>
      </c>
      <c r="GN273" s="33">
        <v>0.40454999999999997</v>
      </c>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c r="IV273" s="33"/>
      <c r="IW273" s="33"/>
      <c r="IX273" s="33"/>
      <c r="IY273" s="33"/>
      <c r="IZ273" s="33"/>
      <c r="JA273" s="33"/>
      <c r="JB273" s="33"/>
      <c r="JC273" s="33"/>
      <c r="JD273" s="33"/>
      <c r="JE273" s="33"/>
      <c r="JF273" s="33"/>
      <c r="JG273" s="33"/>
      <c r="JH273" s="33"/>
      <c r="JI273" s="33"/>
      <c r="JJ273" s="33"/>
      <c r="JK273" s="33"/>
      <c r="JL273" s="33"/>
      <c r="JM273" s="33"/>
      <c r="JN273" s="33"/>
      <c r="JO273" s="33"/>
      <c r="JP273" s="33"/>
      <c r="JQ273" s="33"/>
      <c r="JR273" s="33"/>
      <c r="KZ273" s="33"/>
      <c r="LA273" s="33"/>
      <c r="LB273" s="33"/>
      <c r="LC273" s="33"/>
      <c r="LD273" s="33"/>
      <c r="LE273" s="33"/>
      <c r="LF273" s="33"/>
      <c r="LG273" s="33"/>
      <c r="LH273" s="33"/>
      <c r="LI273" s="33"/>
      <c r="LJ273" s="33"/>
      <c r="LK273" s="33"/>
      <c r="LL273" s="33"/>
      <c r="LM273" s="33"/>
      <c r="LN273" s="33"/>
      <c r="LO273" s="33"/>
      <c r="LP273" s="44"/>
      <c r="LQ273" s="44"/>
      <c r="LR273" s="44"/>
      <c r="LS273" s="44"/>
      <c r="LT273" s="44"/>
      <c r="LU273" s="44"/>
      <c r="LV273" s="44"/>
    </row>
    <row r="274" spans="1:334" x14ac:dyDescent="0.2">
      <c r="A274" s="1" t="s">
        <v>8682</v>
      </c>
      <c r="B274" s="1" t="s">
        <v>8677</v>
      </c>
      <c r="C274" s="1" t="s">
        <v>8683</v>
      </c>
      <c r="D274" s="1" t="s">
        <v>8684</v>
      </c>
      <c r="E274" s="1" t="s">
        <v>11</v>
      </c>
      <c r="F274" s="1" t="s">
        <v>8586</v>
      </c>
      <c r="H274" s="1" t="s">
        <v>8680</v>
      </c>
      <c r="J274" s="1" t="s">
        <v>8622</v>
      </c>
      <c r="K274" s="1">
        <v>2010</v>
      </c>
      <c r="L274" s="1" t="s">
        <v>8681</v>
      </c>
      <c r="M274" s="1" t="s">
        <v>7657</v>
      </c>
      <c r="N274" s="17" t="s">
        <v>7945</v>
      </c>
      <c r="O274" s="33"/>
      <c r="P274" s="33"/>
      <c r="Q274" s="33">
        <v>633.5</v>
      </c>
      <c r="R274" s="33">
        <v>151.30000000000001</v>
      </c>
      <c r="S274" s="33">
        <v>66.900000000000006</v>
      </c>
      <c r="T274" s="33"/>
      <c r="U274" s="33">
        <v>6.25</v>
      </c>
      <c r="V274" s="33"/>
      <c r="W274" s="33"/>
      <c r="X274" s="33"/>
      <c r="Y274" s="33"/>
      <c r="Z274" s="33">
        <v>7.7</v>
      </c>
      <c r="AA274" s="33"/>
      <c r="AB274" s="33">
        <v>3.1</v>
      </c>
      <c r="AC274" s="33"/>
      <c r="AD274" s="33"/>
      <c r="AE274" s="33"/>
      <c r="AF274" s="33">
        <v>21.9</v>
      </c>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v>10.1</v>
      </c>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v>0.42</v>
      </c>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c r="FD274" s="33"/>
      <c r="FE274" s="33"/>
      <c r="FF274" s="33"/>
      <c r="FG274" s="33"/>
      <c r="FH274" s="33"/>
      <c r="FI274" s="33"/>
      <c r="FJ274" s="33"/>
      <c r="FK274" s="33"/>
      <c r="FL274" s="33"/>
      <c r="FM274" s="33"/>
      <c r="FN274" s="33"/>
      <c r="FO274" s="33">
        <v>7.0000000000000007E-2</v>
      </c>
      <c r="FP274" s="33"/>
      <c r="FQ274" s="33">
        <v>0.22</v>
      </c>
      <c r="FR274" s="33"/>
      <c r="FS274" s="33">
        <v>1.49</v>
      </c>
      <c r="FT274" s="33"/>
      <c r="FU274" s="33"/>
      <c r="FV274" s="33"/>
      <c r="FW274" s="33"/>
      <c r="FX274" s="33"/>
      <c r="FY274" s="33"/>
      <c r="FZ274" s="33"/>
      <c r="GA274" s="33"/>
      <c r="GB274" s="33"/>
      <c r="GC274" s="33"/>
      <c r="GD274" s="33">
        <v>0.43245000000000006</v>
      </c>
      <c r="GE274" s="33">
        <v>0.59101500000000007</v>
      </c>
      <c r="GF274" s="33">
        <v>1.3622175000000001</v>
      </c>
      <c r="GG274" s="33" t="s">
        <v>17</v>
      </c>
      <c r="GH274" s="33"/>
      <c r="GI274" s="33"/>
      <c r="GJ274" s="33"/>
      <c r="GK274" s="33"/>
      <c r="GL274" s="33"/>
      <c r="GM274" s="33">
        <v>6.0062500000000005E-2</v>
      </c>
      <c r="GN274" s="33">
        <v>1.2997525000000001</v>
      </c>
      <c r="GO274" s="33"/>
      <c r="GP274" s="33"/>
      <c r="GQ274" s="33"/>
      <c r="GR274" s="33"/>
      <c r="GS274" s="33"/>
      <c r="GT274" s="33"/>
      <c r="GU274" s="33"/>
      <c r="GV274" s="33"/>
      <c r="GW274" s="33"/>
      <c r="GX274" s="33"/>
      <c r="GY274" s="33"/>
      <c r="GZ274" s="33"/>
      <c r="HA274" s="33"/>
      <c r="HB274" s="33"/>
      <c r="HC274" s="33"/>
      <c r="HD274" s="33"/>
      <c r="HE274" s="33"/>
      <c r="HF274" s="33"/>
      <c r="HG274" s="33"/>
      <c r="HH274" s="33"/>
      <c r="HI274" s="33"/>
      <c r="HJ274" s="33"/>
      <c r="HK274" s="33"/>
      <c r="HL274" s="33"/>
      <c r="HM274" s="33"/>
      <c r="HN274" s="33"/>
      <c r="HO274" s="33"/>
      <c r="HP274" s="33"/>
      <c r="HQ274" s="33"/>
      <c r="HR274" s="33"/>
      <c r="HS274" s="33"/>
      <c r="HT274" s="33"/>
      <c r="HU274" s="33"/>
      <c r="HV274" s="33"/>
      <c r="HW274" s="33"/>
      <c r="HX274" s="33"/>
      <c r="HY274" s="33"/>
      <c r="HZ274" s="33"/>
      <c r="IA274" s="33"/>
      <c r="IB274" s="33"/>
      <c r="IC274" s="33"/>
      <c r="ID274" s="33"/>
      <c r="IE274" s="33"/>
      <c r="IF274" s="33"/>
      <c r="IG274" s="33"/>
      <c r="IH274" s="33"/>
      <c r="II274" s="33"/>
      <c r="IJ274" s="33"/>
      <c r="IK274" s="33"/>
      <c r="IL274" s="33"/>
      <c r="IM274" s="33"/>
      <c r="IN274" s="33"/>
      <c r="IO274" s="33"/>
      <c r="IP274" s="33"/>
      <c r="IQ274" s="33"/>
      <c r="IR274" s="33"/>
      <c r="IS274" s="33"/>
      <c r="IT274" s="33"/>
      <c r="IU274" s="33"/>
      <c r="IV274" s="33"/>
      <c r="IW274" s="33"/>
      <c r="IX274" s="33"/>
      <c r="IY274" s="33"/>
      <c r="IZ274" s="33"/>
      <c r="JA274" s="33"/>
      <c r="JB274" s="33"/>
      <c r="JC274" s="33"/>
      <c r="JD274" s="33"/>
      <c r="JE274" s="33"/>
      <c r="JF274" s="33"/>
      <c r="JG274" s="33"/>
      <c r="JH274" s="33"/>
      <c r="JI274" s="33"/>
      <c r="JJ274" s="33"/>
      <c r="JK274" s="33"/>
      <c r="JL274" s="33"/>
      <c r="JM274" s="33"/>
      <c r="JN274" s="33"/>
      <c r="JO274" s="33"/>
      <c r="JP274" s="33"/>
      <c r="JQ274" s="33"/>
      <c r="JR274" s="33"/>
      <c r="KZ274" s="33"/>
      <c r="LA274" s="33"/>
      <c r="LB274" s="33"/>
      <c r="LC274" s="33"/>
      <c r="LD274" s="33"/>
      <c r="LE274" s="33"/>
      <c r="LF274" s="33"/>
      <c r="LG274" s="33"/>
      <c r="LH274" s="33"/>
      <c r="LI274" s="33"/>
      <c r="LJ274" s="33"/>
      <c r="LK274" s="33"/>
      <c r="LL274" s="33"/>
      <c r="LM274" s="33"/>
      <c r="LN274" s="33"/>
      <c r="LO274" s="33"/>
      <c r="LP274" s="44"/>
      <c r="LQ274" s="44"/>
      <c r="LR274" s="44"/>
      <c r="LS274" s="44"/>
      <c r="LT274" s="44"/>
      <c r="LU274" s="44"/>
      <c r="LV274" s="44"/>
    </row>
    <row r="275" spans="1:334" x14ac:dyDescent="0.2">
      <c r="A275" s="1" t="s">
        <v>8685</v>
      </c>
      <c r="B275" s="1" t="s">
        <v>8677</v>
      </c>
      <c r="C275" s="1" t="s">
        <v>8686</v>
      </c>
      <c r="D275" s="1" t="s">
        <v>8687</v>
      </c>
      <c r="E275" s="1" t="s">
        <v>11</v>
      </c>
      <c r="F275" s="1" t="s">
        <v>8024</v>
      </c>
      <c r="H275" s="1" t="s">
        <v>8680</v>
      </c>
      <c r="J275" s="1" t="s">
        <v>8622</v>
      </c>
      <c r="K275" s="1">
        <v>2010</v>
      </c>
      <c r="L275" s="1" t="s">
        <v>8681</v>
      </c>
      <c r="M275" s="1" t="s">
        <v>7657</v>
      </c>
      <c r="N275" s="17" t="s">
        <v>7945</v>
      </c>
      <c r="O275" s="33"/>
      <c r="P275" s="33"/>
      <c r="Q275" s="33">
        <v>432.9</v>
      </c>
      <c r="R275" s="33">
        <v>103.4</v>
      </c>
      <c r="S275" s="33">
        <v>76.5</v>
      </c>
      <c r="T275" s="33"/>
      <c r="U275" s="33">
        <v>6.25</v>
      </c>
      <c r="V275" s="33"/>
      <c r="W275" s="33"/>
      <c r="X275" s="33"/>
      <c r="Y275" s="33"/>
      <c r="Z275" s="33">
        <v>6.1</v>
      </c>
      <c r="AA275" s="33"/>
      <c r="AB275" s="33">
        <v>0.4</v>
      </c>
      <c r="AC275" s="33"/>
      <c r="AD275" s="33"/>
      <c r="AE275" s="33"/>
      <c r="AF275" s="33">
        <v>16.2</v>
      </c>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v>7.8</v>
      </c>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v>0.81</v>
      </c>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c r="FD275" s="33"/>
      <c r="FE275" s="33"/>
      <c r="FF275" s="33"/>
      <c r="FG275" s="33"/>
      <c r="FH275" s="33"/>
      <c r="FI275" s="33"/>
      <c r="FJ275" s="33"/>
      <c r="FK275" s="33"/>
      <c r="FL275" s="33"/>
      <c r="FM275" s="33"/>
      <c r="FN275" s="33"/>
      <c r="FO275" s="33">
        <v>0.03</v>
      </c>
      <c r="FP275" s="33"/>
      <c r="FQ275" s="33">
        <v>0.03</v>
      </c>
      <c r="FR275" s="33"/>
      <c r="FS275" s="33">
        <v>0.49</v>
      </c>
      <c r="FT275" s="33"/>
      <c r="FU275" s="33"/>
      <c r="FV275" s="33"/>
      <c r="FW275" s="33"/>
      <c r="FX275" s="33"/>
      <c r="FY275" s="33"/>
      <c r="FZ275" s="33"/>
      <c r="GA275" s="33"/>
      <c r="GB275" s="33"/>
      <c r="GC275" s="33"/>
      <c r="GD275" s="33">
        <v>0.10571000000000001</v>
      </c>
      <c r="GE275" s="33">
        <v>7.2230000000000016E-2</v>
      </c>
      <c r="GF275" s="33">
        <v>0.11129000000000001</v>
      </c>
      <c r="GG275" s="33">
        <v>9.3000000000000016E-4</v>
      </c>
      <c r="GH275" s="33"/>
      <c r="GI275" s="33"/>
      <c r="GJ275" s="33"/>
      <c r="GK275" s="33"/>
      <c r="GL275" s="33"/>
      <c r="GM275" s="33">
        <v>2.7590000000000007E-2</v>
      </c>
      <c r="GN275" s="33">
        <v>8.3080000000000015E-2</v>
      </c>
      <c r="GO275" s="33"/>
      <c r="GP275" s="33"/>
      <c r="GQ275" s="33"/>
      <c r="GR275" s="33"/>
      <c r="GS275" s="33"/>
      <c r="GT275" s="33"/>
      <c r="GU275" s="33"/>
      <c r="GV275" s="33"/>
      <c r="GW275" s="33"/>
      <c r="GX275" s="33"/>
      <c r="GY275" s="33"/>
      <c r="GZ275" s="33"/>
      <c r="HA275" s="33"/>
      <c r="HB275" s="33"/>
      <c r="HC275" s="33"/>
      <c r="HD275" s="33"/>
      <c r="HE275" s="33"/>
      <c r="HF275" s="33"/>
      <c r="HG275" s="33"/>
      <c r="HH275" s="33"/>
      <c r="HI275" s="33"/>
      <c r="HJ275" s="33"/>
      <c r="HK275" s="33"/>
      <c r="HL275" s="33"/>
      <c r="HM275" s="33"/>
      <c r="HN275" s="33"/>
      <c r="HO275" s="33"/>
      <c r="HP275" s="33"/>
      <c r="HQ275" s="33"/>
      <c r="HR275" s="33"/>
      <c r="HS275" s="33"/>
      <c r="HT275" s="33"/>
      <c r="HU275" s="33"/>
      <c r="HV275" s="33"/>
      <c r="HW275" s="33"/>
      <c r="HX275" s="33"/>
      <c r="HY275" s="33"/>
      <c r="HZ275" s="33"/>
      <c r="IA275" s="33"/>
      <c r="IB275" s="33"/>
      <c r="IC275" s="33"/>
      <c r="ID275" s="33"/>
      <c r="IE275" s="33"/>
      <c r="IF275" s="33"/>
      <c r="IG275" s="33"/>
      <c r="IH275" s="33"/>
      <c r="II275" s="33"/>
      <c r="IJ275" s="33"/>
      <c r="IK275" s="33"/>
      <c r="IL275" s="33"/>
      <c r="IM275" s="33"/>
      <c r="IN275" s="33"/>
      <c r="IO275" s="33"/>
      <c r="IP275" s="33"/>
      <c r="IQ275" s="33"/>
      <c r="IR275" s="33"/>
      <c r="IS275" s="33"/>
      <c r="IT275" s="33"/>
      <c r="IU275" s="33"/>
      <c r="IV275" s="33"/>
      <c r="IW275" s="33"/>
      <c r="IX275" s="33"/>
      <c r="IY275" s="33"/>
      <c r="IZ275" s="33"/>
      <c r="JA275" s="33"/>
      <c r="JB275" s="33"/>
      <c r="JC275" s="33"/>
      <c r="JD275" s="33"/>
      <c r="JE275" s="33"/>
      <c r="JF275" s="33"/>
      <c r="JG275" s="33"/>
      <c r="JH275" s="33"/>
      <c r="JI275" s="33"/>
      <c r="JJ275" s="33"/>
      <c r="JK275" s="33"/>
      <c r="JL275" s="33"/>
      <c r="JM275" s="33"/>
      <c r="JN275" s="33"/>
      <c r="JO275" s="33"/>
      <c r="JP275" s="33"/>
      <c r="JQ275" s="33"/>
      <c r="JR275" s="33"/>
      <c r="KZ275" s="33"/>
      <c r="LA275" s="33"/>
      <c r="LB275" s="33"/>
      <c r="LC275" s="33"/>
      <c r="LD275" s="33"/>
      <c r="LE275" s="33"/>
      <c r="LF275" s="33"/>
      <c r="LG275" s="33"/>
      <c r="LH275" s="33"/>
      <c r="LI275" s="33"/>
      <c r="LJ275" s="33"/>
      <c r="LK275" s="33"/>
      <c r="LL275" s="33"/>
      <c r="LM275" s="33"/>
      <c r="LN275" s="33"/>
      <c r="LO275" s="33"/>
      <c r="LP275" s="44"/>
      <c r="LQ275" s="44"/>
      <c r="LR275" s="44"/>
      <c r="LS275" s="44"/>
      <c r="LT275" s="44"/>
      <c r="LU275" s="44"/>
      <c r="LV275" s="44"/>
    </row>
    <row r="276" spans="1:334" x14ac:dyDescent="0.2">
      <c r="A276" s="1" t="s">
        <v>8688</v>
      </c>
      <c r="B276" s="1" t="s">
        <v>8677</v>
      </c>
      <c r="C276" s="1" t="s">
        <v>8686</v>
      </c>
      <c r="D276" s="1" t="s">
        <v>8689</v>
      </c>
      <c r="E276" s="1" t="s">
        <v>11</v>
      </c>
      <c r="F276" s="1" t="s">
        <v>8024</v>
      </c>
      <c r="H276" s="1" t="s">
        <v>8680</v>
      </c>
      <c r="J276" s="1" t="s">
        <v>8622</v>
      </c>
      <c r="K276" s="1">
        <v>2010</v>
      </c>
      <c r="L276" s="1" t="s">
        <v>8681</v>
      </c>
      <c r="M276" s="1" t="s">
        <v>7657</v>
      </c>
      <c r="N276" s="17" t="s">
        <v>7945</v>
      </c>
      <c r="O276" s="33"/>
      <c r="P276" s="33"/>
      <c r="Q276" s="33">
        <v>506.6</v>
      </c>
      <c r="R276" s="33">
        <v>121</v>
      </c>
      <c r="S276" s="33">
        <v>72.099999999999994</v>
      </c>
      <c r="T276" s="33"/>
      <c r="U276" s="33">
        <v>6.25</v>
      </c>
      <c r="V276" s="33"/>
      <c r="W276" s="33"/>
      <c r="X276" s="33"/>
      <c r="Y276" s="33"/>
      <c r="Z276" s="33">
        <v>7.8</v>
      </c>
      <c r="AA276" s="33"/>
      <c r="AB276" s="33">
        <v>0.3</v>
      </c>
      <c r="AC276" s="33"/>
      <c r="AD276" s="33"/>
      <c r="AE276" s="33"/>
      <c r="AF276" s="33">
        <v>18.899999999999999</v>
      </c>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v>9.5</v>
      </c>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v>0.9</v>
      </c>
      <c r="CP276" s="33"/>
      <c r="CQ276" s="33"/>
      <c r="CR276" s="33"/>
      <c r="CS276" s="33"/>
      <c r="CT276" s="33"/>
      <c r="CU276" s="33"/>
      <c r="CV276" s="33"/>
      <c r="CW276" s="33"/>
      <c r="CX276" s="33"/>
      <c r="CY276" s="33"/>
      <c r="CZ276" s="33"/>
      <c r="DA276" s="33"/>
      <c r="DB276" s="33"/>
      <c r="DC276" s="33"/>
      <c r="DD276" s="33"/>
      <c r="DE276" s="33"/>
      <c r="DF276" s="33"/>
      <c r="DG276" s="33"/>
      <c r="DH276" s="33"/>
      <c r="DI276" s="33"/>
      <c r="DJ276" s="33"/>
      <c r="DK276" s="33"/>
      <c r="DL276" s="33"/>
      <c r="DM276" s="33"/>
      <c r="DN276" s="33"/>
      <c r="DO276" s="33"/>
      <c r="DP276" s="33"/>
      <c r="DQ276" s="33"/>
      <c r="DR276" s="33"/>
      <c r="DS276" s="33"/>
      <c r="DT276" s="33"/>
      <c r="DU276" s="33"/>
      <c r="DV276" s="33"/>
      <c r="DW276" s="33"/>
      <c r="DX276" s="33"/>
      <c r="DY276" s="33"/>
      <c r="DZ276" s="33"/>
      <c r="EA276" s="33"/>
      <c r="EB276" s="33"/>
      <c r="EC276" s="33"/>
      <c r="ED276" s="33"/>
      <c r="EE276" s="33"/>
      <c r="EF276" s="33"/>
      <c r="EG276" s="33"/>
      <c r="EH276" s="33"/>
      <c r="EI276" s="33"/>
      <c r="EJ276" s="33"/>
      <c r="EK276" s="33"/>
      <c r="EL276" s="33"/>
      <c r="EM276" s="33"/>
      <c r="EN276" s="33"/>
      <c r="EO276" s="33"/>
      <c r="EP276" s="33"/>
      <c r="EQ276" s="33"/>
      <c r="ER276" s="33"/>
      <c r="ES276" s="33"/>
      <c r="ET276" s="33"/>
      <c r="EU276" s="33"/>
      <c r="EV276" s="33"/>
      <c r="EW276" s="33"/>
      <c r="EX276" s="33"/>
      <c r="EY276" s="33"/>
      <c r="EZ276" s="33"/>
      <c r="FA276" s="33"/>
      <c r="FB276" s="33"/>
      <c r="FC276" s="33"/>
      <c r="FD276" s="33"/>
      <c r="FE276" s="33"/>
      <c r="FF276" s="33"/>
      <c r="FG276" s="33"/>
      <c r="FH276" s="33"/>
      <c r="FI276" s="33"/>
      <c r="FJ276" s="33"/>
      <c r="FK276" s="33"/>
      <c r="FL276" s="33"/>
      <c r="FM276" s="33"/>
      <c r="FN276" s="33"/>
      <c r="FO276" s="33">
        <v>0.04</v>
      </c>
      <c r="FP276" s="33"/>
      <c r="FQ276" s="33">
        <v>0.03</v>
      </c>
      <c r="FR276" s="33"/>
      <c r="FS276" s="33">
        <v>0.75</v>
      </c>
      <c r="FT276" s="33"/>
      <c r="FU276" s="33"/>
      <c r="FV276" s="33"/>
      <c r="FW276" s="33"/>
      <c r="FX276" s="33"/>
      <c r="FY276" s="33"/>
      <c r="FZ276" s="33"/>
      <c r="GA276" s="33"/>
      <c r="GB276" s="33"/>
      <c r="GC276" s="33"/>
      <c r="GD276" s="33">
        <v>7.6027499999999998E-2</v>
      </c>
      <c r="GE276" s="33">
        <v>4.3709999999999999E-2</v>
      </c>
      <c r="GF276" s="33">
        <v>9.5557500000000004E-2</v>
      </c>
      <c r="GG276" s="33">
        <v>9.2999999999999995E-4</v>
      </c>
      <c r="GH276" s="33"/>
      <c r="GI276" s="33"/>
      <c r="GJ276" s="33"/>
      <c r="GK276" s="33"/>
      <c r="GL276" s="33"/>
      <c r="GM276" s="33">
        <v>2.4412499999999997E-2</v>
      </c>
      <c r="GN276" s="33">
        <v>7.0679999999999993E-2</v>
      </c>
      <c r="GO276" s="33"/>
      <c r="GP276" s="33"/>
      <c r="GQ276" s="33"/>
      <c r="GR276" s="33"/>
      <c r="GS276" s="33"/>
      <c r="GT276" s="33"/>
      <c r="GU276" s="33"/>
      <c r="GV276" s="33"/>
      <c r="GW276" s="33"/>
      <c r="GX276" s="33"/>
      <c r="GY276" s="33"/>
      <c r="GZ276" s="33"/>
      <c r="HA276" s="33"/>
      <c r="HB276" s="33"/>
      <c r="HC276" s="33"/>
      <c r="HD276" s="33"/>
      <c r="HE276" s="33"/>
      <c r="HF276" s="33"/>
      <c r="HG276" s="33"/>
      <c r="HH276" s="33"/>
      <c r="HI276" s="33"/>
      <c r="HJ276" s="33"/>
      <c r="HK276" s="33"/>
      <c r="HL276" s="33"/>
      <c r="HM276" s="33"/>
      <c r="HN276" s="33"/>
      <c r="HO276" s="33"/>
      <c r="HP276" s="33"/>
      <c r="HQ276" s="33"/>
      <c r="HR276" s="33"/>
      <c r="HS276" s="33"/>
      <c r="HT276" s="33"/>
      <c r="HU276" s="33"/>
      <c r="HV276" s="33"/>
      <c r="HW276" s="33"/>
      <c r="HX276" s="33"/>
      <c r="HY276" s="33"/>
      <c r="HZ276" s="33"/>
      <c r="IA276" s="33"/>
      <c r="IB276" s="33"/>
      <c r="IC276" s="33"/>
      <c r="ID276" s="33"/>
      <c r="IE276" s="33"/>
      <c r="IF276" s="33"/>
      <c r="IG276" s="33"/>
      <c r="IH276" s="33"/>
      <c r="II276" s="33"/>
      <c r="IJ276" s="33"/>
      <c r="IK276" s="33"/>
      <c r="IL276" s="33"/>
      <c r="IM276" s="33"/>
      <c r="IN276" s="33"/>
      <c r="IO276" s="33"/>
      <c r="IP276" s="33"/>
      <c r="IQ276" s="33"/>
      <c r="IR276" s="33"/>
      <c r="IS276" s="33"/>
      <c r="IT276" s="33"/>
      <c r="IU276" s="33"/>
      <c r="IV276" s="33"/>
      <c r="IW276" s="33"/>
      <c r="IX276" s="33"/>
      <c r="IY276" s="33"/>
      <c r="IZ276" s="33"/>
      <c r="JA276" s="33"/>
      <c r="JB276" s="33"/>
      <c r="JC276" s="33"/>
      <c r="JD276" s="33"/>
      <c r="JE276" s="33"/>
      <c r="JF276" s="33"/>
      <c r="JG276" s="33"/>
      <c r="JH276" s="33"/>
      <c r="JI276" s="33"/>
      <c r="JJ276" s="33"/>
      <c r="JK276" s="33"/>
      <c r="JL276" s="33"/>
      <c r="JM276" s="33"/>
      <c r="JN276" s="33"/>
      <c r="JO276" s="33"/>
      <c r="JP276" s="33"/>
      <c r="JQ276" s="33"/>
      <c r="JR276" s="33"/>
      <c r="KZ276" s="33"/>
      <c r="LA276" s="33"/>
      <c r="LB276" s="33"/>
      <c r="LC276" s="33"/>
      <c r="LD276" s="33"/>
      <c r="LE276" s="33"/>
      <c r="LF276" s="33"/>
      <c r="LG276" s="33"/>
      <c r="LH276" s="33"/>
      <c r="LI276" s="33"/>
      <c r="LJ276" s="33"/>
      <c r="LK276" s="33"/>
      <c r="LL276" s="33"/>
      <c r="LM276" s="33"/>
      <c r="LN276" s="33"/>
      <c r="LO276" s="33"/>
      <c r="LP276" s="44"/>
      <c r="LQ276" s="44"/>
      <c r="LR276" s="44"/>
      <c r="LS276" s="44"/>
      <c r="LT276" s="44"/>
      <c r="LU276" s="44"/>
      <c r="LV276" s="44"/>
    </row>
    <row r="277" spans="1:334" x14ac:dyDescent="0.2">
      <c r="A277" s="1" t="s">
        <v>8690</v>
      </c>
      <c r="B277" s="1" t="s">
        <v>8677</v>
      </c>
      <c r="C277" s="1" t="s">
        <v>8691</v>
      </c>
      <c r="D277" s="1" t="s">
        <v>8692</v>
      </c>
      <c r="E277" s="1" t="s">
        <v>11</v>
      </c>
      <c r="F277" s="1" t="s">
        <v>8187</v>
      </c>
      <c r="H277" s="1" t="s">
        <v>8680</v>
      </c>
      <c r="J277" s="1" t="s">
        <v>8622</v>
      </c>
      <c r="K277" s="1">
        <v>2010</v>
      </c>
      <c r="L277" s="1" t="s">
        <v>8681</v>
      </c>
      <c r="M277" s="1" t="s">
        <v>7657</v>
      </c>
      <c r="N277" s="17" t="s">
        <v>7945</v>
      </c>
      <c r="O277" s="33"/>
      <c r="P277" s="33"/>
      <c r="Q277" s="33">
        <v>567.29999999999995</v>
      </c>
      <c r="R277" s="33">
        <v>135.5</v>
      </c>
      <c r="S277" s="33">
        <v>69.099999999999994</v>
      </c>
      <c r="T277" s="33"/>
      <c r="U277" s="33">
        <v>6.25</v>
      </c>
      <c r="V277" s="33"/>
      <c r="W277" s="33"/>
      <c r="X277" s="33"/>
      <c r="Y277" s="33"/>
      <c r="Z277" s="33">
        <v>7.5</v>
      </c>
      <c r="AA277" s="33"/>
      <c r="AB277" s="33">
        <v>1.2</v>
      </c>
      <c r="AC277" s="33"/>
      <c r="AD277" s="33"/>
      <c r="AE277" s="33"/>
      <c r="AF277" s="33">
        <v>21.8</v>
      </c>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v>8.8000000000000007</v>
      </c>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33"/>
      <c r="CM277" s="33"/>
      <c r="CN277" s="33"/>
      <c r="CO277" s="33">
        <v>0.41</v>
      </c>
      <c r="CP277" s="33"/>
      <c r="CQ277" s="33"/>
      <c r="CR277" s="33"/>
      <c r="CS277" s="33"/>
      <c r="CT277" s="33"/>
      <c r="CU277" s="33"/>
      <c r="CV277" s="33"/>
      <c r="CW277" s="33"/>
      <c r="CX277" s="33"/>
      <c r="CY277" s="33"/>
      <c r="CZ277" s="33"/>
      <c r="DA277" s="33"/>
      <c r="DB277" s="33"/>
      <c r="DC277" s="33"/>
      <c r="DD277" s="33"/>
      <c r="DE277" s="33"/>
      <c r="DF277" s="33"/>
      <c r="DG277" s="33"/>
      <c r="DH277" s="33"/>
      <c r="DI277" s="33"/>
      <c r="DJ277" s="33"/>
      <c r="DK277" s="33"/>
      <c r="DL277" s="33"/>
      <c r="DM277" s="33"/>
      <c r="DN277" s="33"/>
      <c r="DO277" s="33"/>
      <c r="DP277" s="33"/>
      <c r="DQ277" s="33"/>
      <c r="DR277" s="33"/>
      <c r="DS277" s="33"/>
      <c r="DT277" s="33"/>
      <c r="DU277" s="33"/>
      <c r="DV277" s="33"/>
      <c r="DW277" s="33"/>
      <c r="DX277" s="33"/>
      <c r="DY277" s="33"/>
      <c r="DZ277" s="33"/>
      <c r="EA277" s="33"/>
      <c r="EB277" s="33"/>
      <c r="EC277" s="33"/>
      <c r="ED277" s="33"/>
      <c r="EE277" s="33"/>
      <c r="EF277" s="33"/>
      <c r="EG277" s="33"/>
      <c r="EH277" s="33"/>
      <c r="EI277" s="33"/>
      <c r="EJ277" s="33"/>
      <c r="EK277" s="33"/>
      <c r="EL277" s="33"/>
      <c r="EM277" s="33"/>
      <c r="EN277" s="33"/>
      <c r="EO277" s="33"/>
      <c r="EP277" s="33"/>
      <c r="EQ277" s="33"/>
      <c r="ER277" s="33"/>
      <c r="ES277" s="33"/>
      <c r="ET277" s="33"/>
      <c r="EU277" s="33"/>
      <c r="EV277" s="33"/>
      <c r="EW277" s="33"/>
      <c r="EX277" s="33"/>
      <c r="EY277" s="33"/>
      <c r="EZ277" s="33"/>
      <c r="FA277" s="33"/>
      <c r="FB277" s="33"/>
      <c r="FC277" s="33"/>
      <c r="FD277" s="33"/>
      <c r="FE277" s="33"/>
      <c r="FF277" s="33"/>
      <c r="FG277" s="33"/>
      <c r="FH277" s="33"/>
      <c r="FI277" s="33"/>
      <c r="FJ277" s="33"/>
      <c r="FK277" s="33"/>
      <c r="FL277" s="33"/>
      <c r="FM277" s="33"/>
      <c r="FN277" s="33"/>
      <c r="FO277" s="33" t="s">
        <v>17</v>
      </c>
      <c r="FP277" s="33"/>
      <c r="FQ277" s="33">
        <v>0.04</v>
      </c>
      <c r="FR277" s="33"/>
      <c r="FS277" s="33">
        <v>0.22</v>
      </c>
      <c r="FT277" s="33"/>
      <c r="FU277" s="33"/>
      <c r="FV277" s="33"/>
      <c r="FW277" s="33"/>
      <c r="FX277" s="33"/>
      <c r="FY277" s="33"/>
      <c r="FZ277" s="33"/>
      <c r="GA277" s="33"/>
      <c r="GB277" s="33"/>
      <c r="GC277" s="33"/>
      <c r="GD277" s="33">
        <v>0.18041999999999997</v>
      </c>
      <c r="GE277" s="33">
        <v>8.4629999999999997E-2</v>
      </c>
      <c r="GF277" s="33">
        <v>0.46128000000000002</v>
      </c>
      <c r="GG277" s="33">
        <v>1.8599999999999999E-3</v>
      </c>
      <c r="GH277" s="33"/>
      <c r="GI277" s="33"/>
      <c r="GJ277" s="33"/>
      <c r="GK277" s="33"/>
      <c r="GL277" s="33"/>
      <c r="GM277" s="33">
        <v>0.34131</v>
      </c>
      <c r="GN277" s="33">
        <v>0.30318000000000001</v>
      </c>
      <c r="GO277" s="33"/>
      <c r="GP277" s="33"/>
      <c r="GQ277" s="33"/>
      <c r="GR277" s="33"/>
      <c r="GS277" s="33"/>
      <c r="GT277" s="33"/>
      <c r="GU277" s="33"/>
      <c r="GV277" s="33"/>
      <c r="GW277" s="33"/>
      <c r="GX277" s="33"/>
      <c r="GY277" s="33"/>
      <c r="GZ277" s="33"/>
      <c r="HA277" s="33"/>
      <c r="HB277" s="33"/>
      <c r="HC277" s="33"/>
      <c r="HD277" s="33"/>
      <c r="HE277" s="33"/>
      <c r="HF277" s="33"/>
      <c r="HG277" s="33"/>
      <c r="HH277" s="33"/>
      <c r="HI277" s="33"/>
      <c r="HJ277" s="33"/>
      <c r="HK277" s="33"/>
      <c r="HL277" s="33"/>
      <c r="HM277" s="33"/>
      <c r="HN277" s="33"/>
      <c r="HO277" s="33"/>
      <c r="HP277" s="33"/>
      <c r="HQ277" s="33"/>
      <c r="HR277" s="33"/>
      <c r="HS277" s="33"/>
      <c r="HT277" s="33"/>
      <c r="HU277" s="33"/>
      <c r="HV277" s="33"/>
      <c r="HW277" s="33"/>
      <c r="HX277" s="33"/>
      <c r="HY277" s="33"/>
      <c r="HZ277" s="33"/>
      <c r="IA277" s="33"/>
      <c r="IB277" s="33"/>
      <c r="IC277" s="33"/>
      <c r="ID277" s="33"/>
      <c r="IE277" s="33"/>
      <c r="IF277" s="33"/>
      <c r="IG277" s="33"/>
      <c r="IH277" s="33"/>
      <c r="II277" s="33"/>
      <c r="IJ277" s="33"/>
      <c r="IK277" s="33"/>
      <c r="IL277" s="33"/>
      <c r="IM277" s="33"/>
      <c r="IN277" s="33"/>
      <c r="IO277" s="33"/>
      <c r="IP277" s="33"/>
      <c r="IQ277" s="33"/>
      <c r="IR277" s="33"/>
      <c r="IS277" s="33"/>
      <c r="IT277" s="33"/>
      <c r="IU277" s="33"/>
      <c r="IV277" s="33"/>
      <c r="IW277" s="33"/>
      <c r="IX277" s="33"/>
      <c r="IY277" s="33"/>
      <c r="IZ277" s="33"/>
      <c r="JA277" s="33"/>
      <c r="JB277" s="33"/>
      <c r="JC277" s="33"/>
      <c r="JD277" s="33"/>
      <c r="JE277" s="33"/>
      <c r="JF277" s="33"/>
      <c r="JG277" s="33"/>
      <c r="JH277" s="33"/>
      <c r="JI277" s="33"/>
      <c r="JJ277" s="33"/>
      <c r="JK277" s="33"/>
      <c r="JL277" s="33"/>
      <c r="JM277" s="33"/>
      <c r="JN277" s="33"/>
      <c r="JO277" s="33"/>
      <c r="JP277" s="33"/>
      <c r="JQ277" s="33"/>
      <c r="JR277" s="33"/>
      <c r="KZ277" s="33"/>
      <c r="LA277" s="33"/>
      <c r="LB277" s="33"/>
      <c r="LC277" s="33"/>
      <c r="LD277" s="33"/>
      <c r="LE277" s="33"/>
      <c r="LF277" s="33"/>
      <c r="LG277" s="33"/>
      <c r="LH277" s="33"/>
      <c r="LI277" s="33"/>
      <c r="LJ277" s="33"/>
      <c r="LK277" s="33"/>
      <c r="LL277" s="33"/>
      <c r="LM277" s="33"/>
      <c r="LN277" s="33"/>
      <c r="LO277" s="33"/>
      <c r="LP277" s="44"/>
      <c r="LQ277" s="44"/>
      <c r="LR277" s="44"/>
      <c r="LS277" s="44"/>
      <c r="LT277" s="44"/>
      <c r="LU277" s="44"/>
      <c r="LV277" s="44"/>
    </row>
    <row r="278" spans="1:334" x14ac:dyDescent="0.2">
      <c r="A278" s="1" t="s">
        <v>8693</v>
      </c>
      <c r="B278" s="1" t="s">
        <v>8677</v>
      </c>
      <c r="C278" s="1" t="s">
        <v>8694</v>
      </c>
      <c r="D278" s="1" t="s">
        <v>8695</v>
      </c>
      <c r="E278" s="1" t="s">
        <v>11</v>
      </c>
      <c r="F278" s="1" t="s">
        <v>8187</v>
      </c>
      <c r="H278" s="1" t="s">
        <v>8680</v>
      </c>
      <c r="J278" s="1" t="s">
        <v>8622</v>
      </c>
      <c r="K278" s="1">
        <v>2010</v>
      </c>
      <c r="L278" s="1" t="s">
        <v>8681</v>
      </c>
      <c r="M278" s="1" t="s">
        <v>7657</v>
      </c>
      <c r="N278" s="17" t="s">
        <v>7945</v>
      </c>
      <c r="O278" s="33"/>
      <c r="P278" s="33"/>
      <c r="Q278" s="33">
        <v>478.2</v>
      </c>
      <c r="R278" s="33">
        <v>114.2</v>
      </c>
      <c r="S278" s="33">
        <v>74.2</v>
      </c>
      <c r="T278" s="33"/>
      <c r="U278" s="33">
        <v>6.25</v>
      </c>
      <c r="V278" s="33"/>
      <c r="W278" s="33"/>
      <c r="X278" s="33"/>
      <c r="Y278" s="33"/>
      <c r="Z278" s="33">
        <v>7</v>
      </c>
      <c r="AA278" s="33"/>
      <c r="AB278" s="33">
        <v>0.9</v>
      </c>
      <c r="AC278" s="33"/>
      <c r="AD278" s="33"/>
      <c r="AE278" s="33"/>
      <c r="AF278" s="33">
        <v>17.2</v>
      </c>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v>5.8</v>
      </c>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c r="CD278" s="33"/>
      <c r="CE278" s="33"/>
      <c r="CF278" s="33"/>
      <c r="CG278" s="33"/>
      <c r="CH278" s="33"/>
      <c r="CI278" s="33"/>
      <c r="CJ278" s="33"/>
      <c r="CK278" s="33"/>
      <c r="CL278" s="33"/>
      <c r="CM278" s="33"/>
      <c r="CN278" s="33"/>
      <c r="CO278" s="33">
        <v>0.73</v>
      </c>
      <c r="CP278" s="33"/>
      <c r="CQ278" s="33"/>
      <c r="CR278" s="33"/>
      <c r="CS278" s="33"/>
      <c r="CT278" s="33"/>
      <c r="CU278" s="33"/>
      <c r="CV278" s="33"/>
      <c r="CW278" s="33"/>
      <c r="CX278" s="33"/>
      <c r="CY278" s="33"/>
      <c r="CZ278" s="33"/>
      <c r="DA278" s="33"/>
      <c r="DB278" s="33"/>
      <c r="DC278" s="33"/>
      <c r="DD278" s="33"/>
      <c r="DE278" s="33"/>
      <c r="DF278" s="33"/>
      <c r="DG278" s="33"/>
      <c r="DH278" s="33"/>
      <c r="DI278" s="33"/>
      <c r="DJ278" s="33"/>
      <c r="DK278" s="33"/>
      <c r="DL278" s="33"/>
      <c r="DM278" s="33"/>
      <c r="DN278" s="33"/>
      <c r="DO278" s="33"/>
      <c r="DP278" s="33"/>
      <c r="DQ278" s="33"/>
      <c r="DR278" s="33"/>
      <c r="DS278" s="33"/>
      <c r="DT278" s="33"/>
      <c r="DU278" s="33"/>
      <c r="DV278" s="33"/>
      <c r="DW278" s="33"/>
      <c r="DX278" s="33"/>
      <c r="DY278" s="33"/>
      <c r="DZ278" s="33"/>
      <c r="EA278" s="33"/>
      <c r="EB278" s="33"/>
      <c r="EC278" s="33"/>
      <c r="ED278" s="33"/>
      <c r="EE278" s="33"/>
      <c r="EF278" s="33"/>
      <c r="EG278" s="33"/>
      <c r="EH278" s="33"/>
      <c r="EI278" s="33"/>
      <c r="EJ278" s="33"/>
      <c r="EK278" s="33"/>
      <c r="EL278" s="33"/>
      <c r="EM278" s="33"/>
      <c r="EN278" s="33"/>
      <c r="EO278" s="33"/>
      <c r="EP278" s="33"/>
      <c r="EQ278" s="33"/>
      <c r="ER278" s="33"/>
      <c r="ES278" s="33"/>
      <c r="ET278" s="33"/>
      <c r="EU278" s="33"/>
      <c r="EV278" s="33"/>
      <c r="EW278" s="33"/>
      <c r="EX278" s="33"/>
      <c r="EY278" s="33"/>
      <c r="EZ278" s="33"/>
      <c r="FA278" s="33"/>
      <c r="FB278" s="33"/>
      <c r="FC278" s="33"/>
      <c r="FD278" s="33"/>
      <c r="FE278" s="33"/>
      <c r="FF278" s="33"/>
      <c r="FG278" s="33"/>
      <c r="FH278" s="33"/>
      <c r="FI278" s="33"/>
      <c r="FJ278" s="33"/>
      <c r="FK278" s="33"/>
      <c r="FL278" s="33"/>
      <c r="FM278" s="33"/>
      <c r="FN278" s="33"/>
      <c r="FO278" s="33" t="s">
        <v>17</v>
      </c>
      <c r="FP278" s="33"/>
      <c r="FQ278" s="33">
        <v>0.05</v>
      </c>
      <c r="FR278" s="33"/>
      <c r="FS278" s="33">
        <v>0.31</v>
      </c>
      <c r="FT278" s="33"/>
      <c r="FU278" s="33"/>
      <c r="FV278" s="33"/>
      <c r="FW278" s="33"/>
      <c r="FX278" s="33"/>
      <c r="FY278" s="33"/>
      <c r="FZ278" s="33"/>
      <c r="GA278" s="33"/>
      <c r="GB278" s="33"/>
      <c r="GC278" s="33"/>
      <c r="GD278" s="33">
        <v>0.12554999999999999</v>
      </c>
      <c r="GE278" s="33">
        <v>6.06825E-2</v>
      </c>
      <c r="GF278" s="33">
        <v>0.50499000000000005</v>
      </c>
      <c r="GG278" s="33">
        <v>2.0924999999999997E-3</v>
      </c>
      <c r="GH278" s="33"/>
      <c r="GI278" s="33"/>
      <c r="GJ278" s="33"/>
      <c r="GK278" s="33"/>
      <c r="GL278" s="33"/>
      <c r="GM278" s="33">
        <v>0.25737749999999998</v>
      </c>
      <c r="GN278" s="33">
        <v>0.24761250000000001</v>
      </c>
      <c r="GO278" s="33"/>
      <c r="GP278" s="33"/>
      <c r="GQ278" s="33"/>
      <c r="GR278" s="33"/>
      <c r="GS278" s="33"/>
      <c r="GT278" s="33"/>
      <c r="GU278" s="33"/>
      <c r="GV278" s="33"/>
      <c r="GW278" s="33"/>
      <c r="GX278" s="33"/>
      <c r="GY278" s="33"/>
      <c r="GZ278" s="33"/>
      <c r="HA278" s="33"/>
      <c r="HB278" s="33"/>
      <c r="HC278" s="33"/>
      <c r="HD278" s="33"/>
      <c r="HE278" s="33"/>
      <c r="HF278" s="33"/>
      <c r="HG278" s="33"/>
      <c r="HH278" s="33"/>
      <c r="HI278" s="33"/>
      <c r="HJ278" s="33"/>
      <c r="HK278" s="33"/>
      <c r="HL278" s="33"/>
      <c r="HM278" s="33"/>
      <c r="HN278" s="33"/>
      <c r="HO278" s="33"/>
      <c r="HP278" s="33"/>
      <c r="HQ278" s="33"/>
      <c r="HR278" s="33"/>
      <c r="HS278" s="33"/>
      <c r="HT278" s="33"/>
      <c r="HU278" s="33"/>
      <c r="HV278" s="33"/>
      <c r="HW278" s="33"/>
      <c r="HX278" s="33"/>
      <c r="HY278" s="33"/>
      <c r="HZ278" s="33"/>
      <c r="IA278" s="33"/>
      <c r="IB278" s="33"/>
      <c r="IC278" s="33"/>
      <c r="ID278" s="33"/>
      <c r="IE278" s="33"/>
      <c r="IF278" s="33"/>
      <c r="IG278" s="33"/>
      <c r="IH278" s="33"/>
      <c r="II278" s="33"/>
      <c r="IJ278" s="33"/>
      <c r="IK278" s="33"/>
      <c r="IL278" s="33"/>
      <c r="IM278" s="33"/>
      <c r="IN278" s="33"/>
      <c r="IO278" s="33"/>
      <c r="IP278" s="33"/>
      <c r="IQ278" s="33"/>
      <c r="IR278" s="33"/>
      <c r="IS278" s="33"/>
      <c r="IT278" s="33"/>
      <c r="IU278" s="33"/>
      <c r="IV278" s="33"/>
      <c r="IW278" s="33"/>
      <c r="IX278" s="33"/>
      <c r="IY278" s="33"/>
      <c r="IZ278" s="33"/>
      <c r="JA278" s="33"/>
      <c r="JB278" s="33"/>
      <c r="JC278" s="33"/>
      <c r="JD278" s="33"/>
      <c r="JE278" s="33"/>
      <c r="JF278" s="33"/>
      <c r="JG278" s="33"/>
      <c r="JH278" s="33"/>
      <c r="JI278" s="33"/>
      <c r="JJ278" s="33"/>
      <c r="JK278" s="33"/>
      <c r="JL278" s="33"/>
      <c r="JM278" s="33"/>
      <c r="JN278" s="33"/>
      <c r="JO278" s="33"/>
      <c r="JP278" s="33"/>
      <c r="JQ278" s="33"/>
      <c r="JR278" s="33"/>
      <c r="KZ278" s="33"/>
      <c r="LA278" s="33"/>
      <c r="LB278" s="33"/>
      <c r="LC278" s="33"/>
      <c r="LD278" s="33"/>
      <c r="LE278" s="33"/>
      <c r="LF278" s="33"/>
      <c r="LG278" s="33"/>
      <c r="LH278" s="33"/>
      <c r="LI278" s="33"/>
      <c r="LJ278" s="33"/>
      <c r="LK278" s="33"/>
      <c r="LL278" s="33"/>
      <c r="LM278" s="33"/>
      <c r="LN278" s="33"/>
      <c r="LO278" s="33"/>
      <c r="LP278" s="44"/>
      <c r="LQ278" s="44"/>
      <c r="LR278" s="44"/>
      <c r="LS278" s="44"/>
      <c r="LT278" s="44"/>
      <c r="LU278" s="44"/>
      <c r="LV278" s="44"/>
    </row>
    <row r="279" spans="1:334" x14ac:dyDescent="0.2">
      <c r="A279" s="1" t="s">
        <v>8696</v>
      </c>
      <c r="B279" s="1" t="s">
        <v>8677</v>
      </c>
      <c r="C279" s="1" t="s">
        <v>8697</v>
      </c>
      <c r="D279" s="1" t="s">
        <v>8698</v>
      </c>
      <c r="E279" s="1" t="s">
        <v>11</v>
      </c>
      <c r="F279" s="1" t="s">
        <v>6268</v>
      </c>
      <c r="H279" s="1" t="s">
        <v>8680</v>
      </c>
      <c r="J279" s="1" t="s">
        <v>8622</v>
      </c>
      <c r="K279" s="1">
        <v>2010</v>
      </c>
      <c r="L279" s="1" t="s">
        <v>8681</v>
      </c>
      <c r="M279" s="1" t="s">
        <v>7657</v>
      </c>
      <c r="N279" s="17" t="s">
        <v>7945</v>
      </c>
      <c r="O279" s="33"/>
      <c r="P279" s="33"/>
      <c r="Q279" s="33">
        <v>505.4</v>
      </c>
      <c r="R279" s="33">
        <v>120.7</v>
      </c>
      <c r="S279" s="33">
        <v>72</v>
      </c>
      <c r="T279" s="33"/>
      <c r="U279" s="33">
        <v>6.25</v>
      </c>
      <c r="V279" s="33"/>
      <c r="W279" s="33"/>
      <c r="X279" s="33"/>
      <c r="Y279" s="33"/>
      <c r="Z279" s="33">
        <v>7.1</v>
      </c>
      <c r="AA279" s="33"/>
      <c r="AB279" s="33">
        <v>1.2</v>
      </c>
      <c r="AC279" s="33"/>
      <c r="AD279" s="33"/>
      <c r="AE279" s="33"/>
      <c r="AF279" s="33">
        <v>19.3</v>
      </c>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v>6.7</v>
      </c>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v>0.41</v>
      </c>
      <c r="CP279" s="33"/>
      <c r="CQ279" s="33"/>
      <c r="CR279" s="33"/>
      <c r="CS279" s="33"/>
      <c r="CT279" s="33"/>
      <c r="CU279" s="33"/>
      <c r="CV279" s="33"/>
      <c r="CW279" s="33"/>
      <c r="CX279" s="33"/>
      <c r="CY279" s="33"/>
      <c r="CZ279" s="33"/>
      <c r="DA279" s="33"/>
      <c r="DB279" s="33"/>
      <c r="DC279" s="33"/>
      <c r="DD279" s="33"/>
      <c r="DE279" s="33"/>
      <c r="DF279" s="33"/>
      <c r="DG279" s="33"/>
      <c r="DH279" s="33"/>
      <c r="DI279" s="33"/>
      <c r="DJ279" s="33"/>
      <c r="DK279" s="33"/>
      <c r="DL279" s="33"/>
      <c r="DM279" s="33"/>
      <c r="DN279" s="33"/>
      <c r="DO279" s="33"/>
      <c r="DP279" s="33"/>
      <c r="DQ279" s="33"/>
      <c r="DR279" s="33"/>
      <c r="DS279" s="33"/>
      <c r="DT279" s="33"/>
      <c r="DU279" s="33"/>
      <c r="DV279" s="33"/>
      <c r="DW279" s="33"/>
      <c r="DX279" s="33"/>
      <c r="DY279" s="33"/>
      <c r="DZ279" s="33"/>
      <c r="EA279" s="33"/>
      <c r="EB279" s="33"/>
      <c r="EC279" s="33"/>
      <c r="ED279" s="33"/>
      <c r="EE279" s="33"/>
      <c r="EF279" s="33"/>
      <c r="EG279" s="33"/>
      <c r="EH279" s="33"/>
      <c r="EI279" s="33"/>
      <c r="EJ279" s="33"/>
      <c r="EK279" s="33"/>
      <c r="EL279" s="33"/>
      <c r="EM279" s="33"/>
      <c r="EN279" s="33"/>
      <c r="EO279" s="33"/>
      <c r="EP279" s="33"/>
      <c r="EQ279" s="33"/>
      <c r="ER279" s="33"/>
      <c r="ES279" s="33"/>
      <c r="ET279" s="33"/>
      <c r="EU279" s="33"/>
      <c r="EV279" s="33"/>
      <c r="EW279" s="33"/>
      <c r="EX279" s="33"/>
      <c r="EY279" s="33"/>
      <c r="EZ279" s="33"/>
      <c r="FA279" s="33"/>
      <c r="FB279" s="33"/>
      <c r="FC279" s="33"/>
      <c r="FD279" s="33"/>
      <c r="FE279" s="33"/>
      <c r="FF279" s="33"/>
      <c r="FG279" s="33"/>
      <c r="FH279" s="33"/>
      <c r="FI279" s="33"/>
      <c r="FJ279" s="33"/>
      <c r="FK279" s="33"/>
      <c r="FL279" s="33"/>
      <c r="FM279" s="33"/>
      <c r="FN279" s="33"/>
      <c r="FO279" s="33">
        <v>0.02</v>
      </c>
      <c r="FP279" s="33"/>
      <c r="FQ279" s="33">
        <v>0.61</v>
      </c>
      <c r="FR279" s="33"/>
      <c r="FS279" s="33">
        <v>0.02</v>
      </c>
      <c r="FT279" s="33"/>
      <c r="FU279" s="33"/>
      <c r="FV279" s="33"/>
      <c r="FW279" s="33"/>
      <c r="FX279" s="33"/>
      <c r="FY279" s="33"/>
      <c r="FZ279" s="33"/>
      <c r="GA279" s="33"/>
      <c r="GB279" s="33"/>
      <c r="GC279" s="33"/>
      <c r="GD279" s="33">
        <v>0.37107000000000001</v>
      </c>
      <c r="GE279" s="33">
        <v>5.4870000000000002E-2</v>
      </c>
      <c r="GF279" s="33">
        <v>0.58031999999999995</v>
      </c>
      <c r="GG279" s="33">
        <v>9.2999999999999995E-4</v>
      </c>
      <c r="GH279" s="33"/>
      <c r="GI279" s="33"/>
      <c r="GJ279" s="33"/>
      <c r="GK279" s="33"/>
      <c r="GL279" s="33"/>
      <c r="GM279" s="33">
        <v>0.26505000000000001</v>
      </c>
      <c r="GN279" s="33">
        <v>0.31341000000000002</v>
      </c>
      <c r="GO279" s="33"/>
      <c r="GP279" s="33"/>
      <c r="GQ279" s="33"/>
      <c r="GR279" s="33"/>
      <c r="GS279" s="33"/>
      <c r="GT279" s="33"/>
      <c r="GU279" s="33"/>
      <c r="GV279" s="33"/>
      <c r="GW279" s="33"/>
      <c r="GX279" s="33"/>
      <c r="GY279" s="33"/>
      <c r="GZ279" s="33"/>
      <c r="HA279" s="33"/>
      <c r="HB279" s="33"/>
      <c r="HC279" s="33"/>
      <c r="HD279" s="33"/>
      <c r="HE279" s="33"/>
      <c r="HF279" s="33"/>
      <c r="HG279" s="33"/>
      <c r="HH279" s="33"/>
      <c r="HI279" s="33"/>
      <c r="HJ279" s="33"/>
      <c r="HK279" s="33"/>
      <c r="HL279" s="33"/>
      <c r="HM279" s="33"/>
      <c r="HN279" s="33"/>
      <c r="HO279" s="33"/>
      <c r="HP279" s="33"/>
      <c r="HQ279" s="33"/>
      <c r="HR279" s="33"/>
      <c r="HS279" s="33"/>
      <c r="HT279" s="33"/>
      <c r="HU279" s="33"/>
      <c r="HV279" s="33"/>
      <c r="HW279" s="33"/>
      <c r="HX279" s="33"/>
      <c r="HY279" s="33"/>
      <c r="HZ279" s="33"/>
      <c r="IA279" s="33"/>
      <c r="IB279" s="33"/>
      <c r="IC279" s="33"/>
      <c r="ID279" s="33"/>
      <c r="IE279" s="33"/>
      <c r="IF279" s="33"/>
      <c r="IG279" s="33"/>
      <c r="IH279" s="33"/>
      <c r="II279" s="33"/>
      <c r="IJ279" s="33"/>
      <c r="IK279" s="33"/>
      <c r="IL279" s="33"/>
      <c r="IM279" s="33"/>
      <c r="IN279" s="33"/>
      <c r="IO279" s="33"/>
      <c r="IP279" s="33"/>
      <c r="IQ279" s="33"/>
      <c r="IR279" s="33"/>
      <c r="IS279" s="33"/>
      <c r="IT279" s="33"/>
      <c r="IU279" s="33"/>
      <c r="IV279" s="33"/>
      <c r="IW279" s="33"/>
      <c r="IX279" s="33"/>
      <c r="IY279" s="33"/>
      <c r="IZ279" s="33"/>
      <c r="JA279" s="33"/>
      <c r="JB279" s="33"/>
      <c r="JC279" s="33"/>
      <c r="JD279" s="33"/>
      <c r="JE279" s="33"/>
      <c r="JF279" s="33"/>
      <c r="JG279" s="33"/>
      <c r="JH279" s="33"/>
      <c r="JI279" s="33"/>
      <c r="JJ279" s="33"/>
      <c r="JK279" s="33"/>
      <c r="JL279" s="33"/>
      <c r="JM279" s="33"/>
      <c r="JN279" s="33"/>
      <c r="JO279" s="33"/>
      <c r="JP279" s="33"/>
      <c r="JQ279" s="33"/>
      <c r="JR279" s="33"/>
      <c r="KZ279" s="33"/>
      <c r="LA279" s="33"/>
      <c r="LB279" s="33"/>
      <c r="LC279" s="33"/>
      <c r="LD279" s="33"/>
      <c r="LE279" s="33"/>
      <c r="LF279" s="33"/>
      <c r="LG279" s="33"/>
      <c r="LH279" s="33"/>
      <c r="LI279" s="33"/>
      <c r="LJ279" s="33"/>
      <c r="LK279" s="33"/>
      <c r="LL279" s="33"/>
      <c r="LM279" s="33"/>
      <c r="LN279" s="33"/>
      <c r="LO279" s="33"/>
      <c r="LP279" s="44"/>
      <c r="LQ279" s="44"/>
      <c r="LR279" s="44"/>
      <c r="LS279" s="44"/>
      <c r="LT279" s="44"/>
      <c r="LU279" s="44"/>
      <c r="LV279" s="44"/>
    </row>
    <row r="280" spans="1:334" x14ac:dyDescent="0.2">
      <c r="A280" s="1" t="s">
        <v>8699</v>
      </c>
      <c r="B280" s="1" t="s">
        <v>2954</v>
      </c>
      <c r="D280" s="1" t="s">
        <v>8640</v>
      </c>
      <c r="E280" s="1" t="s">
        <v>7966</v>
      </c>
      <c r="F280" s="1" t="s">
        <v>8024</v>
      </c>
      <c r="H280" s="1" t="s">
        <v>8700</v>
      </c>
      <c r="K280" s="1">
        <v>2016</v>
      </c>
      <c r="L280" s="1" t="s">
        <v>8701</v>
      </c>
      <c r="M280" s="1" t="s">
        <v>7657</v>
      </c>
      <c r="N280" s="17" t="s">
        <v>7945</v>
      </c>
      <c r="O280" s="33"/>
      <c r="P280" s="33"/>
      <c r="Q280" s="33"/>
      <c r="R280" s="33"/>
      <c r="S280" s="33">
        <v>11.2</v>
      </c>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c r="CU280" s="33"/>
      <c r="CV280" s="33"/>
      <c r="CW280" s="33"/>
      <c r="CX280" s="33"/>
      <c r="CY280" s="33"/>
      <c r="CZ280" s="33"/>
      <c r="DA280" s="33"/>
      <c r="DB280" s="33"/>
      <c r="DC280" s="33"/>
      <c r="DD280" s="33"/>
      <c r="DE280" s="33"/>
      <c r="DF280" s="33"/>
      <c r="DG280" s="33"/>
      <c r="DH280" s="33"/>
      <c r="DI280" s="33"/>
      <c r="DJ280" s="33"/>
      <c r="DK280" s="33"/>
      <c r="DL280" s="33"/>
      <c r="DM280" s="33"/>
      <c r="DN280" s="33"/>
      <c r="DO280" s="33"/>
      <c r="DP280" s="33"/>
      <c r="DQ280" s="33"/>
      <c r="DR280" s="33"/>
      <c r="DS280" s="33"/>
      <c r="DT280" s="33"/>
      <c r="DU280" s="33"/>
      <c r="DV280" s="33"/>
      <c r="DW280" s="33"/>
      <c r="DX280" s="33"/>
      <c r="DY280" s="33"/>
      <c r="DZ280" s="33"/>
      <c r="EA280" s="33"/>
      <c r="EB280" s="33"/>
      <c r="EC280" s="33"/>
      <c r="ED280" s="33"/>
      <c r="EE280" s="33"/>
      <c r="EF280" s="33"/>
      <c r="EG280" s="33"/>
      <c r="EH280" s="33"/>
      <c r="EI280" s="33"/>
      <c r="EJ280" s="33"/>
      <c r="EK280" s="33"/>
      <c r="EL280" s="33"/>
      <c r="EM280" s="33"/>
      <c r="EN280" s="33"/>
      <c r="EO280" s="33"/>
      <c r="EP280" s="33"/>
      <c r="EQ280" s="33"/>
      <c r="ER280" s="33"/>
      <c r="ES280" s="33"/>
      <c r="ET280" s="33"/>
      <c r="EU280" s="33"/>
      <c r="EV280" s="33"/>
      <c r="EW280" s="33"/>
      <c r="EX280" s="33"/>
      <c r="EY280" s="33"/>
      <c r="EZ280" s="33"/>
      <c r="FA280" s="33"/>
      <c r="FB280" s="33"/>
      <c r="FC280" s="33"/>
      <c r="FD280" s="33"/>
      <c r="FE280" s="33"/>
      <c r="FF280" s="33"/>
      <c r="FG280" s="33"/>
      <c r="FH280" s="33"/>
      <c r="FI280" s="33"/>
      <c r="FJ280" s="33"/>
      <c r="FK280" s="33"/>
      <c r="FL280" s="33"/>
      <c r="FM280" s="33"/>
      <c r="FN280" s="33"/>
      <c r="FO280" s="33"/>
      <c r="FP280" s="33"/>
      <c r="FQ280" s="33"/>
      <c r="FR280" s="33"/>
      <c r="FS280" s="33"/>
      <c r="FT280" s="33"/>
      <c r="FU280" s="33"/>
      <c r="FV280" s="33"/>
      <c r="FW280" s="33"/>
      <c r="FX280" s="33"/>
      <c r="FY280" s="33"/>
      <c r="FZ280" s="33"/>
      <c r="GA280" s="33">
        <v>2.3087999999999997</v>
      </c>
      <c r="GB280" s="33"/>
      <c r="GC280" s="33"/>
      <c r="GD280" s="33">
        <v>0.41096639999999995</v>
      </c>
      <c r="GE280" s="33">
        <v>0.58874399999999993</v>
      </c>
      <c r="GF280" s="33">
        <v>1.3090895999999999</v>
      </c>
      <c r="GG280" s="33"/>
      <c r="GH280" s="33"/>
      <c r="GI280" s="33"/>
      <c r="GJ280" s="33"/>
      <c r="GK280" s="33"/>
      <c r="GL280" s="33"/>
      <c r="GM280" s="33"/>
      <c r="GN280" s="33"/>
      <c r="GO280" s="33"/>
      <c r="GP280" s="33"/>
      <c r="GQ280" s="33"/>
      <c r="GR280" s="33"/>
      <c r="GS280" s="33"/>
      <c r="GT280" s="33"/>
      <c r="GU280" s="33"/>
      <c r="GV280" s="33"/>
      <c r="GW280" s="33"/>
      <c r="GX280" s="33">
        <v>0.33939359999999996</v>
      </c>
      <c r="GY280" s="33"/>
      <c r="GZ280" s="33">
        <v>7.1572799999999992E-2</v>
      </c>
      <c r="HA280" s="33"/>
      <c r="HB280" s="33"/>
      <c r="HC280" s="33"/>
      <c r="HD280" s="33"/>
      <c r="HE280" s="33"/>
      <c r="HF280" s="33"/>
      <c r="HG280" s="33"/>
      <c r="HH280" s="33"/>
      <c r="HI280" s="33"/>
      <c r="HJ280" s="33"/>
      <c r="HK280" s="33"/>
      <c r="HL280" s="33"/>
      <c r="HM280" s="33"/>
      <c r="HN280" s="33"/>
      <c r="HO280" s="33"/>
      <c r="HP280" s="33"/>
      <c r="HQ280" s="33"/>
      <c r="HR280" s="33">
        <v>0.58874399999999993</v>
      </c>
      <c r="HS280" s="33"/>
      <c r="HT280" s="33"/>
      <c r="HU280" s="33"/>
      <c r="HV280" s="33"/>
      <c r="HW280" s="33"/>
      <c r="HX280" s="33"/>
      <c r="HY280" s="33"/>
      <c r="HZ280" s="33"/>
      <c r="IA280" s="33"/>
      <c r="IB280" s="33"/>
      <c r="IC280" s="33"/>
      <c r="ID280" s="33"/>
      <c r="IE280" s="33"/>
      <c r="IF280" s="33"/>
      <c r="IG280" s="33"/>
      <c r="IH280" s="33"/>
      <c r="II280" s="33"/>
      <c r="IJ280" s="33"/>
      <c r="IK280" s="33"/>
      <c r="IL280" s="33"/>
      <c r="IM280" s="33"/>
      <c r="IN280" s="33"/>
      <c r="IO280" s="33"/>
      <c r="IP280" s="33"/>
      <c r="IQ280" s="33"/>
      <c r="IR280" s="33"/>
      <c r="IS280" s="33">
        <v>1.0458863999999999</v>
      </c>
      <c r="IT280" s="33"/>
      <c r="IU280" s="33"/>
      <c r="IV280" s="33"/>
      <c r="IW280" s="33"/>
      <c r="IX280" s="33"/>
      <c r="IY280" s="33"/>
      <c r="IZ280" s="33"/>
      <c r="JA280" s="33"/>
      <c r="JB280" s="33">
        <v>0.26320319999999997</v>
      </c>
      <c r="JC280" s="33"/>
      <c r="JD280" s="33"/>
      <c r="JE280" s="33"/>
      <c r="JF280" s="33"/>
      <c r="JG280" s="33"/>
      <c r="JH280" s="33"/>
      <c r="JI280" s="33"/>
      <c r="JJ280" s="33"/>
      <c r="JK280" s="33"/>
      <c r="JL280" s="33"/>
      <c r="JM280" s="33"/>
      <c r="JN280" s="33"/>
      <c r="JO280" s="33"/>
      <c r="JP280" s="33"/>
      <c r="JQ280" s="33"/>
      <c r="JR280" s="33"/>
      <c r="KZ280" s="33"/>
      <c r="LA280" s="33"/>
      <c r="LB280" s="33"/>
      <c r="LC280" s="33"/>
      <c r="LD280" s="33"/>
      <c r="LE280" s="33"/>
      <c r="LF280" s="33"/>
      <c r="LG280" s="33"/>
      <c r="LH280" s="33"/>
      <c r="LI280" s="33"/>
      <c r="LJ280" s="33"/>
      <c r="LK280" s="33"/>
      <c r="LL280" s="33"/>
      <c r="LM280" s="33"/>
      <c r="LN280" s="33"/>
      <c r="LO280" s="33"/>
      <c r="LP280" s="44"/>
      <c r="LQ280" s="44"/>
      <c r="LR280" s="44"/>
      <c r="LS280" s="44"/>
      <c r="LT280" s="44"/>
      <c r="LU280" s="44"/>
      <c r="LV280" s="44"/>
    </row>
    <row r="281" spans="1:334" x14ac:dyDescent="0.2">
      <c r="A281" s="1" t="s">
        <v>8702</v>
      </c>
      <c r="B281" s="1" t="s">
        <v>2954</v>
      </c>
      <c r="D281" s="1" t="s">
        <v>8640</v>
      </c>
      <c r="E281" s="1" t="s">
        <v>7966</v>
      </c>
      <c r="F281" s="1" t="s">
        <v>8024</v>
      </c>
      <c r="H281" s="1" t="s">
        <v>8703</v>
      </c>
      <c r="K281" s="1">
        <v>2016</v>
      </c>
      <c r="L281" s="1" t="s">
        <v>8701</v>
      </c>
      <c r="M281" s="1" t="s">
        <v>7657</v>
      </c>
      <c r="N281" s="17" t="s">
        <v>7945</v>
      </c>
      <c r="O281" s="33"/>
      <c r="P281" s="33"/>
      <c r="Q281" s="33"/>
      <c r="R281" s="33"/>
      <c r="S281" s="33">
        <v>11.2</v>
      </c>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33"/>
      <c r="CM281" s="33"/>
      <c r="CN281" s="33"/>
      <c r="CO281" s="33"/>
      <c r="CP281" s="33"/>
      <c r="CQ281" s="33"/>
      <c r="CR281" s="33"/>
      <c r="CS281" s="33"/>
      <c r="CT281" s="33"/>
      <c r="CU281" s="33"/>
      <c r="CV281" s="33"/>
      <c r="CW281" s="33"/>
      <c r="CX281" s="33"/>
      <c r="CY281" s="33"/>
      <c r="CZ281" s="33"/>
      <c r="DA281" s="33"/>
      <c r="DB281" s="33"/>
      <c r="DC281" s="33"/>
      <c r="DD281" s="33"/>
      <c r="DE281" s="33"/>
      <c r="DF281" s="33"/>
      <c r="DG281" s="33"/>
      <c r="DH281" s="33"/>
      <c r="DI281" s="33"/>
      <c r="DJ281" s="33"/>
      <c r="DK281" s="33"/>
      <c r="DL281" s="33"/>
      <c r="DM281" s="33"/>
      <c r="DN281" s="33"/>
      <c r="DO281" s="33"/>
      <c r="DP281" s="33"/>
      <c r="DQ281" s="33"/>
      <c r="DR281" s="33"/>
      <c r="DS281" s="33"/>
      <c r="DT281" s="33"/>
      <c r="DU281" s="33"/>
      <c r="DV281" s="33"/>
      <c r="DW281" s="33"/>
      <c r="DX281" s="33"/>
      <c r="DY281" s="33"/>
      <c r="DZ281" s="33"/>
      <c r="EA281" s="33"/>
      <c r="EB281" s="33"/>
      <c r="EC281" s="33"/>
      <c r="ED281" s="33"/>
      <c r="EE281" s="33"/>
      <c r="EF281" s="33"/>
      <c r="EG281" s="33"/>
      <c r="EH281" s="33"/>
      <c r="EI281" s="33"/>
      <c r="EJ281" s="33"/>
      <c r="EK281" s="33"/>
      <c r="EL281" s="33"/>
      <c r="EM281" s="33"/>
      <c r="EN281" s="33"/>
      <c r="EO281" s="33"/>
      <c r="EP281" s="33"/>
      <c r="EQ281" s="33"/>
      <c r="ER281" s="33"/>
      <c r="ES281" s="33"/>
      <c r="ET281" s="33"/>
      <c r="EU281" s="33"/>
      <c r="EV281" s="33"/>
      <c r="EW281" s="33"/>
      <c r="EX281" s="33"/>
      <c r="EY281" s="33"/>
      <c r="EZ281" s="33"/>
      <c r="FA281" s="33"/>
      <c r="FB281" s="33"/>
      <c r="FC281" s="33"/>
      <c r="FD281" s="33"/>
      <c r="FE281" s="33"/>
      <c r="FF281" s="33"/>
      <c r="FG281" s="33"/>
      <c r="FH281" s="33"/>
      <c r="FI281" s="33"/>
      <c r="FJ281" s="33"/>
      <c r="FK281" s="33"/>
      <c r="FL281" s="33"/>
      <c r="FM281" s="33"/>
      <c r="FN281" s="33"/>
      <c r="FO281" s="33"/>
      <c r="FP281" s="33"/>
      <c r="FQ281" s="33"/>
      <c r="FR281" s="33"/>
      <c r="FS281" s="33"/>
      <c r="FT281" s="33"/>
      <c r="FU281" s="33"/>
      <c r="FV281" s="33"/>
      <c r="FW281" s="33"/>
      <c r="FX281" s="33"/>
      <c r="FY281" s="33"/>
      <c r="FZ281" s="33"/>
      <c r="GA281" s="33">
        <v>2.3976000000000002</v>
      </c>
      <c r="GB281" s="33"/>
      <c r="GC281" s="33"/>
      <c r="GD281" s="33">
        <v>0.41478480000000006</v>
      </c>
      <c r="GE281" s="33">
        <v>0.67852080000000004</v>
      </c>
      <c r="GF281" s="33">
        <v>1.3042944000000001</v>
      </c>
      <c r="GG281" s="33"/>
      <c r="GH281" s="33"/>
      <c r="GI281" s="33"/>
      <c r="GJ281" s="33"/>
      <c r="GK281" s="33"/>
      <c r="GL281" s="33"/>
      <c r="GM281" s="33"/>
      <c r="GN281" s="33"/>
      <c r="GO281" s="33"/>
      <c r="GP281" s="33"/>
      <c r="GQ281" s="33"/>
      <c r="GR281" s="33"/>
      <c r="GS281" s="33"/>
      <c r="GT281" s="33"/>
      <c r="GU281" s="33"/>
      <c r="GV281" s="33"/>
      <c r="GW281" s="33"/>
      <c r="GX281" s="33">
        <v>0.35484480000000007</v>
      </c>
      <c r="GY281" s="33"/>
      <c r="GZ281" s="33">
        <v>5.9940000000000007E-2</v>
      </c>
      <c r="HA281" s="33"/>
      <c r="HB281" s="33"/>
      <c r="HC281" s="33"/>
      <c r="HD281" s="33"/>
      <c r="HE281" s="33"/>
      <c r="HF281" s="33"/>
      <c r="HG281" s="33"/>
      <c r="HH281" s="33"/>
      <c r="HI281" s="33"/>
      <c r="HJ281" s="33"/>
      <c r="HK281" s="33"/>
      <c r="HL281" s="33"/>
      <c r="HM281" s="33"/>
      <c r="HN281" s="33"/>
      <c r="HO281" s="33"/>
      <c r="HP281" s="33"/>
      <c r="HQ281" s="33"/>
      <c r="HR281" s="33">
        <v>0.67852080000000004</v>
      </c>
      <c r="HS281" s="33"/>
      <c r="HT281" s="33"/>
      <c r="HU281" s="33"/>
      <c r="HV281" s="33"/>
      <c r="HW281" s="33"/>
      <c r="HX281" s="33"/>
      <c r="HY281" s="33"/>
      <c r="HZ281" s="33"/>
      <c r="IA281" s="33"/>
      <c r="IB281" s="33"/>
      <c r="IC281" s="33"/>
      <c r="ID281" s="33"/>
      <c r="IE281" s="33"/>
      <c r="IF281" s="33"/>
      <c r="IG281" s="33"/>
      <c r="IH281" s="33"/>
      <c r="II281" s="33"/>
      <c r="IJ281" s="33"/>
      <c r="IK281" s="33"/>
      <c r="IL281" s="33"/>
      <c r="IM281" s="33"/>
      <c r="IN281" s="33"/>
      <c r="IO281" s="33"/>
      <c r="IP281" s="33"/>
      <c r="IQ281" s="33"/>
      <c r="IR281" s="33"/>
      <c r="IS281" s="33">
        <v>1.0381608</v>
      </c>
      <c r="IT281" s="33"/>
      <c r="IU281" s="33"/>
      <c r="IV281" s="33"/>
      <c r="IW281" s="33"/>
      <c r="IX281" s="33"/>
      <c r="IY281" s="33"/>
      <c r="IZ281" s="33"/>
      <c r="JA281" s="33"/>
      <c r="JB281" s="33">
        <v>0.26613360000000003</v>
      </c>
      <c r="JC281" s="33"/>
      <c r="JD281" s="33"/>
      <c r="JE281" s="33"/>
      <c r="JF281" s="33"/>
      <c r="JG281" s="33"/>
      <c r="JH281" s="33"/>
      <c r="JI281" s="33"/>
      <c r="JJ281" s="33"/>
      <c r="JK281" s="33"/>
      <c r="JL281" s="33"/>
      <c r="JM281" s="33"/>
      <c r="JN281" s="33"/>
      <c r="JO281" s="33"/>
      <c r="JP281" s="33"/>
      <c r="JQ281" s="33"/>
      <c r="JR281" s="33"/>
      <c r="KZ281" s="33"/>
      <c r="LA281" s="33"/>
      <c r="LB281" s="33"/>
      <c r="LC281" s="33"/>
      <c r="LD281" s="33"/>
      <c r="LE281" s="33"/>
      <c r="LF281" s="33"/>
      <c r="LG281" s="33"/>
      <c r="LH281" s="33"/>
      <c r="LI281" s="33"/>
      <c r="LJ281" s="33"/>
      <c r="LK281" s="33"/>
      <c r="LL281" s="33"/>
      <c r="LM281" s="33"/>
      <c r="LN281" s="33"/>
      <c r="LO281" s="33"/>
      <c r="LP281" s="44"/>
      <c r="LQ281" s="44"/>
      <c r="LR281" s="44"/>
      <c r="LS281" s="44"/>
      <c r="LT281" s="44"/>
      <c r="LU281" s="44"/>
      <c r="LV281" s="44"/>
    </row>
    <row r="282" spans="1:334" x14ac:dyDescent="0.2">
      <c r="A282" s="1" t="s">
        <v>8704</v>
      </c>
      <c r="B282" s="1" t="s">
        <v>2954</v>
      </c>
      <c r="D282" s="1" t="s">
        <v>8640</v>
      </c>
      <c r="E282" s="1" t="s">
        <v>7966</v>
      </c>
      <c r="F282" s="1" t="s">
        <v>8024</v>
      </c>
      <c r="H282" s="1" t="s">
        <v>8705</v>
      </c>
      <c r="K282" s="1">
        <v>2016</v>
      </c>
      <c r="L282" s="1" t="s">
        <v>8701</v>
      </c>
      <c r="M282" s="1" t="s">
        <v>7657</v>
      </c>
      <c r="N282" s="17" t="s">
        <v>7945</v>
      </c>
      <c r="O282" s="33"/>
      <c r="P282" s="33"/>
      <c r="Q282" s="33"/>
      <c r="R282" s="33"/>
      <c r="S282" s="33">
        <v>11.2</v>
      </c>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c r="CU282" s="33"/>
      <c r="CV282" s="33"/>
      <c r="CW282" s="33"/>
      <c r="CX282" s="33"/>
      <c r="CY282" s="33"/>
      <c r="CZ282" s="33"/>
      <c r="DA282" s="33"/>
      <c r="DB282" s="33"/>
      <c r="DC282" s="33"/>
      <c r="DD282" s="33"/>
      <c r="DE282" s="33"/>
      <c r="DF282" s="33"/>
      <c r="DG282" s="33"/>
      <c r="DH282" s="33"/>
      <c r="DI282" s="33"/>
      <c r="DJ282" s="33"/>
      <c r="DK282" s="33"/>
      <c r="DL282" s="33"/>
      <c r="DM282" s="33"/>
      <c r="DN282" s="33"/>
      <c r="DO282" s="33"/>
      <c r="DP282" s="33"/>
      <c r="DQ282" s="33"/>
      <c r="DR282" s="33"/>
      <c r="DS282" s="33"/>
      <c r="DT282" s="33"/>
      <c r="DU282" s="33"/>
      <c r="DV282" s="33"/>
      <c r="DW282" s="33"/>
      <c r="DX282" s="33"/>
      <c r="DY282" s="33"/>
      <c r="DZ282" s="33"/>
      <c r="EA282" s="33"/>
      <c r="EB282" s="33"/>
      <c r="EC282" s="33"/>
      <c r="ED282" s="33"/>
      <c r="EE282" s="33"/>
      <c r="EF282" s="33"/>
      <c r="EG282" s="33"/>
      <c r="EH282" s="33"/>
      <c r="EI282" s="33"/>
      <c r="EJ282" s="33"/>
      <c r="EK282" s="33"/>
      <c r="EL282" s="33"/>
      <c r="EM282" s="33"/>
      <c r="EN282" s="33"/>
      <c r="EO282" s="33"/>
      <c r="EP282" s="33"/>
      <c r="EQ282" s="33"/>
      <c r="ER282" s="33"/>
      <c r="ES282" s="33"/>
      <c r="ET282" s="33"/>
      <c r="EU282" s="33"/>
      <c r="EV282" s="33"/>
      <c r="EW282" s="33"/>
      <c r="EX282" s="33"/>
      <c r="EY282" s="33"/>
      <c r="EZ282" s="33"/>
      <c r="FA282" s="33"/>
      <c r="FB282" s="33"/>
      <c r="FC282" s="33"/>
      <c r="FD282" s="33"/>
      <c r="FE282" s="33"/>
      <c r="FF282" s="33"/>
      <c r="FG282" s="33"/>
      <c r="FH282" s="33"/>
      <c r="FI282" s="33"/>
      <c r="FJ282" s="33"/>
      <c r="FK282" s="33"/>
      <c r="FL282" s="33"/>
      <c r="FM282" s="33"/>
      <c r="FN282" s="33"/>
      <c r="FO282" s="33"/>
      <c r="FP282" s="33"/>
      <c r="FQ282" s="33"/>
      <c r="FR282" s="33"/>
      <c r="FS282" s="33"/>
      <c r="FT282" s="33"/>
      <c r="FU282" s="33"/>
      <c r="FV282" s="33"/>
      <c r="FW282" s="33"/>
      <c r="FX282" s="33"/>
      <c r="FY282" s="33"/>
      <c r="FZ282" s="33"/>
      <c r="GA282" s="33">
        <v>2.4863999999999997</v>
      </c>
      <c r="GB282" s="33"/>
      <c r="GC282" s="33"/>
      <c r="GD282" s="33">
        <v>0.44257920000000001</v>
      </c>
      <c r="GE282" s="33">
        <v>0.68375999999999992</v>
      </c>
      <c r="GF282" s="33">
        <v>1.3575743999999998</v>
      </c>
      <c r="GG282" s="33"/>
      <c r="GH282" s="33"/>
      <c r="GI282" s="33"/>
      <c r="GJ282" s="33"/>
      <c r="GK282" s="33"/>
      <c r="GL282" s="33"/>
      <c r="GM282" s="33"/>
      <c r="GN282" s="33"/>
      <c r="GO282" s="33"/>
      <c r="GP282" s="33"/>
      <c r="GQ282" s="33"/>
      <c r="GR282" s="33"/>
      <c r="GS282" s="33"/>
      <c r="GT282" s="33"/>
      <c r="GU282" s="33"/>
      <c r="GV282" s="33"/>
      <c r="GW282" s="33"/>
      <c r="GX282" s="33">
        <v>0.38539199999999996</v>
      </c>
      <c r="GY282" s="33"/>
      <c r="GZ282" s="33">
        <v>5.7187199999999994E-2</v>
      </c>
      <c r="HA282" s="33"/>
      <c r="HB282" s="33"/>
      <c r="HC282" s="33"/>
      <c r="HD282" s="33"/>
      <c r="HE282" s="33"/>
      <c r="HF282" s="33"/>
      <c r="HG282" s="33"/>
      <c r="HH282" s="33"/>
      <c r="HI282" s="33"/>
      <c r="HJ282" s="33"/>
      <c r="HK282" s="33"/>
      <c r="HL282" s="33"/>
      <c r="HM282" s="33"/>
      <c r="HN282" s="33"/>
      <c r="HO282" s="33"/>
      <c r="HP282" s="33"/>
      <c r="HQ282" s="33"/>
      <c r="HR282" s="33">
        <v>0.68375999999999992</v>
      </c>
      <c r="HS282" s="33"/>
      <c r="HT282" s="33"/>
      <c r="HU282" s="33"/>
      <c r="HV282" s="33"/>
      <c r="HW282" s="33"/>
      <c r="HX282" s="33"/>
      <c r="HY282" s="33"/>
      <c r="HZ282" s="33"/>
      <c r="IA282" s="33"/>
      <c r="IB282" s="33"/>
      <c r="IC282" s="33"/>
      <c r="ID282" s="33"/>
      <c r="IE282" s="33"/>
      <c r="IF282" s="33"/>
      <c r="IG282" s="33"/>
      <c r="IH282" s="33"/>
      <c r="II282" s="33"/>
      <c r="IJ282" s="33"/>
      <c r="IK282" s="33"/>
      <c r="IL282" s="33"/>
      <c r="IM282" s="33"/>
      <c r="IN282" s="33"/>
      <c r="IO282" s="33"/>
      <c r="IP282" s="33"/>
      <c r="IQ282" s="33"/>
      <c r="IR282" s="33"/>
      <c r="IS282" s="33">
        <v>1.1039615999999999</v>
      </c>
      <c r="IT282" s="33"/>
      <c r="IU282" s="33"/>
      <c r="IV282" s="33"/>
      <c r="IW282" s="33"/>
      <c r="IX282" s="33"/>
      <c r="IY282" s="33"/>
      <c r="IZ282" s="33"/>
      <c r="JA282" s="33"/>
      <c r="JB282" s="33">
        <v>0.25361279999999997</v>
      </c>
      <c r="JC282" s="33"/>
      <c r="JD282" s="33"/>
      <c r="JE282" s="33"/>
      <c r="JF282" s="33"/>
      <c r="JG282" s="33"/>
      <c r="JH282" s="33"/>
      <c r="JI282" s="33"/>
      <c r="JJ282" s="33"/>
      <c r="JK282" s="33"/>
      <c r="JL282" s="33"/>
      <c r="JM282" s="33"/>
      <c r="JN282" s="33"/>
      <c r="JO282" s="33"/>
      <c r="JP282" s="33"/>
      <c r="JQ282" s="33"/>
      <c r="JR282" s="33"/>
      <c r="KZ282" s="33"/>
      <c r="LA282" s="33"/>
      <c r="LB282" s="33"/>
      <c r="LC282" s="33"/>
      <c r="LD282" s="33"/>
      <c r="LE282" s="33"/>
      <c r="LF282" s="33"/>
      <c r="LG282" s="33"/>
      <c r="LH282" s="33"/>
      <c r="LI282" s="33"/>
      <c r="LJ282" s="33"/>
      <c r="LK282" s="33"/>
      <c r="LL282" s="33"/>
      <c r="LM282" s="33"/>
      <c r="LN282" s="33"/>
      <c r="LO282" s="33"/>
      <c r="LP282" s="44"/>
      <c r="LQ282" s="44"/>
      <c r="LR282" s="44"/>
      <c r="LS282" s="44"/>
      <c r="LT282" s="44"/>
      <c r="LU282" s="44"/>
      <c r="LV282" s="44"/>
    </row>
    <row r="283" spans="1:334" x14ac:dyDescent="0.2">
      <c r="A283" s="1" t="s">
        <v>8706</v>
      </c>
      <c r="B283" s="1" t="s">
        <v>2954</v>
      </c>
      <c r="D283" s="1" t="s">
        <v>8640</v>
      </c>
      <c r="E283" s="1" t="s">
        <v>7966</v>
      </c>
      <c r="F283" s="1" t="s">
        <v>8024</v>
      </c>
      <c r="H283" s="1" t="s">
        <v>8707</v>
      </c>
      <c r="K283" s="1">
        <v>2016</v>
      </c>
      <c r="L283" s="1" t="s">
        <v>8701</v>
      </c>
      <c r="M283" s="1" t="s">
        <v>7657</v>
      </c>
      <c r="N283" s="17" t="s">
        <v>7945</v>
      </c>
      <c r="O283" s="33"/>
      <c r="P283" s="33"/>
      <c r="Q283" s="33"/>
      <c r="R283" s="33"/>
      <c r="S283" s="33">
        <v>11.2</v>
      </c>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c r="CD283" s="33"/>
      <c r="CE283" s="33"/>
      <c r="CF283" s="33"/>
      <c r="CG283" s="33"/>
      <c r="CH283" s="33"/>
      <c r="CI283" s="33"/>
      <c r="CJ283" s="33"/>
      <c r="CK283" s="33"/>
      <c r="CL283" s="33"/>
      <c r="CM283" s="33"/>
      <c r="CN283" s="33"/>
      <c r="CO283" s="33"/>
      <c r="CP283" s="33"/>
      <c r="CQ283" s="33"/>
      <c r="CR283" s="33"/>
      <c r="CS283" s="33"/>
      <c r="CT283" s="33"/>
      <c r="CU283" s="33"/>
      <c r="CV283" s="33"/>
      <c r="CW283" s="33"/>
      <c r="CX283" s="33"/>
      <c r="CY283" s="33"/>
      <c r="CZ283" s="33"/>
      <c r="DA283" s="33"/>
      <c r="DB283" s="33"/>
      <c r="DC283" s="33"/>
      <c r="DD283" s="33"/>
      <c r="DE283" s="33"/>
      <c r="DF283" s="33"/>
      <c r="DG283" s="33"/>
      <c r="DH283" s="33"/>
      <c r="DI283" s="33"/>
      <c r="DJ283" s="33"/>
      <c r="DK283" s="33"/>
      <c r="DL283" s="33"/>
      <c r="DM283" s="33"/>
      <c r="DN283" s="33"/>
      <c r="DO283" s="33"/>
      <c r="DP283" s="33"/>
      <c r="DQ283" s="33"/>
      <c r="DR283" s="33"/>
      <c r="DS283" s="33"/>
      <c r="DT283" s="33"/>
      <c r="DU283" s="33"/>
      <c r="DV283" s="33"/>
      <c r="DW283" s="33"/>
      <c r="DX283" s="33"/>
      <c r="DY283" s="33"/>
      <c r="DZ283" s="33"/>
      <c r="EA283" s="33"/>
      <c r="EB283" s="33"/>
      <c r="EC283" s="33"/>
      <c r="ED283" s="33"/>
      <c r="EE283" s="33"/>
      <c r="EF283" s="33"/>
      <c r="EG283" s="33"/>
      <c r="EH283" s="33"/>
      <c r="EI283" s="33"/>
      <c r="EJ283" s="33"/>
      <c r="EK283" s="33"/>
      <c r="EL283" s="33"/>
      <c r="EM283" s="33"/>
      <c r="EN283" s="33"/>
      <c r="EO283" s="33"/>
      <c r="EP283" s="33"/>
      <c r="EQ283" s="33"/>
      <c r="ER283" s="33"/>
      <c r="ES283" s="33"/>
      <c r="ET283" s="33"/>
      <c r="EU283" s="33"/>
      <c r="EV283" s="33"/>
      <c r="EW283" s="33"/>
      <c r="EX283" s="33"/>
      <c r="EY283" s="33"/>
      <c r="EZ283" s="33"/>
      <c r="FA283" s="33"/>
      <c r="FB283" s="33"/>
      <c r="FC283" s="33"/>
      <c r="FD283" s="33"/>
      <c r="FE283" s="33"/>
      <c r="FF283" s="33"/>
      <c r="FG283" s="33"/>
      <c r="FH283" s="33"/>
      <c r="FI283" s="33"/>
      <c r="FJ283" s="33"/>
      <c r="FK283" s="33"/>
      <c r="FL283" s="33"/>
      <c r="FM283" s="33"/>
      <c r="FN283" s="33"/>
      <c r="FO283" s="33"/>
      <c r="FP283" s="33"/>
      <c r="FQ283" s="33"/>
      <c r="FR283" s="33"/>
      <c r="FS283" s="33"/>
      <c r="FT283" s="33"/>
      <c r="FU283" s="33"/>
      <c r="FV283" s="33"/>
      <c r="FW283" s="33"/>
      <c r="FX283" s="33"/>
      <c r="FY283" s="33"/>
      <c r="FZ283" s="33"/>
      <c r="GA283" s="33">
        <v>2.3087999999999997</v>
      </c>
      <c r="GB283" s="33"/>
      <c r="GC283" s="33"/>
      <c r="GD283" s="33">
        <v>0.42481919999999995</v>
      </c>
      <c r="GE283" s="33">
        <v>0.13160159999999999</v>
      </c>
      <c r="GF283" s="33">
        <v>1.2906191999999999</v>
      </c>
      <c r="GG283" s="33"/>
      <c r="GH283" s="33"/>
      <c r="GI283" s="33"/>
      <c r="GJ283" s="33"/>
      <c r="GK283" s="33"/>
      <c r="GL283" s="33"/>
      <c r="GM283" s="33"/>
      <c r="GN283" s="33"/>
      <c r="GO283" s="33"/>
      <c r="GP283" s="33"/>
      <c r="GQ283" s="33"/>
      <c r="GR283" s="33"/>
      <c r="GS283" s="33"/>
      <c r="GT283" s="33"/>
      <c r="GU283" s="33"/>
      <c r="GV283" s="33"/>
      <c r="GW283" s="33"/>
      <c r="GX283" s="33">
        <v>0.35786399999999996</v>
      </c>
      <c r="GY283" s="33"/>
      <c r="GZ283" s="33">
        <v>6.9263999999999992E-2</v>
      </c>
      <c r="HA283" s="33"/>
      <c r="HB283" s="33"/>
      <c r="HC283" s="33"/>
      <c r="HD283" s="33"/>
      <c r="HE283" s="33"/>
      <c r="HF283" s="33"/>
      <c r="HG283" s="33"/>
      <c r="HH283" s="33"/>
      <c r="HI283" s="33"/>
      <c r="HJ283" s="33"/>
      <c r="HK283" s="33"/>
      <c r="HL283" s="33"/>
      <c r="HM283" s="33"/>
      <c r="HN283" s="33"/>
      <c r="HO283" s="33"/>
      <c r="HP283" s="33"/>
      <c r="HQ283" s="33"/>
      <c r="HR283" s="33">
        <v>0.59336159999999993</v>
      </c>
      <c r="HS283" s="33"/>
      <c r="HT283" s="33"/>
      <c r="HU283" s="33"/>
      <c r="HV283" s="33"/>
      <c r="HW283" s="33"/>
      <c r="HX283" s="33"/>
      <c r="HY283" s="33"/>
      <c r="HZ283" s="33"/>
      <c r="IA283" s="33"/>
      <c r="IB283" s="33"/>
      <c r="IC283" s="33"/>
      <c r="ID283" s="33"/>
      <c r="IE283" s="33"/>
      <c r="IF283" s="33"/>
      <c r="IG283" s="33"/>
      <c r="IH283" s="33"/>
      <c r="II283" s="33"/>
      <c r="IJ283" s="33"/>
      <c r="IK283" s="33"/>
      <c r="IL283" s="33"/>
      <c r="IM283" s="33"/>
      <c r="IN283" s="33"/>
      <c r="IO283" s="33"/>
      <c r="IP283" s="33"/>
      <c r="IQ283" s="33"/>
      <c r="IR283" s="33"/>
      <c r="IS283" s="33">
        <v>1.0112543999999999</v>
      </c>
      <c r="IT283" s="33"/>
      <c r="IU283" s="33"/>
      <c r="IV283" s="33"/>
      <c r="IW283" s="33"/>
      <c r="IX283" s="33"/>
      <c r="IY283" s="33"/>
      <c r="IZ283" s="33"/>
      <c r="JA283" s="33"/>
      <c r="JB283" s="33">
        <v>0.27936479999999997</v>
      </c>
      <c r="JC283" s="33"/>
      <c r="JD283" s="33"/>
      <c r="JE283" s="33"/>
      <c r="JF283" s="33"/>
      <c r="JG283" s="33"/>
      <c r="JH283" s="33"/>
      <c r="JI283" s="33"/>
      <c r="JJ283" s="33"/>
      <c r="JK283" s="33"/>
      <c r="JL283" s="33"/>
      <c r="JM283" s="33"/>
      <c r="JN283" s="33"/>
      <c r="JO283" s="33"/>
      <c r="JP283" s="33"/>
      <c r="JQ283" s="33"/>
      <c r="JR283" s="33"/>
      <c r="KZ283" s="33"/>
      <c r="LA283" s="33"/>
      <c r="LB283" s="33"/>
      <c r="LC283" s="33"/>
      <c r="LD283" s="33"/>
      <c r="LE283" s="33"/>
      <c r="LF283" s="33"/>
      <c r="LG283" s="33"/>
      <c r="LH283" s="33"/>
      <c r="LI283" s="33"/>
      <c r="LJ283" s="33"/>
      <c r="LK283" s="33"/>
      <c r="LL283" s="33"/>
      <c r="LM283" s="33"/>
      <c r="LN283" s="33"/>
      <c r="LO283" s="33"/>
      <c r="LP283" s="44"/>
      <c r="LQ283" s="44"/>
      <c r="LR283" s="44"/>
      <c r="LS283" s="44"/>
      <c r="LT283" s="44"/>
      <c r="LU283" s="44"/>
      <c r="LV283" s="44"/>
    </row>
    <row r="284" spans="1:334" x14ac:dyDescent="0.2">
      <c r="A284" s="1" t="s">
        <v>8708</v>
      </c>
      <c r="B284" s="1" t="s">
        <v>2954</v>
      </c>
      <c r="D284" s="1" t="s">
        <v>8640</v>
      </c>
      <c r="E284" s="1" t="s">
        <v>7966</v>
      </c>
      <c r="F284" s="1" t="s">
        <v>8024</v>
      </c>
      <c r="H284" s="1" t="s">
        <v>8709</v>
      </c>
      <c r="K284" s="1">
        <v>2016</v>
      </c>
      <c r="L284" s="1" t="s">
        <v>8701</v>
      </c>
      <c r="M284" s="1" t="s">
        <v>7657</v>
      </c>
      <c r="N284" s="17" t="s">
        <v>7945</v>
      </c>
      <c r="O284" s="33"/>
      <c r="P284" s="33"/>
      <c r="Q284" s="33"/>
      <c r="R284" s="33"/>
      <c r="S284" s="33">
        <v>11.2</v>
      </c>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c r="CD284" s="33"/>
      <c r="CE284" s="33"/>
      <c r="CF284" s="33"/>
      <c r="CG284" s="33"/>
      <c r="CH284" s="33"/>
      <c r="CI284" s="33"/>
      <c r="CJ284" s="33"/>
      <c r="CK284" s="33"/>
      <c r="CL284" s="33"/>
      <c r="CM284" s="33"/>
      <c r="CN284" s="33"/>
      <c r="CO284" s="33"/>
      <c r="CP284" s="33"/>
      <c r="CQ284" s="33"/>
      <c r="CR284" s="33"/>
      <c r="CS284" s="33"/>
      <c r="CT284" s="33"/>
      <c r="CU284" s="33"/>
      <c r="CV284" s="33"/>
      <c r="CW284" s="33"/>
      <c r="CX284" s="33"/>
      <c r="CY284" s="33"/>
      <c r="CZ284" s="33"/>
      <c r="DA284" s="33"/>
      <c r="DB284" s="33"/>
      <c r="DC284" s="33"/>
      <c r="DD284" s="33"/>
      <c r="DE284" s="33"/>
      <c r="DF284" s="33"/>
      <c r="DG284" s="33"/>
      <c r="DH284" s="33"/>
      <c r="DI284" s="33"/>
      <c r="DJ284" s="33"/>
      <c r="DK284" s="33"/>
      <c r="DL284" s="33"/>
      <c r="DM284" s="33"/>
      <c r="DN284" s="33"/>
      <c r="DO284" s="33"/>
      <c r="DP284" s="33"/>
      <c r="DQ284" s="33"/>
      <c r="DR284" s="33"/>
      <c r="DS284" s="33"/>
      <c r="DT284" s="33"/>
      <c r="DU284" s="33"/>
      <c r="DV284" s="33"/>
      <c r="DW284" s="33"/>
      <c r="DX284" s="33"/>
      <c r="DY284" s="33"/>
      <c r="DZ284" s="33"/>
      <c r="EA284" s="33"/>
      <c r="EB284" s="33"/>
      <c r="EC284" s="33"/>
      <c r="ED284" s="33"/>
      <c r="EE284" s="33"/>
      <c r="EF284" s="33"/>
      <c r="EG284" s="33"/>
      <c r="EH284" s="33"/>
      <c r="EI284" s="33"/>
      <c r="EJ284" s="33"/>
      <c r="EK284" s="33"/>
      <c r="EL284" s="33"/>
      <c r="EM284" s="33"/>
      <c r="EN284" s="33"/>
      <c r="EO284" s="33"/>
      <c r="EP284" s="33"/>
      <c r="EQ284" s="33"/>
      <c r="ER284" s="33"/>
      <c r="ES284" s="33"/>
      <c r="ET284" s="33"/>
      <c r="EU284" s="33"/>
      <c r="EV284" s="33"/>
      <c r="EW284" s="33"/>
      <c r="EX284" s="33"/>
      <c r="EY284" s="33"/>
      <c r="EZ284" s="33"/>
      <c r="FA284" s="33"/>
      <c r="FB284" s="33"/>
      <c r="FC284" s="33"/>
      <c r="FD284" s="33"/>
      <c r="FE284" s="33"/>
      <c r="FF284" s="33"/>
      <c r="FG284" s="33"/>
      <c r="FH284" s="33"/>
      <c r="FI284" s="33"/>
      <c r="FJ284" s="33"/>
      <c r="FK284" s="33"/>
      <c r="FL284" s="33"/>
      <c r="FM284" s="33"/>
      <c r="FN284" s="33"/>
      <c r="FO284" s="33"/>
      <c r="FP284" s="33"/>
      <c r="FQ284" s="33"/>
      <c r="FR284" s="33"/>
      <c r="FS284" s="33"/>
      <c r="FT284" s="33"/>
      <c r="FU284" s="33"/>
      <c r="FV284" s="33"/>
      <c r="FW284" s="33"/>
      <c r="FX284" s="33"/>
      <c r="FY284" s="33"/>
      <c r="FZ284" s="33"/>
      <c r="GA284" s="33">
        <v>2.3087999999999997</v>
      </c>
      <c r="GB284" s="33"/>
      <c r="GC284" s="33"/>
      <c r="GD284" s="33">
        <v>0.43867199999999995</v>
      </c>
      <c r="GE284" s="33">
        <v>0.54256799999999994</v>
      </c>
      <c r="GF284" s="33">
        <v>1.3252511999999999</v>
      </c>
      <c r="GG284" s="33"/>
      <c r="GH284" s="33"/>
      <c r="GI284" s="33"/>
      <c r="GJ284" s="33"/>
      <c r="GK284" s="33"/>
      <c r="GL284" s="33"/>
      <c r="GM284" s="33"/>
      <c r="GN284" s="33"/>
      <c r="GO284" s="33"/>
      <c r="GP284" s="33"/>
      <c r="GQ284" s="33"/>
      <c r="GR284" s="33"/>
      <c r="GS284" s="33"/>
      <c r="GT284" s="33"/>
      <c r="GU284" s="33"/>
      <c r="GV284" s="33"/>
      <c r="GW284" s="33"/>
      <c r="GX284" s="33">
        <v>0.37402559999999996</v>
      </c>
      <c r="GY284" s="33"/>
      <c r="GZ284" s="33">
        <v>6.6955199999999992E-2</v>
      </c>
      <c r="HA284" s="33"/>
      <c r="HB284" s="33"/>
      <c r="HC284" s="33"/>
      <c r="HD284" s="33"/>
      <c r="HE284" s="33"/>
      <c r="HF284" s="33"/>
      <c r="HG284" s="33"/>
      <c r="HH284" s="33"/>
      <c r="HI284" s="33"/>
      <c r="HJ284" s="33"/>
      <c r="HK284" s="33"/>
      <c r="HL284" s="33"/>
      <c r="HM284" s="33"/>
      <c r="HN284" s="33"/>
      <c r="HO284" s="33"/>
      <c r="HP284" s="33"/>
      <c r="HQ284" s="33"/>
      <c r="HR284" s="33">
        <v>0.54256799999999994</v>
      </c>
      <c r="HS284" s="33"/>
      <c r="HT284" s="33"/>
      <c r="HU284" s="33"/>
      <c r="HV284" s="33"/>
      <c r="HW284" s="33"/>
      <c r="HX284" s="33"/>
      <c r="HY284" s="33"/>
      <c r="HZ284" s="33"/>
      <c r="IA284" s="33"/>
      <c r="IB284" s="33"/>
      <c r="IC284" s="33"/>
      <c r="ID284" s="33"/>
      <c r="IE284" s="33"/>
      <c r="IF284" s="33"/>
      <c r="IG284" s="33"/>
      <c r="IH284" s="33"/>
      <c r="II284" s="33"/>
      <c r="IJ284" s="33"/>
      <c r="IK284" s="33"/>
      <c r="IL284" s="33"/>
      <c r="IM284" s="33"/>
      <c r="IN284" s="33"/>
      <c r="IO284" s="33"/>
      <c r="IP284" s="33"/>
      <c r="IQ284" s="33"/>
      <c r="IR284" s="33"/>
      <c r="IS284" s="33">
        <v>1.0643567999999999</v>
      </c>
      <c r="IT284" s="33"/>
      <c r="IU284" s="33"/>
      <c r="IV284" s="33"/>
      <c r="IW284" s="33"/>
      <c r="IX284" s="33"/>
      <c r="IY284" s="33"/>
      <c r="IZ284" s="33"/>
      <c r="JA284" s="33"/>
      <c r="JB284" s="33">
        <v>0.26320319999999997</v>
      </c>
      <c r="JC284" s="33"/>
      <c r="JD284" s="33"/>
      <c r="JE284" s="33"/>
      <c r="JF284" s="33"/>
      <c r="JG284" s="33"/>
      <c r="JH284" s="33"/>
      <c r="JI284" s="33"/>
      <c r="JJ284" s="33"/>
      <c r="JK284" s="33"/>
      <c r="JL284" s="33"/>
      <c r="JM284" s="33"/>
      <c r="JN284" s="33"/>
      <c r="JO284" s="33"/>
      <c r="JP284" s="33"/>
      <c r="JQ284" s="33"/>
      <c r="JR284" s="33"/>
      <c r="KZ284" s="33"/>
      <c r="LA284" s="33"/>
      <c r="LB284" s="33"/>
      <c r="LC284" s="33"/>
      <c r="LD284" s="33"/>
      <c r="LE284" s="33"/>
      <c r="LF284" s="33"/>
      <c r="LG284" s="33"/>
      <c r="LH284" s="33"/>
      <c r="LI284" s="33"/>
      <c r="LJ284" s="33"/>
      <c r="LK284" s="33"/>
      <c r="LL284" s="33"/>
      <c r="LM284" s="33"/>
      <c r="LN284" s="33"/>
      <c r="LO284" s="33"/>
      <c r="LP284" s="44"/>
      <c r="LQ284" s="44"/>
      <c r="LR284" s="44"/>
      <c r="LS284" s="44"/>
      <c r="LT284" s="44"/>
      <c r="LU284" s="44"/>
      <c r="LV284" s="44"/>
    </row>
    <row r="285" spans="1:334" x14ac:dyDescent="0.2">
      <c r="A285" s="1" t="s">
        <v>8710</v>
      </c>
      <c r="B285" s="1" t="s">
        <v>2954</v>
      </c>
      <c r="D285" s="1" t="s">
        <v>8640</v>
      </c>
      <c r="E285" s="1" t="s">
        <v>7966</v>
      </c>
      <c r="F285" s="1" t="s">
        <v>8024</v>
      </c>
      <c r="H285" s="1" t="s">
        <v>8711</v>
      </c>
      <c r="K285" s="1">
        <v>2016</v>
      </c>
      <c r="L285" s="1" t="s">
        <v>8701</v>
      </c>
      <c r="M285" s="1" t="s">
        <v>7657</v>
      </c>
      <c r="N285" s="17" t="s">
        <v>7945</v>
      </c>
      <c r="O285" s="33"/>
      <c r="P285" s="33"/>
      <c r="Q285" s="33"/>
      <c r="R285" s="33"/>
      <c r="S285" s="33">
        <v>11.2</v>
      </c>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c r="CT285" s="33"/>
      <c r="CU285" s="33"/>
      <c r="CV285" s="33"/>
      <c r="CW285" s="33"/>
      <c r="CX285" s="33"/>
      <c r="CY285" s="33"/>
      <c r="CZ285" s="33"/>
      <c r="DA285" s="33"/>
      <c r="DB285" s="33"/>
      <c r="DC285" s="33"/>
      <c r="DD285" s="33"/>
      <c r="DE285" s="33"/>
      <c r="DF285" s="33"/>
      <c r="DG285" s="33"/>
      <c r="DH285" s="33"/>
      <c r="DI285" s="33"/>
      <c r="DJ285" s="33"/>
      <c r="DK285" s="33"/>
      <c r="DL285" s="33"/>
      <c r="DM285" s="33"/>
      <c r="DN285" s="33"/>
      <c r="DO285" s="33"/>
      <c r="DP285" s="33"/>
      <c r="DQ285" s="33"/>
      <c r="DR285" s="33"/>
      <c r="DS285" s="33"/>
      <c r="DT285" s="33"/>
      <c r="DU285" s="33"/>
      <c r="DV285" s="33"/>
      <c r="DW285" s="33"/>
      <c r="DX285" s="33"/>
      <c r="DY285" s="33"/>
      <c r="DZ285" s="33"/>
      <c r="EA285" s="33"/>
      <c r="EB285" s="33"/>
      <c r="EC285" s="33"/>
      <c r="ED285" s="33"/>
      <c r="EE285" s="33"/>
      <c r="EF285" s="33"/>
      <c r="EG285" s="33"/>
      <c r="EH285" s="33"/>
      <c r="EI285" s="33"/>
      <c r="EJ285" s="33"/>
      <c r="EK285" s="33"/>
      <c r="EL285" s="33"/>
      <c r="EM285" s="33"/>
      <c r="EN285" s="33"/>
      <c r="EO285" s="33"/>
      <c r="EP285" s="33"/>
      <c r="EQ285" s="33"/>
      <c r="ER285" s="33"/>
      <c r="ES285" s="33"/>
      <c r="ET285" s="33"/>
      <c r="EU285" s="33"/>
      <c r="EV285" s="33"/>
      <c r="EW285" s="33"/>
      <c r="EX285" s="33"/>
      <c r="EY285" s="33"/>
      <c r="EZ285" s="33"/>
      <c r="FA285" s="33"/>
      <c r="FB285" s="33"/>
      <c r="FC285" s="33"/>
      <c r="FD285" s="33"/>
      <c r="FE285" s="33"/>
      <c r="FF285" s="33"/>
      <c r="FG285" s="33"/>
      <c r="FH285" s="33"/>
      <c r="FI285" s="33"/>
      <c r="FJ285" s="33"/>
      <c r="FK285" s="33"/>
      <c r="FL285" s="33"/>
      <c r="FM285" s="33"/>
      <c r="FN285" s="33"/>
      <c r="FO285" s="33"/>
      <c r="FP285" s="33"/>
      <c r="FQ285" s="33"/>
      <c r="FR285" s="33"/>
      <c r="FS285" s="33"/>
      <c r="FT285" s="33"/>
      <c r="FU285" s="33"/>
      <c r="FV285" s="33"/>
      <c r="FW285" s="33"/>
      <c r="FX285" s="33"/>
      <c r="FY285" s="33"/>
      <c r="FZ285" s="33"/>
      <c r="GA285" s="33">
        <v>2.4863999999999997</v>
      </c>
      <c r="GB285" s="33"/>
      <c r="GC285" s="33"/>
      <c r="GD285" s="33">
        <v>0.44506559999999995</v>
      </c>
      <c r="GE285" s="33">
        <v>0.61911359999999993</v>
      </c>
      <c r="GF285" s="33">
        <v>1.4197343999999998</v>
      </c>
      <c r="GG285" s="33"/>
      <c r="GH285" s="33"/>
      <c r="GI285" s="33"/>
      <c r="GJ285" s="33"/>
      <c r="GK285" s="33"/>
      <c r="GL285" s="33"/>
      <c r="GM285" s="33"/>
      <c r="GN285" s="33"/>
      <c r="GO285" s="33"/>
      <c r="GP285" s="33"/>
      <c r="GQ285" s="33"/>
      <c r="GR285" s="33"/>
      <c r="GS285" s="33"/>
      <c r="GT285" s="33"/>
      <c r="GU285" s="33"/>
      <c r="GV285" s="33"/>
      <c r="GW285" s="33"/>
      <c r="GX285" s="33">
        <v>0.3729599999999999</v>
      </c>
      <c r="GY285" s="33"/>
      <c r="GZ285" s="33">
        <v>7.4591999999999992E-2</v>
      </c>
      <c r="HA285" s="33"/>
      <c r="HB285" s="33"/>
      <c r="HC285" s="33"/>
      <c r="HD285" s="33"/>
      <c r="HE285" s="33"/>
      <c r="HF285" s="33"/>
      <c r="HG285" s="33"/>
      <c r="HH285" s="33"/>
      <c r="HI285" s="33"/>
      <c r="HJ285" s="33"/>
      <c r="HK285" s="33"/>
      <c r="HL285" s="33"/>
      <c r="HM285" s="33"/>
      <c r="HN285" s="33"/>
      <c r="HO285" s="33"/>
      <c r="HP285" s="33"/>
      <c r="HQ285" s="33"/>
      <c r="HR285" s="33">
        <v>0.61911359999999993</v>
      </c>
      <c r="HS285" s="33"/>
      <c r="HT285" s="33"/>
      <c r="HU285" s="33"/>
      <c r="HV285" s="33"/>
      <c r="HW285" s="33"/>
      <c r="HX285" s="33"/>
      <c r="HY285" s="33"/>
      <c r="HZ285" s="33"/>
      <c r="IA285" s="33"/>
      <c r="IB285" s="33"/>
      <c r="IC285" s="33"/>
      <c r="ID285" s="33"/>
      <c r="IE285" s="33"/>
      <c r="IF285" s="33"/>
      <c r="IG285" s="33"/>
      <c r="IH285" s="33"/>
      <c r="II285" s="33"/>
      <c r="IJ285" s="33"/>
      <c r="IK285" s="33"/>
      <c r="IL285" s="33"/>
      <c r="IM285" s="33"/>
      <c r="IN285" s="33"/>
      <c r="IO285" s="33"/>
      <c r="IP285" s="33"/>
      <c r="IQ285" s="33"/>
      <c r="IR285" s="33"/>
      <c r="IS285" s="33">
        <v>1.1437439999999999</v>
      </c>
      <c r="IT285" s="33"/>
      <c r="IU285" s="33"/>
      <c r="IV285" s="33"/>
      <c r="IW285" s="33"/>
      <c r="IX285" s="33"/>
      <c r="IY285" s="33"/>
      <c r="IZ285" s="33"/>
      <c r="JA285" s="33"/>
      <c r="JB285" s="33">
        <v>0.27599039999999997</v>
      </c>
      <c r="JC285" s="33"/>
      <c r="JD285" s="33"/>
      <c r="JE285" s="33"/>
      <c r="JF285" s="33"/>
      <c r="JG285" s="33"/>
      <c r="JH285" s="33"/>
      <c r="JI285" s="33"/>
      <c r="JJ285" s="33"/>
      <c r="JK285" s="33"/>
      <c r="JL285" s="33"/>
      <c r="JM285" s="33"/>
      <c r="JN285" s="33"/>
      <c r="JO285" s="33"/>
      <c r="JP285" s="33"/>
      <c r="JQ285" s="33"/>
      <c r="JR285" s="33"/>
      <c r="KZ285" s="33"/>
      <c r="LA285" s="33"/>
      <c r="LB285" s="33"/>
      <c r="LC285" s="33"/>
      <c r="LD285" s="33"/>
      <c r="LE285" s="33"/>
      <c r="LF285" s="33"/>
      <c r="LG285" s="33"/>
      <c r="LH285" s="33"/>
      <c r="LI285" s="33"/>
      <c r="LJ285" s="33"/>
      <c r="LK285" s="33"/>
      <c r="LL285" s="33"/>
      <c r="LM285" s="33"/>
      <c r="LN285" s="33"/>
      <c r="LO285" s="33"/>
      <c r="LP285" s="44"/>
      <c r="LQ285" s="44"/>
      <c r="LR285" s="44"/>
      <c r="LS285" s="44"/>
      <c r="LT285" s="44"/>
      <c r="LU285" s="44"/>
      <c r="LV285" s="44"/>
    </row>
    <row r="286" spans="1:334" x14ac:dyDescent="0.2">
      <c r="A286" s="1" t="s">
        <v>8712</v>
      </c>
      <c r="B286" s="1" t="s">
        <v>2954</v>
      </c>
      <c r="D286" s="1" t="s">
        <v>8640</v>
      </c>
      <c r="E286" s="1" t="s">
        <v>7966</v>
      </c>
      <c r="F286" s="1" t="s">
        <v>8024</v>
      </c>
      <c r="H286" s="1" t="s">
        <v>8713</v>
      </c>
      <c r="K286" s="1">
        <v>2016</v>
      </c>
      <c r="L286" s="1" t="s">
        <v>8701</v>
      </c>
      <c r="M286" s="1" t="s">
        <v>7657</v>
      </c>
      <c r="N286" s="17" t="s">
        <v>7945</v>
      </c>
      <c r="O286" s="33"/>
      <c r="P286" s="33"/>
      <c r="Q286" s="33"/>
      <c r="R286" s="33"/>
      <c r="S286" s="33">
        <v>11.2</v>
      </c>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c r="CD286" s="33"/>
      <c r="CE286" s="33"/>
      <c r="CF286" s="33"/>
      <c r="CG286" s="33"/>
      <c r="CH286" s="33"/>
      <c r="CI286" s="33"/>
      <c r="CJ286" s="33"/>
      <c r="CK286" s="33"/>
      <c r="CL286" s="33"/>
      <c r="CM286" s="33"/>
      <c r="CN286" s="33"/>
      <c r="CO286" s="33"/>
      <c r="CP286" s="33"/>
      <c r="CQ286" s="33"/>
      <c r="CR286" s="33"/>
      <c r="CS286" s="33"/>
      <c r="CT286" s="33"/>
      <c r="CU286" s="33"/>
      <c r="CV286" s="33"/>
      <c r="CW286" s="33"/>
      <c r="CX286" s="33"/>
      <c r="CY286" s="33"/>
      <c r="CZ286" s="33"/>
      <c r="DA286" s="33"/>
      <c r="DB286" s="33"/>
      <c r="DC286" s="33"/>
      <c r="DD286" s="33"/>
      <c r="DE286" s="33"/>
      <c r="DF286" s="33"/>
      <c r="DG286" s="33"/>
      <c r="DH286" s="33"/>
      <c r="DI286" s="33"/>
      <c r="DJ286" s="33"/>
      <c r="DK286" s="33"/>
      <c r="DL286" s="33"/>
      <c r="DM286" s="33"/>
      <c r="DN286" s="33"/>
      <c r="DO286" s="33"/>
      <c r="DP286" s="33"/>
      <c r="DQ286" s="33"/>
      <c r="DR286" s="33"/>
      <c r="DS286" s="33"/>
      <c r="DT286" s="33"/>
      <c r="DU286" s="33"/>
      <c r="DV286" s="33"/>
      <c r="DW286" s="33"/>
      <c r="DX286" s="33"/>
      <c r="DY286" s="33"/>
      <c r="DZ286" s="33"/>
      <c r="EA286" s="33"/>
      <c r="EB286" s="33"/>
      <c r="EC286" s="33"/>
      <c r="ED286" s="33"/>
      <c r="EE286" s="33"/>
      <c r="EF286" s="33"/>
      <c r="EG286" s="33"/>
      <c r="EH286" s="33"/>
      <c r="EI286" s="33"/>
      <c r="EJ286" s="33"/>
      <c r="EK286" s="33"/>
      <c r="EL286" s="33"/>
      <c r="EM286" s="33"/>
      <c r="EN286" s="33"/>
      <c r="EO286" s="33"/>
      <c r="EP286" s="33"/>
      <c r="EQ286" s="33"/>
      <c r="ER286" s="33"/>
      <c r="ES286" s="33"/>
      <c r="ET286" s="33"/>
      <c r="EU286" s="33"/>
      <c r="EV286" s="33"/>
      <c r="EW286" s="33"/>
      <c r="EX286" s="33"/>
      <c r="EY286" s="33"/>
      <c r="EZ286" s="33"/>
      <c r="FA286" s="33"/>
      <c r="FB286" s="33"/>
      <c r="FC286" s="33"/>
      <c r="FD286" s="33"/>
      <c r="FE286" s="33"/>
      <c r="FF286" s="33"/>
      <c r="FG286" s="33"/>
      <c r="FH286" s="33"/>
      <c r="FI286" s="33"/>
      <c r="FJ286" s="33"/>
      <c r="FK286" s="33"/>
      <c r="FL286" s="33"/>
      <c r="FM286" s="33"/>
      <c r="FN286" s="33"/>
      <c r="FO286" s="33"/>
      <c r="FP286" s="33"/>
      <c r="FQ286" s="33"/>
      <c r="FR286" s="33"/>
      <c r="FS286" s="33"/>
      <c r="FT286" s="33"/>
      <c r="FU286" s="33"/>
      <c r="FV286" s="33"/>
      <c r="FW286" s="33"/>
      <c r="FX286" s="33"/>
      <c r="FY286" s="33"/>
      <c r="FZ286" s="33"/>
      <c r="GA286" s="33">
        <v>2.4863999999999997</v>
      </c>
      <c r="GB286" s="33"/>
      <c r="GC286" s="33"/>
      <c r="GD286" s="33">
        <v>0.46992959999999989</v>
      </c>
      <c r="GE286" s="33">
        <v>0.63900479999999993</v>
      </c>
      <c r="GF286" s="33">
        <v>1.3799519999999998</v>
      </c>
      <c r="GG286" s="33"/>
      <c r="GH286" s="33"/>
      <c r="GI286" s="33"/>
      <c r="GJ286" s="33"/>
      <c r="GK286" s="33"/>
      <c r="GL286" s="33"/>
      <c r="GM286" s="33"/>
      <c r="GN286" s="33"/>
      <c r="GO286" s="33"/>
      <c r="GP286" s="33"/>
      <c r="GQ286" s="33"/>
      <c r="GR286" s="33"/>
      <c r="GS286" s="33"/>
      <c r="GT286" s="33"/>
      <c r="GU286" s="33"/>
      <c r="GV286" s="33"/>
      <c r="GW286" s="33"/>
      <c r="GX286" s="33">
        <v>0.40031039999999996</v>
      </c>
      <c r="GY286" s="33"/>
      <c r="GZ286" s="33">
        <v>6.9619199999999992E-2</v>
      </c>
      <c r="HA286" s="33"/>
      <c r="HB286" s="33"/>
      <c r="HC286" s="33"/>
      <c r="HD286" s="33"/>
      <c r="HE286" s="33"/>
      <c r="HF286" s="33"/>
      <c r="HG286" s="33"/>
      <c r="HH286" s="33"/>
      <c r="HI286" s="33"/>
      <c r="HJ286" s="33"/>
      <c r="HK286" s="33"/>
      <c r="HL286" s="33"/>
      <c r="HM286" s="33"/>
      <c r="HN286" s="33"/>
      <c r="HO286" s="33"/>
      <c r="HP286" s="33"/>
      <c r="HQ286" s="33"/>
      <c r="HR286" s="33">
        <v>0.63900479999999993</v>
      </c>
      <c r="HS286" s="33"/>
      <c r="HT286" s="33"/>
      <c r="HU286" s="33"/>
      <c r="HV286" s="33"/>
      <c r="HW286" s="33"/>
      <c r="HX286" s="33"/>
      <c r="HY286" s="33"/>
      <c r="HZ286" s="33"/>
      <c r="IA286" s="33"/>
      <c r="IB286" s="33"/>
      <c r="IC286" s="33"/>
      <c r="ID286" s="33"/>
      <c r="IE286" s="33"/>
      <c r="IF286" s="33"/>
      <c r="IG286" s="33"/>
      <c r="IH286" s="33"/>
      <c r="II286" s="33"/>
      <c r="IJ286" s="33"/>
      <c r="IK286" s="33"/>
      <c r="IL286" s="33"/>
      <c r="IM286" s="33"/>
      <c r="IN286" s="33"/>
      <c r="IO286" s="33"/>
      <c r="IP286" s="33"/>
      <c r="IQ286" s="33"/>
      <c r="IR286" s="33"/>
      <c r="IS286" s="33">
        <v>1.1139071999999999</v>
      </c>
      <c r="IT286" s="33"/>
      <c r="IU286" s="33"/>
      <c r="IV286" s="33"/>
      <c r="IW286" s="33"/>
      <c r="IX286" s="33"/>
      <c r="IY286" s="33"/>
      <c r="IZ286" s="33"/>
      <c r="JA286" s="33"/>
      <c r="JB286" s="33">
        <v>0.26355839999999997</v>
      </c>
      <c r="JC286" s="33"/>
      <c r="JD286" s="33"/>
      <c r="JE286" s="33"/>
      <c r="JF286" s="33"/>
      <c r="JG286" s="33"/>
      <c r="JH286" s="33"/>
      <c r="JI286" s="33"/>
      <c r="JJ286" s="33"/>
      <c r="JK286" s="33"/>
      <c r="JL286" s="33"/>
      <c r="JM286" s="33"/>
      <c r="JN286" s="33"/>
      <c r="JO286" s="33"/>
      <c r="JP286" s="33"/>
      <c r="JQ286" s="33"/>
      <c r="JR286" s="33"/>
      <c r="KZ286" s="33"/>
      <c r="LA286" s="33"/>
      <c r="LB286" s="33"/>
      <c r="LC286" s="33"/>
      <c r="LD286" s="33"/>
      <c r="LE286" s="33"/>
      <c r="LF286" s="33"/>
      <c r="LG286" s="33"/>
      <c r="LH286" s="33"/>
      <c r="LI286" s="33"/>
      <c r="LJ286" s="33"/>
      <c r="LK286" s="33"/>
      <c r="LL286" s="33"/>
      <c r="LM286" s="33"/>
      <c r="LN286" s="33"/>
      <c r="LO286" s="33"/>
      <c r="LP286" s="44"/>
      <c r="LQ286" s="44"/>
      <c r="LR286" s="44"/>
      <c r="LS286" s="44"/>
      <c r="LT286" s="44"/>
      <c r="LU286" s="44"/>
      <c r="LV286" s="44"/>
    </row>
    <row r="287" spans="1:334" x14ac:dyDescent="0.2">
      <c r="A287" s="1" t="s">
        <v>8714</v>
      </c>
      <c r="B287" s="1" t="s">
        <v>2954</v>
      </c>
      <c r="D287" s="1" t="s">
        <v>8640</v>
      </c>
      <c r="E287" s="1" t="s">
        <v>7966</v>
      </c>
      <c r="F287" s="1" t="s">
        <v>8024</v>
      </c>
      <c r="H287" s="1" t="s">
        <v>8715</v>
      </c>
      <c r="K287" s="1">
        <v>2016</v>
      </c>
      <c r="L287" s="1" t="s">
        <v>8701</v>
      </c>
      <c r="M287" s="1" t="s">
        <v>7657</v>
      </c>
      <c r="N287" s="17" t="s">
        <v>7945</v>
      </c>
      <c r="O287" s="33"/>
      <c r="P287" s="33"/>
      <c r="Q287" s="33"/>
      <c r="R287" s="33"/>
      <c r="S287" s="33">
        <v>11.2</v>
      </c>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c r="CD287" s="33"/>
      <c r="CE287" s="33"/>
      <c r="CF287" s="33"/>
      <c r="CG287" s="33"/>
      <c r="CH287" s="33"/>
      <c r="CI287" s="33"/>
      <c r="CJ287" s="33"/>
      <c r="CK287" s="33"/>
      <c r="CL287" s="33"/>
      <c r="CM287" s="33"/>
      <c r="CN287" s="33"/>
      <c r="CO287" s="33"/>
      <c r="CP287" s="33"/>
      <c r="CQ287" s="33"/>
      <c r="CR287" s="33"/>
      <c r="CS287" s="33"/>
      <c r="CT287" s="33"/>
      <c r="CU287" s="33"/>
      <c r="CV287" s="33"/>
      <c r="CW287" s="33"/>
      <c r="CX287" s="33"/>
      <c r="CY287" s="33"/>
      <c r="CZ287" s="33"/>
      <c r="DA287" s="33"/>
      <c r="DB287" s="33"/>
      <c r="DC287" s="33"/>
      <c r="DD287" s="33"/>
      <c r="DE287" s="33"/>
      <c r="DF287" s="33"/>
      <c r="DG287" s="33"/>
      <c r="DH287" s="33"/>
      <c r="DI287" s="33"/>
      <c r="DJ287" s="33"/>
      <c r="DK287" s="33"/>
      <c r="DL287" s="33"/>
      <c r="DM287" s="33"/>
      <c r="DN287" s="33"/>
      <c r="DO287" s="33"/>
      <c r="DP287" s="33"/>
      <c r="DQ287" s="33"/>
      <c r="DR287" s="33"/>
      <c r="DS287" s="33"/>
      <c r="DT287" s="33"/>
      <c r="DU287" s="33"/>
      <c r="DV287" s="33"/>
      <c r="DW287" s="33"/>
      <c r="DX287" s="33"/>
      <c r="DY287" s="33"/>
      <c r="DZ287" s="33"/>
      <c r="EA287" s="33"/>
      <c r="EB287" s="33"/>
      <c r="EC287" s="33"/>
      <c r="ED287" s="33"/>
      <c r="EE287" s="33"/>
      <c r="EF287" s="33"/>
      <c r="EG287" s="33"/>
      <c r="EH287" s="33"/>
      <c r="EI287" s="33"/>
      <c r="EJ287" s="33"/>
      <c r="EK287" s="33"/>
      <c r="EL287" s="33"/>
      <c r="EM287" s="33"/>
      <c r="EN287" s="33"/>
      <c r="EO287" s="33"/>
      <c r="EP287" s="33"/>
      <c r="EQ287" s="33"/>
      <c r="ER287" s="33"/>
      <c r="ES287" s="33"/>
      <c r="ET287" s="33"/>
      <c r="EU287" s="33"/>
      <c r="EV287" s="33"/>
      <c r="EW287" s="33"/>
      <c r="EX287" s="33"/>
      <c r="EY287" s="33"/>
      <c r="EZ287" s="33"/>
      <c r="FA287" s="33"/>
      <c r="FB287" s="33"/>
      <c r="FC287" s="33"/>
      <c r="FD287" s="33"/>
      <c r="FE287" s="33"/>
      <c r="FF287" s="33"/>
      <c r="FG287" s="33"/>
      <c r="FH287" s="33"/>
      <c r="FI287" s="33"/>
      <c r="FJ287" s="33"/>
      <c r="FK287" s="33"/>
      <c r="FL287" s="33"/>
      <c r="FM287" s="33"/>
      <c r="FN287" s="33"/>
      <c r="FO287" s="33"/>
      <c r="FP287" s="33"/>
      <c r="FQ287" s="33"/>
      <c r="FR287" s="33"/>
      <c r="FS287" s="33"/>
      <c r="FT287" s="33"/>
      <c r="FU287" s="33"/>
      <c r="FV287" s="33"/>
      <c r="FW287" s="33"/>
      <c r="FX287" s="33"/>
      <c r="FY287" s="33"/>
      <c r="FZ287" s="33"/>
      <c r="GA287" s="33">
        <v>2.3976000000000002</v>
      </c>
      <c r="GB287" s="33"/>
      <c r="GC287" s="33"/>
      <c r="GD287" s="33">
        <v>0.42437520000000001</v>
      </c>
      <c r="GE287" s="33">
        <v>0.67372560000000004</v>
      </c>
      <c r="GF287" s="33">
        <v>1.2994992000000003</v>
      </c>
      <c r="GG287" s="33"/>
      <c r="GH287" s="33"/>
      <c r="GI287" s="33"/>
      <c r="GJ287" s="33"/>
      <c r="GK287" s="33"/>
      <c r="GL287" s="33"/>
      <c r="GM287" s="33"/>
      <c r="GN287" s="33"/>
      <c r="GO287" s="33"/>
      <c r="GP287" s="33"/>
      <c r="GQ287" s="33"/>
      <c r="GR287" s="33"/>
      <c r="GS287" s="33"/>
      <c r="GT287" s="33"/>
      <c r="GU287" s="33"/>
      <c r="GV287" s="33"/>
      <c r="GW287" s="33"/>
      <c r="GX287" s="33">
        <v>0.35004960000000002</v>
      </c>
      <c r="GY287" s="33"/>
      <c r="GZ287" s="33">
        <v>7.4325600000000006E-2</v>
      </c>
      <c r="HA287" s="33"/>
      <c r="HB287" s="33"/>
      <c r="HC287" s="33"/>
      <c r="HD287" s="33"/>
      <c r="HE287" s="33"/>
      <c r="HF287" s="33"/>
      <c r="HG287" s="33"/>
      <c r="HH287" s="33"/>
      <c r="HI287" s="33"/>
      <c r="HJ287" s="33"/>
      <c r="HK287" s="33"/>
      <c r="HL287" s="33"/>
      <c r="HM287" s="33"/>
      <c r="HN287" s="33"/>
      <c r="HO287" s="33"/>
      <c r="HP287" s="33"/>
      <c r="HQ287" s="33"/>
      <c r="HR287" s="33">
        <v>0.67372560000000004</v>
      </c>
      <c r="HS287" s="33"/>
      <c r="HT287" s="33"/>
      <c r="HU287" s="33"/>
      <c r="HV287" s="33"/>
      <c r="HW287" s="33"/>
      <c r="HX287" s="33"/>
      <c r="HY287" s="33"/>
      <c r="HZ287" s="33"/>
      <c r="IA287" s="33"/>
      <c r="IB287" s="33"/>
      <c r="IC287" s="33"/>
      <c r="ID287" s="33"/>
      <c r="IE287" s="33"/>
      <c r="IF287" s="33"/>
      <c r="IG287" s="33"/>
      <c r="IH287" s="33"/>
      <c r="II287" s="33"/>
      <c r="IJ287" s="33"/>
      <c r="IK287" s="33"/>
      <c r="IL287" s="33"/>
      <c r="IM287" s="33"/>
      <c r="IN287" s="33"/>
      <c r="IO287" s="33"/>
      <c r="IP287" s="33"/>
      <c r="IQ287" s="33"/>
      <c r="IR287" s="33"/>
      <c r="IS287" s="33">
        <v>1.0525464</v>
      </c>
      <c r="IT287" s="33"/>
      <c r="IU287" s="33"/>
      <c r="IV287" s="33"/>
      <c r="IW287" s="33"/>
      <c r="IX287" s="33"/>
      <c r="IY287" s="33"/>
      <c r="IZ287" s="33"/>
      <c r="JA287" s="33"/>
      <c r="JB287" s="33">
        <v>0.24695280000000003</v>
      </c>
      <c r="JC287" s="33"/>
      <c r="JD287" s="33"/>
      <c r="JE287" s="33"/>
      <c r="JF287" s="33"/>
      <c r="JG287" s="33"/>
      <c r="JH287" s="33"/>
      <c r="JI287" s="33"/>
      <c r="JJ287" s="33"/>
      <c r="JK287" s="33"/>
      <c r="JL287" s="33"/>
      <c r="JM287" s="33"/>
      <c r="JN287" s="33"/>
      <c r="JO287" s="33"/>
      <c r="JP287" s="33"/>
      <c r="JQ287" s="33"/>
      <c r="JR287" s="33"/>
      <c r="KZ287" s="33"/>
      <c r="LA287" s="33"/>
      <c r="LB287" s="33"/>
      <c r="LC287" s="33"/>
      <c r="LD287" s="33"/>
      <c r="LE287" s="33"/>
      <c r="LF287" s="33"/>
      <c r="LG287" s="33"/>
      <c r="LH287" s="33"/>
      <c r="LI287" s="33"/>
      <c r="LJ287" s="33"/>
      <c r="LK287" s="33"/>
      <c r="LL287" s="33"/>
      <c r="LM287" s="33"/>
      <c r="LN287" s="33"/>
      <c r="LO287" s="33"/>
      <c r="LP287" s="44"/>
      <c r="LQ287" s="44"/>
      <c r="LR287" s="44"/>
      <c r="LS287" s="44"/>
      <c r="LT287" s="44"/>
      <c r="LU287" s="44"/>
      <c r="LV287" s="44"/>
    </row>
    <row r="288" spans="1:334" x14ac:dyDescent="0.2">
      <c r="A288" s="1" t="s">
        <v>8716</v>
      </c>
      <c r="B288" s="1" t="s">
        <v>2954</v>
      </c>
      <c r="D288" s="1" t="s">
        <v>8717</v>
      </c>
      <c r="E288" s="1" t="s">
        <v>7966</v>
      </c>
      <c r="F288" s="1" t="s">
        <v>8485</v>
      </c>
      <c r="H288" s="1" t="s">
        <v>8718</v>
      </c>
      <c r="K288" s="1">
        <v>2016</v>
      </c>
      <c r="L288" s="1" t="s">
        <v>8701</v>
      </c>
      <c r="M288" s="1" t="s">
        <v>7657</v>
      </c>
      <c r="N288" s="17" t="s">
        <v>7945</v>
      </c>
      <c r="O288" s="33"/>
      <c r="P288" s="33"/>
      <c r="Q288" s="33"/>
      <c r="R288" s="33"/>
      <c r="S288" s="33">
        <v>10.3</v>
      </c>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c r="CT288" s="33"/>
      <c r="CU288" s="33"/>
      <c r="CV288" s="33"/>
      <c r="CW288" s="33"/>
      <c r="CX288" s="33"/>
      <c r="CY288" s="33"/>
      <c r="CZ288" s="33"/>
      <c r="DA288" s="33"/>
      <c r="DB288" s="33"/>
      <c r="DC288" s="33"/>
      <c r="DD288" s="33"/>
      <c r="DE288" s="33"/>
      <c r="DF288" s="33"/>
      <c r="DG288" s="33"/>
      <c r="DH288" s="33"/>
      <c r="DI288" s="33"/>
      <c r="DJ288" s="33"/>
      <c r="DK288" s="33"/>
      <c r="DL288" s="33"/>
      <c r="DM288" s="33"/>
      <c r="DN288" s="33"/>
      <c r="DO288" s="33"/>
      <c r="DP288" s="33"/>
      <c r="DQ288" s="33"/>
      <c r="DR288" s="33"/>
      <c r="DS288" s="33"/>
      <c r="DT288" s="33"/>
      <c r="DU288" s="33"/>
      <c r="DV288" s="33"/>
      <c r="DW288" s="33"/>
      <c r="DX288" s="33"/>
      <c r="DY288" s="33"/>
      <c r="DZ288" s="33"/>
      <c r="EA288" s="33"/>
      <c r="EB288" s="33"/>
      <c r="EC288" s="33"/>
      <c r="ED288" s="33"/>
      <c r="EE288" s="33"/>
      <c r="EF288" s="33"/>
      <c r="EG288" s="33"/>
      <c r="EH288" s="33"/>
      <c r="EI288" s="33"/>
      <c r="EJ288" s="33"/>
      <c r="EK288" s="33"/>
      <c r="EL288" s="33"/>
      <c r="EM288" s="33"/>
      <c r="EN288" s="33"/>
      <c r="EO288" s="33"/>
      <c r="EP288" s="33"/>
      <c r="EQ288" s="33"/>
      <c r="ER288" s="33"/>
      <c r="ES288" s="33"/>
      <c r="ET288" s="33"/>
      <c r="EU288" s="33"/>
      <c r="EV288" s="33"/>
      <c r="EW288" s="33"/>
      <c r="EX288" s="33"/>
      <c r="EY288" s="33"/>
      <c r="EZ288" s="33"/>
      <c r="FA288" s="33"/>
      <c r="FB288" s="33"/>
      <c r="FC288" s="33"/>
      <c r="FD288" s="33"/>
      <c r="FE288" s="33"/>
      <c r="FF288" s="33"/>
      <c r="FG288" s="33"/>
      <c r="FH288" s="33"/>
      <c r="FI288" s="33"/>
      <c r="FJ288" s="33"/>
      <c r="FK288" s="33"/>
      <c r="FL288" s="33"/>
      <c r="FM288" s="33"/>
      <c r="FN288" s="33"/>
      <c r="FO288" s="33"/>
      <c r="FP288" s="33"/>
      <c r="FQ288" s="33"/>
      <c r="FR288" s="33"/>
      <c r="FS288" s="33"/>
      <c r="FT288" s="33"/>
      <c r="FU288" s="33"/>
      <c r="FV288" s="33"/>
      <c r="FW288" s="33"/>
      <c r="FX288" s="33"/>
      <c r="FY288" s="33"/>
      <c r="FZ288" s="33"/>
      <c r="GA288" s="33">
        <v>1.8837000000000002</v>
      </c>
      <c r="GB288" s="33"/>
      <c r="GC288" s="33"/>
      <c r="GD288" s="33">
        <v>0.62162099999999998</v>
      </c>
      <c r="GE288" s="33">
        <v>0.49541310000000005</v>
      </c>
      <c r="GF288" s="33">
        <v>0.76666590000000012</v>
      </c>
      <c r="GG288" s="33"/>
      <c r="GH288" s="33"/>
      <c r="GI288" s="33"/>
      <c r="GJ288" s="33"/>
      <c r="GK288" s="33"/>
      <c r="GL288" s="33"/>
      <c r="GM288" s="33"/>
      <c r="GN288" s="33"/>
      <c r="GO288" s="33"/>
      <c r="GP288" s="33"/>
      <c r="GQ288" s="33"/>
      <c r="GR288" s="33"/>
      <c r="GS288" s="33"/>
      <c r="GT288" s="33"/>
      <c r="GU288" s="33"/>
      <c r="GV288" s="33"/>
      <c r="GW288" s="33"/>
      <c r="GX288" s="33">
        <v>0.28443869999999999</v>
      </c>
      <c r="GY288" s="33"/>
      <c r="GZ288" s="33">
        <v>0.33718229999999999</v>
      </c>
      <c r="HA288" s="33"/>
      <c r="HB288" s="33"/>
      <c r="HC288" s="33"/>
      <c r="HD288" s="33"/>
      <c r="HE288" s="33"/>
      <c r="HF288" s="33"/>
      <c r="HG288" s="33"/>
      <c r="HH288" s="33"/>
      <c r="HI288" s="33"/>
      <c r="HJ288" s="33"/>
      <c r="HK288" s="33"/>
      <c r="HL288" s="33"/>
      <c r="HM288" s="33"/>
      <c r="HN288" s="33"/>
      <c r="HO288" s="33"/>
      <c r="HP288" s="33"/>
      <c r="HQ288" s="33"/>
      <c r="HR288" s="33">
        <v>0.49541310000000005</v>
      </c>
      <c r="HS288" s="33"/>
      <c r="HT288" s="33"/>
      <c r="HU288" s="33"/>
      <c r="HV288" s="33"/>
      <c r="HW288" s="33"/>
      <c r="HX288" s="33"/>
      <c r="HY288" s="33"/>
      <c r="HZ288" s="33"/>
      <c r="IA288" s="33"/>
      <c r="IB288" s="33"/>
      <c r="IC288" s="33"/>
      <c r="ID288" s="33"/>
      <c r="IE288" s="33"/>
      <c r="IF288" s="33"/>
      <c r="IG288" s="33"/>
      <c r="IH288" s="33"/>
      <c r="II288" s="33"/>
      <c r="IJ288" s="33"/>
      <c r="IK288" s="33"/>
      <c r="IL288" s="33"/>
      <c r="IM288" s="33"/>
      <c r="IN288" s="33"/>
      <c r="IO288" s="33"/>
      <c r="IP288" s="33"/>
      <c r="IQ288" s="33"/>
      <c r="IR288" s="33"/>
      <c r="IS288" s="33">
        <v>0.7327593</v>
      </c>
      <c r="IT288" s="33"/>
      <c r="IU288" s="33"/>
      <c r="IV288" s="33"/>
      <c r="IW288" s="33"/>
      <c r="IX288" s="33"/>
      <c r="IY288" s="33"/>
      <c r="IZ288" s="33"/>
      <c r="JA288" s="33"/>
      <c r="JB288" s="33">
        <v>3.5790299999999997E-2</v>
      </c>
      <c r="JC288" s="33"/>
      <c r="JD288" s="33"/>
      <c r="JE288" s="33"/>
      <c r="JF288" s="33"/>
      <c r="JG288" s="33"/>
      <c r="JH288" s="33"/>
      <c r="JI288" s="33"/>
      <c r="JJ288" s="33"/>
      <c r="JK288" s="33"/>
      <c r="JL288" s="33"/>
      <c r="JM288" s="33"/>
      <c r="JN288" s="33"/>
      <c r="JO288" s="33"/>
      <c r="JP288" s="33"/>
      <c r="JQ288" s="33"/>
      <c r="JR288" s="33"/>
      <c r="KZ288" s="33"/>
      <c r="LA288" s="33"/>
      <c r="LB288" s="33"/>
      <c r="LC288" s="33"/>
      <c r="LD288" s="33"/>
      <c r="LE288" s="33"/>
      <c r="LF288" s="33"/>
      <c r="LG288" s="33"/>
      <c r="LH288" s="33"/>
      <c r="LI288" s="33"/>
      <c r="LJ288" s="33"/>
      <c r="LK288" s="33"/>
      <c r="LL288" s="33"/>
      <c r="LM288" s="33"/>
      <c r="LN288" s="33"/>
      <c r="LO288" s="33"/>
      <c r="LP288" s="44"/>
      <c r="LQ288" s="44"/>
      <c r="LR288" s="44"/>
      <c r="LS288" s="44"/>
      <c r="LT288" s="44"/>
      <c r="LU288" s="44"/>
      <c r="LV288" s="44"/>
    </row>
    <row r="289" spans="1:334" x14ac:dyDescent="0.2">
      <c r="A289" s="1" t="s">
        <v>8719</v>
      </c>
      <c r="B289" s="1" t="s">
        <v>237</v>
      </c>
      <c r="D289" s="1" t="s">
        <v>8633</v>
      </c>
      <c r="E289" s="1" t="s">
        <v>7966</v>
      </c>
      <c r="F289" s="1" t="s">
        <v>8110</v>
      </c>
      <c r="H289" s="1" t="s">
        <v>8720</v>
      </c>
      <c r="K289" s="1">
        <v>2016</v>
      </c>
      <c r="L289" s="1" t="s">
        <v>8701</v>
      </c>
      <c r="M289" s="1" t="s">
        <v>7657</v>
      </c>
      <c r="N289" s="17" t="s">
        <v>7945</v>
      </c>
      <c r="O289" s="33"/>
      <c r="P289" s="33"/>
      <c r="Q289" s="33"/>
      <c r="R289" s="33"/>
      <c r="S289" s="33">
        <v>13</v>
      </c>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c r="CT289" s="33"/>
      <c r="CU289" s="33"/>
      <c r="CV289" s="33"/>
      <c r="CW289" s="33"/>
      <c r="CX289" s="33"/>
      <c r="CY289" s="33"/>
      <c r="CZ289" s="33"/>
      <c r="DA289" s="33"/>
      <c r="DB289" s="33"/>
      <c r="DC289" s="33"/>
      <c r="DD289" s="33"/>
      <c r="DE289" s="33"/>
      <c r="DF289" s="33"/>
      <c r="DG289" s="33"/>
      <c r="DH289" s="33"/>
      <c r="DI289" s="33"/>
      <c r="DJ289" s="33"/>
      <c r="DK289" s="33"/>
      <c r="DL289" s="33"/>
      <c r="DM289" s="33"/>
      <c r="DN289" s="33"/>
      <c r="DO289" s="33"/>
      <c r="DP289" s="33"/>
      <c r="DQ289" s="33"/>
      <c r="DR289" s="33"/>
      <c r="DS289" s="33"/>
      <c r="DT289" s="33"/>
      <c r="DU289" s="33"/>
      <c r="DV289" s="33"/>
      <c r="DW289" s="33"/>
      <c r="DX289" s="33"/>
      <c r="DY289" s="33"/>
      <c r="DZ289" s="33"/>
      <c r="EA289" s="33"/>
      <c r="EB289" s="33"/>
      <c r="EC289" s="33"/>
      <c r="ED289" s="33"/>
      <c r="EE289" s="33"/>
      <c r="EF289" s="33"/>
      <c r="EG289" s="33"/>
      <c r="EH289" s="33"/>
      <c r="EI289" s="33"/>
      <c r="EJ289" s="33"/>
      <c r="EK289" s="33"/>
      <c r="EL289" s="33"/>
      <c r="EM289" s="33"/>
      <c r="EN289" s="33"/>
      <c r="EO289" s="33"/>
      <c r="EP289" s="33"/>
      <c r="EQ289" s="33"/>
      <c r="ER289" s="33"/>
      <c r="ES289" s="33"/>
      <c r="ET289" s="33"/>
      <c r="EU289" s="33"/>
      <c r="EV289" s="33"/>
      <c r="EW289" s="33"/>
      <c r="EX289" s="33"/>
      <c r="EY289" s="33"/>
      <c r="EZ289" s="33"/>
      <c r="FA289" s="33"/>
      <c r="FB289" s="33"/>
      <c r="FC289" s="33"/>
      <c r="FD289" s="33"/>
      <c r="FE289" s="33"/>
      <c r="FF289" s="33"/>
      <c r="FG289" s="33"/>
      <c r="FH289" s="33"/>
      <c r="FI289" s="33"/>
      <c r="FJ289" s="33"/>
      <c r="FK289" s="33"/>
      <c r="FL289" s="33"/>
      <c r="FM289" s="33"/>
      <c r="FN289" s="33"/>
      <c r="FO289" s="33"/>
      <c r="FP289" s="33"/>
      <c r="FQ289" s="33"/>
      <c r="FR289" s="33"/>
      <c r="FS289" s="33"/>
      <c r="FT289" s="33"/>
      <c r="FU289" s="33"/>
      <c r="FV289" s="33"/>
      <c r="FW289" s="33"/>
      <c r="FX289" s="33"/>
      <c r="FY289" s="33"/>
      <c r="FZ289" s="33"/>
      <c r="GA289" s="33">
        <v>2.4359999999999999</v>
      </c>
      <c r="GB289" s="33"/>
      <c r="GC289" s="33"/>
      <c r="GD289" s="33">
        <v>0.409248</v>
      </c>
      <c r="GE289" s="33">
        <v>0.87695999999999996</v>
      </c>
      <c r="GF289" s="33">
        <v>1.1497920000000001</v>
      </c>
      <c r="GG289" s="33"/>
      <c r="GH289" s="33"/>
      <c r="GI289" s="33"/>
      <c r="GJ289" s="33"/>
      <c r="GK289" s="33"/>
      <c r="GL289" s="33"/>
      <c r="GM289" s="33"/>
      <c r="GN289" s="33"/>
      <c r="GO289" s="33"/>
      <c r="GP289" s="33"/>
      <c r="GQ289" s="33"/>
      <c r="GR289" s="33"/>
      <c r="GS289" s="33"/>
      <c r="GT289" s="33"/>
      <c r="GU289" s="33"/>
      <c r="GV289" s="33"/>
      <c r="GW289" s="33"/>
      <c r="GX289" s="33">
        <v>0.28501199999999999</v>
      </c>
      <c r="GY289" s="33"/>
      <c r="GZ289" s="33">
        <v>0.12423599999999999</v>
      </c>
      <c r="HA289" s="33"/>
      <c r="HB289" s="33"/>
      <c r="HC289" s="33"/>
      <c r="HD289" s="33"/>
      <c r="HE289" s="33"/>
      <c r="HF289" s="33"/>
      <c r="HG289" s="33"/>
      <c r="HH289" s="33"/>
      <c r="HI289" s="33"/>
      <c r="HJ289" s="33"/>
      <c r="HK289" s="33"/>
      <c r="HL289" s="33"/>
      <c r="HM289" s="33"/>
      <c r="HN289" s="33"/>
      <c r="HO289" s="33"/>
      <c r="HP289" s="33"/>
      <c r="HQ289" s="33"/>
      <c r="HR289" s="33">
        <v>0.87695999999999996</v>
      </c>
      <c r="HS289" s="33"/>
      <c r="HT289" s="33"/>
      <c r="HU289" s="33"/>
      <c r="HV289" s="33"/>
      <c r="HW289" s="33"/>
      <c r="HX289" s="33"/>
      <c r="HY289" s="33"/>
      <c r="HZ289" s="33"/>
      <c r="IA289" s="33"/>
      <c r="IB289" s="33"/>
      <c r="IC289" s="33"/>
      <c r="ID289" s="33"/>
      <c r="IE289" s="33"/>
      <c r="IF289" s="33"/>
      <c r="IG289" s="33"/>
      <c r="IH289" s="33"/>
      <c r="II289" s="33"/>
      <c r="IJ289" s="33"/>
      <c r="IK289" s="33"/>
      <c r="IL289" s="33"/>
      <c r="IM289" s="33"/>
      <c r="IN289" s="33"/>
      <c r="IO289" s="33"/>
      <c r="IP289" s="33"/>
      <c r="IQ289" s="33"/>
      <c r="IR289" s="33"/>
      <c r="IS289" s="33">
        <v>0.991452</v>
      </c>
      <c r="IT289" s="33"/>
      <c r="IU289" s="33"/>
      <c r="IV289" s="33"/>
      <c r="IW289" s="33"/>
      <c r="IX289" s="33"/>
      <c r="IY289" s="33"/>
      <c r="IZ289" s="33"/>
      <c r="JA289" s="33"/>
      <c r="JB289" s="33">
        <v>0.15590400000000001</v>
      </c>
      <c r="JC289" s="33"/>
      <c r="JD289" s="33"/>
      <c r="JE289" s="33"/>
      <c r="JF289" s="33"/>
      <c r="JG289" s="33"/>
      <c r="JH289" s="33"/>
      <c r="JI289" s="33"/>
      <c r="JJ289" s="33"/>
      <c r="JK289" s="33"/>
      <c r="JL289" s="33"/>
      <c r="JM289" s="33"/>
      <c r="JN289" s="33"/>
      <c r="JO289" s="33"/>
      <c r="JP289" s="33"/>
      <c r="JQ289" s="33"/>
      <c r="JR289" s="33"/>
      <c r="KZ289" s="33"/>
      <c r="LA289" s="33"/>
      <c r="LB289" s="33"/>
      <c r="LC289" s="33"/>
      <c r="LD289" s="33"/>
      <c r="LE289" s="33"/>
      <c r="LF289" s="33"/>
      <c r="LG289" s="33"/>
      <c r="LH289" s="33"/>
      <c r="LI289" s="33"/>
      <c r="LJ289" s="33"/>
      <c r="LK289" s="33"/>
      <c r="LL289" s="33"/>
      <c r="LM289" s="33"/>
      <c r="LN289" s="33"/>
      <c r="LO289" s="33"/>
      <c r="LP289" s="44"/>
      <c r="LQ289" s="44"/>
      <c r="LR289" s="44"/>
      <c r="LS289" s="44"/>
      <c r="LT289" s="44"/>
      <c r="LU289" s="44"/>
      <c r="LV289" s="44"/>
    </row>
    <row r="290" spans="1:334" x14ac:dyDescent="0.2">
      <c r="A290" s="1" t="s">
        <v>8721</v>
      </c>
      <c r="B290" s="1" t="s">
        <v>2954</v>
      </c>
      <c r="D290" s="1" t="s">
        <v>8722</v>
      </c>
      <c r="E290" s="1" t="s">
        <v>7966</v>
      </c>
      <c r="F290" s="1" t="s">
        <v>8110</v>
      </c>
      <c r="H290" s="1" t="s">
        <v>8723</v>
      </c>
      <c r="K290" s="1">
        <v>2016</v>
      </c>
      <c r="L290" s="1" t="s">
        <v>8701</v>
      </c>
      <c r="M290" s="1" t="s">
        <v>7657</v>
      </c>
      <c r="N290" s="17" t="s">
        <v>7945</v>
      </c>
      <c r="O290" s="33"/>
      <c r="P290" s="33"/>
      <c r="Q290" s="33"/>
      <c r="R290" s="33"/>
      <c r="S290" s="33">
        <v>13</v>
      </c>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c r="CM290" s="33"/>
      <c r="CN290" s="33"/>
      <c r="CO290" s="33"/>
      <c r="CP290" s="33"/>
      <c r="CQ290" s="33"/>
      <c r="CR290" s="33"/>
      <c r="CS290" s="33"/>
      <c r="CT290" s="33"/>
      <c r="CU290" s="33"/>
      <c r="CV290" s="33"/>
      <c r="CW290" s="33"/>
      <c r="CX290" s="33"/>
      <c r="CY290" s="33"/>
      <c r="CZ290" s="33"/>
      <c r="DA290" s="33"/>
      <c r="DB290" s="33"/>
      <c r="DC290" s="33"/>
      <c r="DD290" s="33"/>
      <c r="DE290" s="33"/>
      <c r="DF290" s="33"/>
      <c r="DG290" s="33"/>
      <c r="DH290" s="33"/>
      <c r="DI290" s="33"/>
      <c r="DJ290" s="33"/>
      <c r="DK290" s="33"/>
      <c r="DL290" s="33"/>
      <c r="DM290" s="33"/>
      <c r="DN290" s="33"/>
      <c r="DO290" s="33"/>
      <c r="DP290" s="33"/>
      <c r="DQ290" s="33"/>
      <c r="DR290" s="33"/>
      <c r="DS290" s="33"/>
      <c r="DT290" s="33"/>
      <c r="DU290" s="33"/>
      <c r="DV290" s="33"/>
      <c r="DW290" s="33"/>
      <c r="DX290" s="33"/>
      <c r="DY290" s="33"/>
      <c r="DZ290" s="33"/>
      <c r="EA290" s="33"/>
      <c r="EB290" s="33"/>
      <c r="EC290" s="33"/>
      <c r="ED290" s="33"/>
      <c r="EE290" s="33"/>
      <c r="EF290" s="33"/>
      <c r="EG290" s="33"/>
      <c r="EH290" s="33"/>
      <c r="EI290" s="33"/>
      <c r="EJ290" s="33"/>
      <c r="EK290" s="33"/>
      <c r="EL290" s="33"/>
      <c r="EM290" s="33"/>
      <c r="EN290" s="33"/>
      <c r="EO290" s="33"/>
      <c r="EP290" s="33"/>
      <c r="EQ290" s="33"/>
      <c r="ER290" s="33"/>
      <c r="ES290" s="33"/>
      <c r="ET290" s="33"/>
      <c r="EU290" s="33"/>
      <c r="EV290" s="33"/>
      <c r="EW290" s="33"/>
      <c r="EX290" s="33"/>
      <c r="EY290" s="33"/>
      <c r="EZ290" s="33"/>
      <c r="FA290" s="33"/>
      <c r="FB290" s="33"/>
      <c r="FC290" s="33"/>
      <c r="FD290" s="33"/>
      <c r="FE290" s="33"/>
      <c r="FF290" s="33"/>
      <c r="FG290" s="33"/>
      <c r="FH290" s="33"/>
      <c r="FI290" s="33"/>
      <c r="FJ290" s="33"/>
      <c r="FK290" s="33"/>
      <c r="FL290" s="33"/>
      <c r="FM290" s="33"/>
      <c r="FN290" s="33"/>
      <c r="FO290" s="33"/>
      <c r="FP290" s="33"/>
      <c r="FQ290" s="33"/>
      <c r="FR290" s="33"/>
      <c r="FS290" s="33"/>
      <c r="FT290" s="33"/>
      <c r="FU290" s="33"/>
      <c r="FV290" s="33"/>
      <c r="FW290" s="33"/>
      <c r="FX290" s="33"/>
      <c r="FY290" s="33"/>
      <c r="FZ290" s="33"/>
      <c r="GA290" s="33">
        <v>2.4359999999999999</v>
      </c>
      <c r="GB290" s="33"/>
      <c r="GC290" s="33"/>
      <c r="GD290" s="33">
        <v>0.40437600000000001</v>
      </c>
      <c r="GE290" s="33">
        <v>0.64066800000000002</v>
      </c>
      <c r="GF290" s="33">
        <v>1.1083799999999999</v>
      </c>
      <c r="GG290" s="33"/>
      <c r="GH290" s="33"/>
      <c r="GI290" s="33"/>
      <c r="GJ290" s="33"/>
      <c r="GK290" s="33"/>
      <c r="GL290" s="33"/>
      <c r="GM290" s="33"/>
      <c r="GN290" s="33"/>
      <c r="GO290" s="33"/>
      <c r="GP290" s="33"/>
      <c r="GQ290" s="33"/>
      <c r="GR290" s="33"/>
      <c r="GS290" s="33"/>
      <c r="GT290" s="33"/>
      <c r="GU290" s="33"/>
      <c r="GV290" s="33"/>
      <c r="GW290" s="33"/>
      <c r="GX290" s="33">
        <v>0.30449999999999999</v>
      </c>
      <c r="GY290" s="33"/>
      <c r="GZ290" s="33">
        <v>9.9875999999999993E-2</v>
      </c>
      <c r="HA290" s="33"/>
      <c r="HB290" s="33"/>
      <c r="HC290" s="33"/>
      <c r="HD290" s="33"/>
      <c r="HE290" s="33"/>
      <c r="HF290" s="33"/>
      <c r="HG290" s="33"/>
      <c r="HH290" s="33"/>
      <c r="HI290" s="33"/>
      <c r="HJ290" s="33"/>
      <c r="HK290" s="33"/>
      <c r="HL290" s="33"/>
      <c r="HM290" s="33"/>
      <c r="HN290" s="33"/>
      <c r="HO290" s="33"/>
      <c r="HP290" s="33"/>
      <c r="HQ290" s="33"/>
      <c r="HR290" s="33">
        <v>0.64066800000000002</v>
      </c>
      <c r="HS290" s="33"/>
      <c r="HT290" s="33"/>
      <c r="HU290" s="33"/>
      <c r="HV290" s="33"/>
      <c r="HW290" s="33"/>
      <c r="HX290" s="33"/>
      <c r="HY290" s="33"/>
      <c r="HZ290" s="33"/>
      <c r="IA290" s="33"/>
      <c r="IB290" s="33"/>
      <c r="IC290" s="33"/>
      <c r="ID290" s="33"/>
      <c r="IE290" s="33"/>
      <c r="IF290" s="33"/>
      <c r="IG290" s="33"/>
      <c r="IH290" s="33"/>
      <c r="II290" s="33"/>
      <c r="IJ290" s="33"/>
      <c r="IK290" s="33"/>
      <c r="IL290" s="33"/>
      <c r="IM290" s="33"/>
      <c r="IN290" s="33"/>
      <c r="IO290" s="33"/>
      <c r="IP290" s="33"/>
      <c r="IQ290" s="33"/>
      <c r="IR290" s="33"/>
      <c r="IS290" s="33">
        <v>0.91837200000000008</v>
      </c>
      <c r="IT290" s="33"/>
      <c r="IU290" s="33"/>
      <c r="IV290" s="33"/>
      <c r="IW290" s="33"/>
      <c r="IX290" s="33"/>
      <c r="IY290" s="33"/>
      <c r="IZ290" s="33"/>
      <c r="JA290" s="33"/>
      <c r="JB290" s="33">
        <v>0.19244399999999998</v>
      </c>
      <c r="JC290" s="33"/>
      <c r="JD290" s="33"/>
      <c r="JE290" s="33"/>
      <c r="JF290" s="33"/>
      <c r="JG290" s="33"/>
      <c r="JH290" s="33"/>
      <c r="JI290" s="33"/>
      <c r="JJ290" s="33"/>
      <c r="JK290" s="33"/>
      <c r="JL290" s="33"/>
      <c r="JM290" s="33"/>
      <c r="JN290" s="33"/>
      <c r="JO290" s="33"/>
      <c r="JP290" s="33"/>
      <c r="JQ290" s="33"/>
      <c r="JR290" s="33"/>
      <c r="KZ290" s="33"/>
      <c r="LA290" s="33"/>
      <c r="LB290" s="33"/>
      <c r="LC290" s="33"/>
      <c r="LD290" s="33"/>
      <c r="LE290" s="33"/>
      <c r="LF290" s="33"/>
      <c r="LG290" s="33"/>
      <c r="LH290" s="33"/>
      <c r="LI290" s="33"/>
      <c r="LJ290" s="33"/>
      <c r="LK290" s="33"/>
      <c r="LL290" s="33"/>
      <c r="LM290" s="33"/>
      <c r="LN290" s="33"/>
      <c r="LO290" s="33"/>
      <c r="LP290" s="44"/>
      <c r="LQ290" s="44"/>
      <c r="LR290" s="44"/>
      <c r="LS290" s="44"/>
      <c r="LT290" s="44"/>
      <c r="LU290" s="44"/>
      <c r="LV290" s="44"/>
    </row>
    <row r="291" spans="1:334" x14ac:dyDescent="0.2">
      <c r="A291" s="1" t="s">
        <v>8724</v>
      </c>
      <c r="B291" s="1" t="s">
        <v>2954</v>
      </c>
      <c r="D291" s="1" t="s">
        <v>8638</v>
      </c>
      <c r="E291" s="1" t="s">
        <v>7966</v>
      </c>
      <c r="F291" s="1" t="s">
        <v>688</v>
      </c>
      <c r="H291" s="1" t="s">
        <v>8725</v>
      </c>
      <c r="K291" s="1">
        <v>2016</v>
      </c>
      <c r="L291" s="1" t="s">
        <v>8701</v>
      </c>
      <c r="M291" s="1" t="s">
        <v>7657</v>
      </c>
      <c r="N291" s="17" t="s">
        <v>7945</v>
      </c>
      <c r="O291" s="33"/>
      <c r="P291" s="33"/>
      <c r="Q291" s="33"/>
      <c r="R291" s="33"/>
      <c r="S291" s="33">
        <v>10.3</v>
      </c>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c r="CD291" s="33"/>
      <c r="CE291" s="33"/>
      <c r="CF291" s="33"/>
      <c r="CG291" s="33"/>
      <c r="CH291" s="33"/>
      <c r="CI291" s="33"/>
      <c r="CJ291" s="33"/>
      <c r="CK291" s="33"/>
      <c r="CL291" s="33"/>
      <c r="CM291" s="33"/>
      <c r="CN291" s="33"/>
      <c r="CO291" s="33"/>
      <c r="CP291" s="33"/>
      <c r="CQ291" s="33"/>
      <c r="CR291" s="33"/>
      <c r="CS291" s="33"/>
      <c r="CT291" s="33"/>
      <c r="CU291" s="33"/>
      <c r="CV291" s="33"/>
      <c r="CW291" s="33"/>
      <c r="CX291" s="33"/>
      <c r="CY291" s="33"/>
      <c r="CZ291" s="33"/>
      <c r="DA291" s="33"/>
      <c r="DB291" s="33"/>
      <c r="DC291" s="33"/>
      <c r="DD291" s="33"/>
      <c r="DE291" s="33"/>
      <c r="DF291" s="33"/>
      <c r="DG291" s="33"/>
      <c r="DH291" s="33"/>
      <c r="DI291" s="33"/>
      <c r="DJ291" s="33"/>
      <c r="DK291" s="33"/>
      <c r="DL291" s="33"/>
      <c r="DM291" s="33"/>
      <c r="DN291" s="33"/>
      <c r="DO291" s="33"/>
      <c r="DP291" s="33"/>
      <c r="DQ291" s="33"/>
      <c r="DR291" s="33"/>
      <c r="DS291" s="33"/>
      <c r="DT291" s="33"/>
      <c r="DU291" s="33"/>
      <c r="DV291" s="33"/>
      <c r="DW291" s="33"/>
      <c r="DX291" s="33"/>
      <c r="DY291" s="33"/>
      <c r="DZ291" s="33"/>
      <c r="EA291" s="33"/>
      <c r="EB291" s="33"/>
      <c r="EC291" s="33"/>
      <c r="ED291" s="33"/>
      <c r="EE291" s="33"/>
      <c r="EF291" s="33"/>
      <c r="EG291" s="33"/>
      <c r="EH291" s="33"/>
      <c r="EI291" s="33"/>
      <c r="EJ291" s="33"/>
      <c r="EK291" s="33"/>
      <c r="EL291" s="33"/>
      <c r="EM291" s="33"/>
      <c r="EN291" s="33"/>
      <c r="EO291" s="33"/>
      <c r="EP291" s="33"/>
      <c r="EQ291" s="33"/>
      <c r="ER291" s="33"/>
      <c r="ES291" s="33"/>
      <c r="ET291" s="33"/>
      <c r="EU291" s="33"/>
      <c r="EV291" s="33"/>
      <c r="EW291" s="33"/>
      <c r="EX291" s="33"/>
      <c r="EY291" s="33"/>
      <c r="EZ291" s="33"/>
      <c r="FA291" s="33"/>
      <c r="FB291" s="33"/>
      <c r="FC291" s="33"/>
      <c r="FD291" s="33"/>
      <c r="FE291" s="33"/>
      <c r="FF291" s="33"/>
      <c r="FG291" s="33"/>
      <c r="FH291" s="33"/>
      <c r="FI291" s="33"/>
      <c r="FJ291" s="33"/>
      <c r="FK291" s="33"/>
      <c r="FL291" s="33"/>
      <c r="FM291" s="33"/>
      <c r="FN291" s="33"/>
      <c r="FO291" s="33"/>
      <c r="FP291" s="33"/>
      <c r="FQ291" s="33"/>
      <c r="FR291" s="33"/>
      <c r="FS291" s="33"/>
      <c r="FT291" s="33"/>
      <c r="FU291" s="33"/>
      <c r="FV291" s="33"/>
      <c r="FW291" s="33"/>
      <c r="FX291" s="33"/>
      <c r="FY291" s="33"/>
      <c r="FZ291" s="33"/>
      <c r="GA291" s="33">
        <v>5.5613999999999999</v>
      </c>
      <c r="GB291" s="33"/>
      <c r="GC291" s="33"/>
      <c r="GD291" s="33">
        <v>0.95656079999999988</v>
      </c>
      <c r="GE291" s="33">
        <v>1.7685252</v>
      </c>
      <c r="GF291" s="33">
        <v>2.8474367999999997</v>
      </c>
      <c r="GG291" s="33"/>
      <c r="GH291" s="33"/>
      <c r="GI291" s="33"/>
      <c r="GJ291" s="33"/>
      <c r="GK291" s="33"/>
      <c r="GL291" s="33"/>
      <c r="GM291" s="33"/>
      <c r="GN291" s="33"/>
      <c r="GO291" s="33"/>
      <c r="GP291" s="33"/>
      <c r="GQ291" s="33"/>
      <c r="GR291" s="33"/>
      <c r="GS291" s="33"/>
      <c r="GT291" s="33"/>
      <c r="GU291" s="33"/>
      <c r="GV291" s="33"/>
      <c r="GW291" s="33"/>
      <c r="GX291" s="33">
        <v>0.62843820000000006</v>
      </c>
      <c r="GY291" s="33"/>
      <c r="GZ291" s="33">
        <v>0.32812260000000004</v>
      </c>
      <c r="HA291" s="33"/>
      <c r="HB291" s="33"/>
      <c r="HC291" s="33"/>
      <c r="HD291" s="33"/>
      <c r="HE291" s="33"/>
      <c r="HF291" s="33"/>
      <c r="HG291" s="33"/>
      <c r="HH291" s="33"/>
      <c r="HI291" s="33"/>
      <c r="HJ291" s="33"/>
      <c r="HK291" s="33"/>
      <c r="HL291" s="33"/>
      <c r="HM291" s="33"/>
      <c r="HN291" s="33"/>
      <c r="HO291" s="33"/>
      <c r="HP291" s="33"/>
      <c r="HQ291" s="33"/>
      <c r="HR291" s="33">
        <v>1.7685252</v>
      </c>
      <c r="HS291" s="33"/>
      <c r="HT291" s="33"/>
      <c r="HU291" s="33"/>
      <c r="HV291" s="33"/>
      <c r="HW291" s="33"/>
      <c r="HX291" s="33"/>
      <c r="HY291" s="33"/>
      <c r="HZ291" s="33"/>
      <c r="IA291" s="33"/>
      <c r="IB291" s="33"/>
      <c r="IC291" s="33"/>
      <c r="ID291" s="33"/>
      <c r="IE291" s="33"/>
      <c r="IF291" s="33"/>
      <c r="IG291" s="33"/>
      <c r="IH291" s="33"/>
      <c r="II291" s="33"/>
      <c r="IJ291" s="33"/>
      <c r="IK291" s="33"/>
      <c r="IL291" s="33"/>
      <c r="IM291" s="33"/>
      <c r="IN291" s="33"/>
      <c r="IO291" s="33"/>
      <c r="IP291" s="33"/>
      <c r="IQ291" s="33"/>
      <c r="IR291" s="33"/>
      <c r="IS291" s="33">
        <v>2.7250860000000001</v>
      </c>
      <c r="IT291" s="33"/>
      <c r="IU291" s="33"/>
      <c r="IV291" s="33"/>
      <c r="IW291" s="33"/>
      <c r="IX291" s="33"/>
      <c r="IY291" s="33"/>
      <c r="IZ291" s="33"/>
      <c r="JA291" s="33"/>
      <c r="JB291" s="33">
        <v>0.1167894</v>
      </c>
      <c r="JC291" s="33"/>
      <c r="JD291" s="33"/>
      <c r="JE291" s="33"/>
      <c r="JF291" s="33"/>
      <c r="JG291" s="33"/>
      <c r="JH291" s="33"/>
      <c r="JI291" s="33"/>
      <c r="JJ291" s="33"/>
      <c r="JK291" s="33"/>
      <c r="JL291" s="33"/>
      <c r="JM291" s="33"/>
      <c r="JN291" s="33"/>
      <c r="JO291" s="33"/>
      <c r="JP291" s="33"/>
      <c r="JQ291" s="33"/>
      <c r="JR291" s="33"/>
      <c r="KZ291" s="33"/>
      <c r="LA291" s="33"/>
      <c r="LB291" s="33"/>
      <c r="LC291" s="33"/>
      <c r="LD291" s="33"/>
      <c r="LE291" s="33"/>
      <c r="LF291" s="33"/>
      <c r="LG291" s="33"/>
      <c r="LH291" s="33"/>
      <c r="LI291" s="33"/>
      <c r="LJ291" s="33"/>
      <c r="LK291" s="33"/>
      <c r="LL291" s="33"/>
      <c r="LM291" s="33"/>
      <c r="LN291" s="33"/>
      <c r="LO291" s="33"/>
      <c r="LP291" s="44"/>
      <c r="LQ291" s="44"/>
      <c r="LR291" s="44"/>
      <c r="LS291" s="44"/>
      <c r="LT291" s="44"/>
      <c r="LU291" s="44"/>
      <c r="LV291" s="44"/>
    </row>
    <row r="292" spans="1:334" x14ac:dyDescent="0.2">
      <c r="A292" s="1" t="s">
        <v>8726</v>
      </c>
      <c r="B292" s="1" t="s">
        <v>2954</v>
      </c>
      <c r="D292" s="1" t="s">
        <v>8638</v>
      </c>
      <c r="E292" s="1" t="s">
        <v>7966</v>
      </c>
      <c r="F292" s="1" t="s">
        <v>688</v>
      </c>
      <c r="H292" s="1" t="s">
        <v>8727</v>
      </c>
      <c r="K292" s="1">
        <v>2016</v>
      </c>
      <c r="L292" s="1" t="s">
        <v>8701</v>
      </c>
      <c r="M292" s="1" t="s">
        <v>7657</v>
      </c>
      <c r="N292" s="17" t="s">
        <v>7945</v>
      </c>
      <c r="O292" s="33"/>
      <c r="P292" s="33"/>
      <c r="Q292" s="33"/>
      <c r="R292" s="33"/>
      <c r="S292" s="33">
        <v>10.3</v>
      </c>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c r="CU292" s="33"/>
      <c r="CV292" s="33"/>
      <c r="CW292" s="33"/>
      <c r="CX292" s="33"/>
      <c r="CY292" s="33"/>
      <c r="CZ292" s="33"/>
      <c r="DA292" s="33"/>
      <c r="DB292" s="33"/>
      <c r="DC292" s="33"/>
      <c r="DD292" s="33"/>
      <c r="DE292" s="33"/>
      <c r="DF292" s="33"/>
      <c r="DG292" s="33"/>
      <c r="DH292" s="33"/>
      <c r="DI292" s="33"/>
      <c r="DJ292" s="33"/>
      <c r="DK292" s="33"/>
      <c r="DL292" s="33"/>
      <c r="DM292" s="33"/>
      <c r="DN292" s="33"/>
      <c r="DO292" s="33"/>
      <c r="DP292" s="33"/>
      <c r="DQ292" s="33"/>
      <c r="DR292" s="33"/>
      <c r="DS292" s="33"/>
      <c r="DT292" s="33"/>
      <c r="DU292" s="33"/>
      <c r="DV292" s="33"/>
      <c r="DW292" s="33"/>
      <c r="DX292" s="33"/>
      <c r="DY292" s="33"/>
      <c r="DZ292" s="33"/>
      <c r="EA292" s="33"/>
      <c r="EB292" s="33"/>
      <c r="EC292" s="33"/>
      <c r="ED292" s="33"/>
      <c r="EE292" s="33"/>
      <c r="EF292" s="33"/>
      <c r="EG292" s="33"/>
      <c r="EH292" s="33"/>
      <c r="EI292" s="33"/>
      <c r="EJ292" s="33"/>
      <c r="EK292" s="33"/>
      <c r="EL292" s="33"/>
      <c r="EM292" s="33"/>
      <c r="EN292" s="33"/>
      <c r="EO292" s="33"/>
      <c r="EP292" s="33"/>
      <c r="EQ292" s="33"/>
      <c r="ER292" s="33"/>
      <c r="ES292" s="33"/>
      <c r="ET292" s="33"/>
      <c r="EU292" s="33"/>
      <c r="EV292" s="33"/>
      <c r="EW292" s="33"/>
      <c r="EX292" s="33"/>
      <c r="EY292" s="33"/>
      <c r="EZ292" s="33"/>
      <c r="FA292" s="33"/>
      <c r="FB292" s="33"/>
      <c r="FC292" s="33"/>
      <c r="FD292" s="33"/>
      <c r="FE292" s="33"/>
      <c r="FF292" s="33"/>
      <c r="FG292" s="33"/>
      <c r="FH292" s="33"/>
      <c r="FI292" s="33"/>
      <c r="FJ292" s="33"/>
      <c r="FK292" s="33"/>
      <c r="FL292" s="33"/>
      <c r="FM292" s="33"/>
      <c r="FN292" s="33"/>
      <c r="FO292" s="33"/>
      <c r="FP292" s="33"/>
      <c r="FQ292" s="33"/>
      <c r="FR292" s="33"/>
      <c r="FS292" s="33"/>
      <c r="FT292" s="33"/>
      <c r="FU292" s="33"/>
      <c r="FV292" s="33"/>
      <c r="FW292" s="33"/>
      <c r="FX292" s="33"/>
      <c r="FY292" s="33"/>
      <c r="FZ292" s="33"/>
      <c r="GA292" s="33">
        <v>6.0996000000000006</v>
      </c>
      <c r="GB292" s="33"/>
      <c r="GC292" s="33"/>
      <c r="GD292" s="33">
        <v>1.2565176000000002</v>
      </c>
      <c r="GE292" s="33">
        <v>1.9152744000000002</v>
      </c>
      <c r="GF292" s="33">
        <v>3.0071028000000002</v>
      </c>
      <c r="GG292" s="33"/>
      <c r="GH292" s="33"/>
      <c r="GI292" s="33"/>
      <c r="GJ292" s="33"/>
      <c r="GK292" s="33"/>
      <c r="GL292" s="33"/>
      <c r="GM292" s="33"/>
      <c r="GN292" s="33"/>
      <c r="GO292" s="33"/>
      <c r="GP292" s="33"/>
      <c r="GQ292" s="33"/>
      <c r="GR292" s="33"/>
      <c r="GS292" s="33"/>
      <c r="GT292" s="33"/>
      <c r="GU292" s="33"/>
      <c r="GV292" s="33"/>
      <c r="GW292" s="33"/>
      <c r="GX292" s="33">
        <v>0.70145400000000013</v>
      </c>
      <c r="GY292" s="33"/>
      <c r="GZ292" s="33">
        <v>0.56116319999999997</v>
      </c>
      <c r="HA292" s="33"/>
      <c r="HB292" s="33"/>
      <c r="HC292" s="33"/>
      <c r="HD292" s="33"/>
      <c r="HE292" s="33"/>
      <c r="HF292" s="33"/>
      <c r="HG292" s="33"/>
      <c r="HH292" s="33"/>
      <c r="HI292" s="33"/>
      <c r="HJ292" s="33"/>
      <c r="HK292" s="33"/>
      <c r="HL292" s="33"/>
      <c r="HM292" s="33"/>
      <c r="HN292" s="33"/>
      <c r="HO292" s="33"/>
      <c r="HP292" s="33"/>
      <c r="HQ292" s="33"/>
      <c r="HR292" s="33">
        <v>1.9152744000000002</v>
      </c>
      <c r="HS292" s="33"/>
      <c r="HT292" s="33"/>
      <c r="HU292" s="33"/>
      <c r="HV292" s="33"/>
      <c r="HW292" s="33"/>
      <c r="HX292" s="33"/>
      <c r="HY292" s="33"/>
      <c r="HZ292" s="33"/>
      <c r="IA292" s="33"/>
      <c r="IB292" s="33"/>
      <c r="IC292" s="33"/>
      <c r="ID292" s="33"/>
      <c r="IE292" s="33"/>
      <c r="IF292" s="33"/>
      <c r="IG292" s="33"/>
      <c r="IH292" s="33"/>
      <c r="II292" s="33"/>
      <c r="IJ292" s="33"/>
      <c r="IK292" s="33"/>
      <c r="IL292" s="33"/>
      <c r="IM292" s="33"/>
      <c r="IN292" s="33"/>
      <c r="IO292" s="33"/>
      <c r="IP292" s="33"/>
      <c r="IQ292" s="33"/>
      <c r="IR292" s="33"/>
      <c r="IS292" s="33">
        <v>2.8546128</v>
      </c>
      <c r="IT292" s="33"/>
      <c r="IU292" s="33"/>
      <c r="IV292" s="33"/>
      <c r="IW292" s="33"/>
      <c r="IX292" s="33"/>
      <c r="IY292" s="33"/>
      <c r="IZ292" s="33"/>
      <c r="JA292" s="33"/>
      <c r="JB292" s="33">
        <v>0.15249000000000001</v>
      </c>
      <c r="JC292" s="33"/>
      <c r="JD292" s="33"/>
      <c r="JE292" s="33"/>
      <c r="JF292" s="33"/>
      <c r="JG292" s="33"/>
      <c r="JH292" s="33"/>
      <c r="JI292" s="33"/>
      <c r="JJ292" s="33"/>
      <c r="JK292" s="33"/>
      <c r="JL292" s="33"/>
      <c r="JM292" s="33"/>
      <c r="JN292" s="33"/>
      <c r="JO292" s="33"/>
      <c r="JP292" s="33"/>
      <c r="JQ292" s="33"/>
      <c r="JR292" s="33"/>
      <c r="KZ292" s="33"/>
      <c r="LA292" s="33"/>
      <c r="LB292" s="33"/>
      <c r="LC292" s="33"/>
      <c r="LD292" s="33"/>
      <c r="LE292" s="33"/>
      <c r="LF292" s="33"/>
      <c r="LG292" s="33"/>
      <c r="LH292" s="33"/>
      <c r="LI292" s="33"/>
      <c r="LJ292" s="33"/>
      <c r="LK292" s="33"/>
      <c r="LL292" s="33"/>
      <c r="LM292" s="33"/>
      <c r="LN292" s="33"/>
      <c r="LO292" s="33"/>
      <c r="LP292" s="44"/>
      <c r="LQ292" s="44"/>
      <c r="LR292" s="44"/>
      <c r="LS292" s="44"/>
      <c r="LT292" s="44"/>
      <c r="LU292" s="44"/>
      <c r="LV292" s="44"/>
    </row>
    <row r="293" spans="1:334" x14ac:dyDescent="0.2">
      <c r="A293" s="1" t="s">
        <v>8728</v>
      </c>
      <c r="B293" s="1" t="s">
        <v>2954</v>
      </c>
      <c r="D293" s="1" t="s">
        <v>8638</v>
      </c>
      <c r="E293" s="1" t="s">
        <v>7966</v>
      </c>
      <c r="F293" s="1" t="s">
        <v>688</v>
      </c>
      <c r="H293" s="1" t="s">
        <v>8729</v>
      </c>
      <c r="K293" s="1">
        <v>2016</v>
      </c>
      <c r="L293" s="1" t="s">
        <v>8701</v>
      </c>
      <c r="M293" s="1" t="s">
        <v>7657</v>
      </c>
      <c r="N293" s="17" t="s">
        <v>7945</v>
      </c>
      <c r="O293" s="33"/>
      <c r="P293" s="33"/>
      <c r="Q293" s="33"/>
      <c r="R293" s="33"/>
      <c r="S293" s="33">
        <v>10.3</v>
      </c>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c r="CD293" s="33"/>
      <c r="CE293" s="33"/>
      <c r="CF293" s="33"/>
      <c r="CG293" s="33"/>
      <c r="CH293" s="33"/>
      <c r="CI293" s="33"/>
      <c r="CJ293" s="33"/>
      <c r="CK293" s="33"/>
      <c r="CL293" s="33"/>
      <c r="CM293" s="33"/>
      <c r="CN293" s="33"/>
      <c r="CO293" s="33"/>
      <c r="CP293" s="33"/>
      <c r="CQ293" s="33"/>
      <c r="CR293" s="33"/>
      <c r="CS293" s="33"/>
      <c r="CT293" s="33"/>
      <c r="CU293" s="33"/>
      <c r="CV293" s="33"/>
      <c r="CW293" s="33"/>
      <c r="CX293" s="33"/>
      <c r="CY293" s="33"/>
      <c r="CZ293" s="33"/>
      <c r="DA293" s="33"/>
      <c r="DB293" s="33"/>
      <c r="DC293" s="33"/>
      <c r="DD293" s="33"/>
      <c r="DE293" s="33"/>
      <c r="DF293" s="33"/>
      <c r="DG293" s="33"/>
      <c r="DH293" s="33"/>
      <c r="DI293" s="33"/>
      <c r="DJ293" s="33"/>
      <c r="DK293" s="33"/>
      <c r="DL293" s="33"/>
      <c r="DM293" s="33"/>
      <c r="DN293" s="33"/>
      <c r="DO293" s="33"/>
      <c r="DP293" s="33"/>
      <c r="DQ293" s="33"/>
      <c r="DR293" s="33"/>
      <c r="DS293" s="33"/>
      <c r="DT293" s="33"/>
      <c r="DU293" s="33"/>
      <c r="DV293" s="33"/>
      <c r="DW293" s="33"/>
      <c r="DX293" s="33"/>
      <c r="DY293" s="33"/>
      <c r="DZ293" s="33"/>
      <c r="EA293" s="33"/>
      <c r="EB293" s="33"/>
      <c r="EC293" s="33"/>
      <c r="ED293" s="33"/>
      <c r="EE293" s="33"/>
      <c r="EF293" s="33"/>
      <c r="EG293" s="33"/>
      <c r="EH293" s="33"/>
      <c r="EI293" s="33"/>
      <c r="EJ293" s="33"/>
      <c r="EK293" s="33"/>
      <c r="EL293" s="33"/>
      <c r="EM293" s="33"/>
      <c r="EN293" s="33"/>
      <c r="EO293" s="33"/>
      <c r="EP293" s="33"/>
      <c r="EQ293" s="33"/>
      <c r="ER293" s="33"/>
      <c r="ES293" s="33"/>
      <c r="ET293" s="33"/>
      <c r="EU293" s="33"/>
      <c r="EV293" s="33"/>
      <c r="EW293" s="33"/>
      <c r="EX293" s="33"/>
      <c r="EY293" s="33"/>
      <c r="EZ293" s="33"/>
      <c r="FA293" s="33"/>
      <c r="FB293" s="33"/>
      <c r="FC293" s="33"/>
      <c r="FD293" s="33"/>
      <c r="FE293" s="33"/>
      <c r="FF293" s="33"/>
      <c r="FG293" s="33"/>
      <c r="FH293" s="33"/>
      <c r="FI293" s="33"/>
      <c r="FJ293" s="33"/>
      <c r="FK293" s="33"/>
      <c r="FL293" s="33"/>
      <c r="FM293" s="33"/>
      <c r="FN293" s="33"/>
      <c r="FO293" s="33"/>
      <c r="FP293" s="33"/>
      <c r="FQ293" s="33"/>
      <c r="FR293" s="33"/>
      <c r="FS293" s="33"/>
      <c r="FT293" s="33"/>
      <c r="FU293" s="33"/>
      <c r="FV293" s="33"/>
      <c r="FW293" s="33"/>
      <c r="FX293" s="33"/>
      <c r="FY293" s="33"/>
      <c r="FZ293" s="33"/>
      <c r="GA293" s="33">
        <v>5.4716999999999993</v>
      </c>
      <c r="GB293" s="33"/>
      <c r="GC293" s="33"/>
      <c r="GD293" s="33">
        <v>0.87000029999999995</v>
      </c>
      <c r="GE293" s="33">
        <v>1.9041515999999996</v>
      </c>
      <c r="GF293" s="33">
        <v>2.6975480999999997</v>
      </c>
      <c r="GG293" s="33"/>
      <c r="GH293" s="33"/>
      <c r="GI293" s="33"/>
      <c r="GJ293" s="33"/>
      <c r="GK293" s="33"/>
      <c r="GL293" s="33"/>
      <c r="GM293" s="33"/>
      <c r="GN293" s="33"/>
      <c r="GO293" s="33"/>
      <c r="GP293" s="33"/>
      <c r="GQ293" s="33"/>
      <c r="GR293" s="33"/>
      <c r="GS293" s="33"/>
      <c r="GT293" s="33"/>
      <c r="GU293" s="33"/>
      <c r="GV293" s="33"/>
      <c r="GW293" s="33"/>
      <c r="GX293" s="33">
        <v>0.65113229999999989</v>
      </c>
      <c r="GY293" s="33"/>
      <c r="GZ293" s="33">
        <v>0.22433969999999995</v>
      </c>
      <c r="HA293" s="33"/>
      <c r="HB293" s="33"/>
      <c r="HC293" s="33"/>
      <c r="HD293" s="33"/>
      <c r="HE293" s="33"/>
      <c r="HF293" s="33"/>
      <c r="HG293" s="33"/>
      <c r="HH293" s="33"/>
      <c r="HI293" s="33"/>
      <c r="HJ293" s="33"/>
      <c r="HK293" s="33"/>
      <c r="HL293" s="33"/>
      <c r="HM293" s="33"/>
      <c r="HN293" s="33"/>
      <c r="HO293" s="33"/>
      <c r="HP293" s="33"/>
      <c r="HQ293" s="33"/>
      <c r="HR293" s="33">
        <v>1.9041515999999996</v>
      </c>
      <c r="HS293" s="33"/>
      <c r="HT293" s="33"/>
      <c r="HU293" s="33"/>
      <c r="HV293" s="33"/>
      <c r="HW293" s="33"/>
      <c r="HX293" s="33"/>
      <c r="HY293" s="33"/>
      <c r="HZ293" s="33"/>
      <c r="IA293" s="33"/>
      <c r="IB293" s="33"/>
      <c r="IC293" s="33"/>
      <c r="ID293" s="33"/>
      <c r="IE293" s="33"/>
      <c r="IF293" s="33"/>
      <c r="IG293" s="33"/>
      <c r="IH293" s="33"/>
      <c r="II293" s="33"/>
      <c r="IJ293" s="33"/>
      <c r="IK293" s="33"/>
      <c r="IL293" s="33"/>
      <c r="IM293" s="33"/>
      <c r="IN293" s="33"/>
      <c r="IO293" s="33"/>
      <c r="IP293" s="33"/>
      <c r="IQ293" s="33"/>
      <c r="IR293" s="33"/>
      <c r="IS293" s="33">
        <v>2.5662272999999995</v>
      </c>
      <c r="IT293" s="33"/>
      <c r="IU293" s="33"/>
      <c r="IV293" s="33"/>
      <c r="IW293" s="33"/>
      <c r="IX293" s="33"/>
      <c r="IY293" s="33"/>
      <c r="IZ293" s="33"/>
      <c r="JA293" s="33"/>
      <c r="JB293" s="33">
        <v>0.13132079999999999</v>
      </c>
      <c r="JC293" s="33"/>
      <c r="JD293" s="33"/>
      <c r="JE293" s="33"/>
      <c r="JF293" s="33"/>
      <c r="JG293" s="33"/>
      <c r="JH293" s="33"/>
      <c r="JI293" s="33"/>
      <c r="JJ293" s="33"/>
      <c r="JK293" s="33"/>
      <c r="JL293" s="33"/>
      <c r="JM293" s="33"/>
      <c r="JN293" s="33"/>
      <c r="JO293" s="33"/>
      <c r="JP293" s="33"/>
      <c r="JQ293" s="33"/>
      <c r="JR293" s="33"/>
      <c r="KZ293" s="33"/>
      <c r="LA293" s="33"/>
      <c r="LB293" s="33"/>
      <c r="LC293" s="33"/>
      <c r="LD293" s="33"/>
      <c r="LE293" s="33"/>
      <c r="LF293" s="33"/>
      <c r="LG293" s="33"/>
      <c r="LH293" s="33"/>
      <c r="LI293" s="33"/>
      <c r="LJ293" s="33"/>
      <c r="LK293" s="33"/>
      <c r="LL293" s="33"/>
      <c r="LM293" s="33"/>
      <c r="LN293" s="33"/>
      <c r="LO293" s="33"/>
      <c r="LP293" s="44"/>
      <c r="LQ293" s="44"/>
      <c r="LR293" s="44"/>
      <c r="LS293" s="44"/>
      <c r="LT293" s="44"/>
      <c r="LU293" s="44"/>
      <c r="LV293" s="44"/>
    </row>
    <row r="294" spans="1:334" x14ac:dyDescent="0.2">
      <c r="A294" s="1" t="s">
        <v>8730</v>
      </c>
      <c r="B294" s="1" t="s">
        <v>237</v>
      </c>
      <c r="D294" s="1" t="s">
        <v>8731</v>
      </c>
      <c r="E294" s="1" t="s">
        <v>7966</v>
      </c>
      <c r="F294" s="1" t="s">
        <v>8732</v>
      </c>
      <c r="H294" s="1" t="s">
        <v>8733</v>
      </c>
      <c r="K294" s="1">
        <v>2016</v>
      </c>
      <c r="L294" s="1" t="s">
        <v>8701</v>
      </c>
      <c r="M294" s="1" t="s">
        <v>7657</v>
      </c>
      <c r="N294" s="17" t="s">
        <v>7945</v>
      </c>
      <c r="O294" s="33"/>
      <c r="P294" s="33"/>
      <c r="Q294" s="33"/>
      <c r="R294" s="33"/>
      <c r="S294" s="33">
        <v>9.5</v>
      </c>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c r="CM294" s="33"/>
      <c r="CN294" s="33"/>
      <c r="CO294" s="33"/>
      <c r="CP294" s="33"/>
      <c r="CQ294" s="33"/>
      <c r="CR294" s="33"/>
      <c r="CS294" s="33"/>
      <c r="CT294" s="33"/>
      <c r="CU294" s="33"/>
      <c r="CV294" s="33"/>
      <c r="CW294" s="33"/>
      <c r="CX294" s="33"/>
      <c r="CY294" s="33"/>
      <c r="CZ294" s="33"/>
      <c r="DA294" s="33"/>
      <c r="DB294" s="33"/>
      <c r="DC294" s="33"/>
      <c r="DD294" s="33"/>
      <c r="DE294" s="33"/>
      <c r="DF294" s="33"/>
      <c r="DG294" s="33"/>
      <c r="DH294" s="33"/>
      <c r="DI294" s="33"/>
      <c r="DJ294" s="33"/>
      <c r="DK294" s="33"/>
      <c r="DL294" s="33"/>
      <c r="DM294" s="33"/>
      <c r="DN294" s="33"/>
      <c r="DO294" s="33"/>
      <c r="DP294" s="33"/>
      <c r="DQ294" s="33"/>
      <c r="DR294" s="33"/>
      <c r="DS294" s="33"/>
      <c r="DT294" s="33"/>
      <c r="DU294" s="33"/>
      <c r="DV294" s="33"/>
      <c r="DW294" s="33"/>
      <c r="DX294" s="33"/>
      <c r="DY294" s="33"/>
      <c r="DZ294" s="33"/>
      <c r="EA294" s="33"/>
      <c r="EB294" s="33"/>
      <c r="EC294" s="33"/>
      <c r="ED294" s="33"/>
      <c r="EE294" s="33"/>
      <c r="EF294" s="33"/>
      <c r="EG294" s="33"/>
      <c r="EH294" s="33"/>
      <c r="EI294" s="33"/>
      <c r="EJ294" s="33"/>
      <c r="EK294" s="33"/>
      <c r="EL294" s="33"/>
      <c r="EM294" s="33"/>
      <c r="EN294" s="33"/>
      <c r="EO294" s="33"/>
      <c r="EP294" s="33"/>
      <c r="EQ294" s="33"/>
      <c r="ER294" s="33"/>
      <c r="ES294" s="33"/>
      <c r="ET294" s="33"/>
      <c r="EU294" s="33"/>
      <c r="EV294" s="33"/>
      <c r="EW294" s="33"/>
      <c r="EX294" s="33"/>
      <c r="EY294" s="33"/>
      <c r="EZ294" s="33"/>
      <c r="FA294" s="33"/>
      <c r="FB294" s="33"/>
      <c r="FC294" s="33"/>
      <c r="FD294" s="33"/>
      <c r="FE294" s="33"/>
      <c r="FF294" s="33"/>
      <c r="FG294" s="33"/>
      <c r="FH294" s="33"/>
      <c r="FI294" s="33"/>
      <c r="FJ294" s="33"/>
      <c r="FK294" s="33"/>
      <c r="FL294" s="33"/>
      <c r="FM294" s="33"/>
      <c r="FN294" s="33"/>
      <c r="FO294" s="33"/>
      <c r="FP294" s="33"/>
      <c r="FQ294" s="33"/>
      <c r="FR294" s="33"/>
      <c r="FS294" s="33"/>
      <c r="FT294" s="33"/>
      <c r="FU294" s="33"/>
      <c r="FV294" s="33"/>
      <c r="FW294" s="33"/>
      <c r="FX294" s="33"/>
      <c r="FY294" s="33"/>
      <c r="FZ294" s="33"/>
      <c r="GA294" s="33">
        <v>17.919</v>
      </c>
      <c r="GB294" s="33"/>
      <c r="GC294" s="33"/>
      <c r="GD294" s="33">
        <v>2.9924729999999999</v>
      </c>
      <c r="GE294" s="33">
        <v>4.0496940000000006</v>
      </c>
      <c r="GF294" s="33">
        <v>9.4791509999999999</v>
      </c>
      <c r="GG294" s="33"/>
      <c r="GH294" s="33"/>
      <c r="GI294" s="33"/>
      <c r="GJ294" s="33"/>
      <c r="GK294" s="33"/>
      <c r="GL294" s="33"/>
      <c r="GM294" s="33"/>
      <c r="GN294" s="33"/>
      <c r="GO294" s="33"/>
      <c r="GP294" s="33"/>
      <c r="GQ294" s="33"/>
      <c r="GR294" s="33"/>
      <c r="GS294" s="33"/>
      <c r="GT294" s="33"/>
      <c r="GU294" s="33"/>
      <c r="GV294" s="33"/>
      <c r="GW294" s="33"/>
      <c r="GX294" s="33">
        <v>1.989009</v>
      </c>
      <c r="GY294" s="33"/>
      <c r="GZ294" s="33">
        <v>1.0034640000000001</v>
      </c>
      <c r="HA294" s="33"/>
      <c r="HB294" s="33"/>
      <c r="HC294" s="33"/>
      <c r="HD294" s="33"/>
      <c r="HE294" s="33"/>
      <c r="HF294" s="33"/>
      <c r="HG294" s="33"/>
      <c r="HH294" s="33"/>
      <c r="HI294" s="33"/>
      <c r="HJ294" s="33"/>
      <c r="HK294" s="33"/>
      <c r="HL294" s="33"/>
      <c r="HM294" s="33"/>
      <c r="HN294" s="33"/>
      <c r="HO294" s="33"/>
      <c r="HP294" s="33"/>
      <c r="HQ294" s="33"/>
      <c r="HR294" s="33">
        <v>4.0496940000000006</v>
      </c>
      <c r="HS294" s="33"/>
      <c r="HT294" s="33"/>
      <c r="HU294" s="33"/>
      <c r="HV294" s="33"/>
      <c r="HW294" s="33"/>
      <c r="HX294" s="33"/>
      <c r="HY294" s="33"/>
      <c r="HZ294" s="33"/>
      <c r="IA294" s="33"/>
      <c r="IB294" s="33"/>
      <c r="IC294" s="33"/>
      <c r="ID294" s="33"/>
      <c r="IE294" s="33"/>
      <c r="IF294" s="33"/>
      <c r="IG294" s="33"/>
      <c r="IH294" s="33"/>
      <c r="II294" s="33"/>
      <c r="IJ294" s="33"/>
      <c r="IK294" s="33"/>
      <c r="IL294" s="33"/>
      <c r="IM294" s="33"/>
      <c r="IN294" s="33"/>
      <c r="IO294" s="33"/>
      <c r="IP294" s="33"/>
      <c r="IQ294" s="33"/>
      <c r="IR294" s="33"/>
      <c r="IS294" s="33">
        <v>8.4577680000000015</v>
      </c>
      <c r="IT294" s="33"/>
      <c r="IU294" s="33"/>
      <c r="IV294" s="33"/>
      <c r="IW294" s="33"/>
      <c r="IX294" s="33"/>
      <c r="IY294" s="33"/>
      <c r="IZ294" s="33"/>
      <c r="JA294" s="33"/>
      <c r="JB294" s="33">
        <v>1.0213829999999999</v>
      </c>
      <c r="JC294" s="33"/>
      <c r="JD294" s="33"/>
      <c r="JE294" s="33"/>
      <c r="JF294" s="33"/>
      <c r="JG294" s="33"/>
      <c r="JH294" s="33"/>
      <c r="JI294" s="33"/>
      <c r="JJ294" s="33"/>
      <c r="JK294" s="33"/>
      <c r="JL294" s="33"/>
      <c r="JM294" s="33"/>
      <c r="JN294" s="33"/>
      <c r="JO294" s="33"/>
      <c r="JP294" s="33"/>
      <c r="JQ294" s="33"/>
      <c r="JR294" s="33"/>
      <c r="KZ294" s="33"/>
      <c r="LA294" s="33"/>
      <c r="LB294" s="33"/>
      <c r="LC294" s="33"/>
      <c r="LD294" s="33"/>
      <c r="LE294" s="33"/>
      <c r="LF294" s="33"/>
      <c r="LG294" s="33"/>
      <c r="LH294" s="33"/>
      <c r="LI294" s="33"/>
      <c r="LJ294" s="33"/>
      <c r="LK294" s="33"/>
      <c r="LL294" s="33"/>
      <c r="LM294" s="33"/>
      <c r="LN294" s="33"/>
      <c r="LO294" s="33"/>
      <c r="LP294" s="44"/>
      <c r="LQ294" s="44"/>
      <c r="LR294" s="44"/>
      <c r="LS294" s="44"/>
      <c r="LT294" s="44"/>
      <c r="LU294" s="44"/>
      <c r="LV294" s="44"/>
    </row>
    <row r="295" spans="1:334" x14ac:dyDescent="0.2">
      <c r="A295" s="1" t="s">
        <v>8734</v>
      </c>
      <c r="B295" s="1" t="s">
        <v>2954</v>
      </c>
      <c r="D295" s="1" t="s">
        <v>8735</v>
      </c>
      <c r="E295" s="1" t="s">
        <v>7966</v>
      </c>
      <c r="F295" s="1" t="s">
        <v>8736</v>
      </c>
      <c r="H295" s="1" t="s">
        <v>8737</v>
      </c>
      <c r="K295" s="1">
        <v>2016</v>
      </c>
      <c r="L295" s="1" t="s">
        <v>8701</v>
      </c>
      <c r="M295" s="1" t="s">
        <v>7657</v>
      </c>
      <c r="N295" s="17" t="s">
        <v>7945</v>
      </c>
      <c r="O295" s="33"/>
      <c r="P295" s="33"/>
      <c r="Q295" s="33"/>
      <c r="R295" s="33"/>
      <c r="S295" s="33">
        <v>10.199999999999999</v>
      </c>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33"/>
      <c r="CM295" s="33"/>
      <c r="CN295" s="33"/>
      <c r="CO295" s="33"/>
      <c r="CP295" s="33"/>
      <c r="CQ295" s="33"/>
      <c r="CR295" s="33"/>
      <c r="CS295" s="33"/>
      <c r="CT295" s="33"/>
      <c r="CU295" s="33"/>
      <c r="CV295" s="33"/>
      <c r="CW295" s="33"/>
      <c r="CX295" s="33"/>
      <c r="CY295" s="33"/>
      <c r="CZ295" s="33"/>
      <c r="DA295" s="33"/>
      <c r="DB295" s="33"/>
      <c r="DC295" s="33"/>
      <c r="DD295" s="33"/>
      <c r="DE295" s="33"/>
      <c r="DF295" s="33"/>
      <c r="DG295" s="33"/>
      <c r="DH295" s="33"/>
      <c r="DI295" s="33"/>
      <c r="DJ295" s="33"/>
      <c r="DK295" s="33"/>
      <c r="DL295" s="33"/>
      <c r="DM295" s="33"/>
      <c r="DN295" s="33"/>
      <c r="DO295" s="33"/>
      <c r="DP295" s="33"/>
      <c r="DQ295" s="33"/>
      <c r="DR295" s="33"/>
      <c r="DS295" s="33"/>
      <c r="DT295" s="33"/>
      <c r="DU295" s="33"/>
      <c r="DV295" s="33"/>
      <c r="DW295" s="33"/>
      <c r="DX295" s="33"/>
      <c r="DY295" s="33"/>
      <c r="DZ295" s="33"/>
      <c r="EA295" s="33"/>
      <c r="EB295" s="33"/>
      <c r="EC295" s="33"/>
      <c r="ED295" s="33"/>
      <c r="EE295" s="33"/>
      <c r="EF295" s="33"/>
      <c r="EG295" s="33"/>
      <c r="EH295" s="33"/>
      <c r="EI295" s="33"/>
      <c r="EJ295" s="33"/>
      <c r="EK295" s="33"/>
      <c r="EL295" s="33"/>
      <c r="EM295" s="33"/>
      <c r="EN295" s="33"/>
      <c r="EO295" s="33"/>
      <c r="EP295" s="33"/>
      <c r="EQ295" s="33"/>
      <c r="ER295" s="33"/>
      <c r="ES295" s="33"/>
      <c r="ET295" s="33"/>
      <c r="EU295" s="33"/>
      <c r="EV295" s="33"/>
      <c r="EW295" s="33"/>
      <c r="EX295" s="33"/>
      <c r="EY295" s="33"/>
      <c r="EZ295" s="33"/>
      <c r="FA295" s="33"/>
      <c r="FB295" s="33"/>
      <c r="FC295" s="33"/>
      <c r="FD295" s="33"/>
      <c r="FE295" s="33"/>
      <c r="FF295" s="33"/>
      <c r="FG295" s="33"/>
      <c r="FH295" s="33"/>
      <c r="FI295" s="33"/>
      <c r="FJ295" s="33"/>
      <c r="FK295" s="33"/>
      <c r="FL295" s="33"/>
      <c r="FM295" s="33"/>
      <c r="FN295" s="33"/>
      <c r="FO295" s="33"/>
      <c r="FP295" s="33"/>
      <c r="FQ295" s="33"/>
      <c r="FR295" s="33"/>
      <c r="FS295" s="33"/>
      <c r="FT295" s="33"/>
      <c r="FU295" s="33"/>
      <c r="FV295" s="33"/>
      <c r="FW295" s="33"/>
      <c r="FX295" s="33"/>
      <c r="FY295" s="33"/>
      <c r="FZ295" s="33"/>
      <c r="GA295" s="33">
        <v>2.8736000000000002</v>
      </c>
      <c r="GB295" s="33"/>
      <c r="GC295" s="33"/>
      <c r="GD295" s="33">
        <v>0.50000639999999996</v>
      </c>
      <c r="GE295" s="33">
        <v>0.93104640000000005</v>
      </c>
      <c r="GF295" s="33">
        <v>1.451168</v>
      </c>
      <c r="GG295" s="33"/>
      <c r="GH295" s="33"/>
      <c r="GI295" s="33"/>
      <c r="GJ295" s="33"/>
      <c r="GK295" s="33"/>
      <c r="GL295" s="33"/>
      <c r="GM295" s="33"/>
      <c r="GN295" s="33"/>
      <c r="GO295" s="33"/>
      <c r="GP295" s="33"/>
      <c r="GQ295" s="33"/>
      <c r="GR295" s="33"/>
      <c r="GS295" s="33"/>
      <c r="GT295" s="33"/>
      <c r="GU295" s="33"/>
      <c r="GV295" s="33"/>
      <c r="GW295" s="33"/>
      <c r="GX295" s="33">
        <v>0.42241919999999999</v>
      </c>
      <c r="GY295" s="33"/>
      <c r="GZ295" s="33">
        <v>8.0460799999999999E-2</v>
      </c>
      <c r="HA295" s="33"/>
      <c r="HB295" s="33"/>
      <c r="HC295" s="33"/>
      <c r="HD295" s="33"/>
      <c r="HE295" s="33"/>
      <c r="HF295" s="33"/>
      <c r="HG295" s="33"/>
      <c r="HH295" s="33"/>
      <c r="HI295" s="33"/>
      <c r="HJ295" s="33"/>
      <c r="HK295" s="33"/>
      <c r="HL295" s="33"/>
      <c r="HM295" s="33"/>
      <c r="HN295" s="33"/>
      <c r="HO295" s="33"/>
      <c r="HP295" s="33"/>
      <c r="HQ295" s="33"/>
      <c r="HR295" s="33">
        <v>0.93104640000000005</v>
      </c>
      <c r="HS295" s="33"/>
      <c r="HT295" s="33"/>
      <c r="HU295" s="33"/>
      <c r="HV295" s="33"/>
      <c r="HW295" s="33"/>
      <c r="HX295" s="33"/>
      <c r="HY295" s="33"/>
      <c r="HZ295" s="33"/>
      <c r="IA295" s="33"/>
      <c r="IB295" s="33"/>
      <c r="IC295" s="33"/>
      <c r="ID295" s="33"/>
      <c r="IE295" s="33"/>
      <c r="IF295" s="33"/>
      <c r="IG295" s="33"/>
      <c r="IH295" s="33"/>
      <c r="II295" s="33"/>
      <c r="IJ295" s="33"/>
      <c r="IK295" s="33"/>
      <c r="IL295" s="33"/>
      <c r="IM295" s="33"/>
      <c r="IN295" s="33"/>
      <c r="IO295" s="33"/>
      <c r="IP295" s="33"/>
      <c r="IQ295" s="33"/>
      <c r="IR295" s="33"/>
      <c r="IS295" s="33">
        <v>1.3534656</v>
      </c>
      <c r="IT295" s="33"/>
      <c r="IU295" s="33"/>
      <c r="IV295" s="33"/>
      <c r="IW295" s="33"/>
      <c r="IX295" s="33"/>
      <c r="IY295" s="33"/>
      <c r="IZ295" s="33"/>
      <c r="JA295" s="33"/>
      <c r="JB295" s="33">
        <v>9.7702400000000009E-2</v>
      </c>
      <c r="JC295" s="33"/>
      <c r="JD295" s="33"/>
      <c r="JE295" s="33"/>
      <c r="JF295" s="33"/>
      <c r="JG295" s="33"/>
      <c r="JH295" s="33"/>
      <c r="JI295" s="33"/>
      <c r="JJ295" s="33"/>
      <c r="JK295" s="33"/>
      <c r="JL295" s="33"/>
      <c r="JM295" s="33"/>
      <c r="JN295" s="33"/>
      <c r="JO295" s="33"/>
      <c r="JP295" s="33"/>
      <c r="JQ295" s="33"/>
      <c r="JR295" s="33"/>
      <c r="KZ295" s="33"/>
      <c r="LA295" s="33"/>
      <c r="LB295" s="33"/>
      <c r="LC295" s="33"/>
      <c r="LD295" s="33"/>
      <c r="LE295" s="33"/>
      <c r="LF295" s="33"/>
      <c r="LG295" s="33"/>
      <c r="LH295" s="33"/>
      <c r="LI295" s="33"/>
      <c r="LJ295" s="33"/>
      <c r="LK295" s="33"/>
      <c r="LL295" s="33"/>
      <c r="LM295" s="33"/>
      <c r="LN295" s="33"/>
      <c r="LO295" s="33"/>
      <c r="LP295" s="44"/>
      <c r="LQ295" s="44"/>
      <c r="LR295" s="44"/>
      <c r="LS295" s="44"/>
      <c r="LT295" s="44"/>
      <c r="LU295" s="44"/>
      <c r="LV295" s="44"/>
    </row>
    <row r="296" spans="1:334" x14ac:dyDescent="0.2">
      <c r="A296" s="1" t="s">
        <v>8738</v>
      </c>
      <c r="B296" s="1" t="s">
        <v>8739</v>
      </c>
      <c r="D296" s="1" t="s">
        <v>8735</v>
      </c>
      <c r="E296" s="1" t="s">
        <v>7966</v>
      </c>
      <c r="F296" s="1" t="s">
        <v>8021</v>
      </c>
      <c r="H296" s="1" t="s">
        <v>8740</v>
      </c>
      <c r="K296" s="1">
        <v>2016</v>
      </c>
      <c r="L296" s="1" t="s">
        <v>8701</v>
      </c>
      <c r="M296" s="1" t="s">
        <v>7657</v>
      </c>
      <c r="N296" s="17" t="s">
        <v>7945</v>
      </c>
      <c r="O296" s="33"/>
      <c r="P296" s="33"/>
      <c r="Q296" s="33"/>
      <c r="R296" s="33"/>
      <c r="S296" s="33">
        <v>11.3</v>
      </c>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33"/>
      <c r="CM296" s="33"/>
      <c r="CN296" s="33"/>
      <c r="CO296" s="33"/>
      <c r="CP296" s="33"/>
      <c r="CQ296" s="33"/>
      <c r="CR296" s="33"/>
      <c r="CS296" s="33"/>
      <c r="CT296" s="33"/>
      <c r="CU296" s="33"/>
      <c r="CV296" s="33"/>
      <c r="CW296" s="33"/>
      <c r="CX296" s="33"/>
      <c r="CY296" s="33"/>
      <c r="CZ296" s="33"/>
      <c r="DA296" s="33"/>
      <c r="DB296" s="33"/>
      <c r="DC296" s="33"/>
      <c r="DD296" s="33"/>
      <c r="DE296" s="33"/>
      <c r="DF296" s="33"/>
      <c r="DG296" s="33"/>
      <c r="DH296" s="33"/>
      <c r="DI296" s="33"/>
      <c r="DJ296" s="33"/>
      <c r="DK296" s="33"/>
      <c r="DL296" s="33"/>
      <c r="DM296" s="33"/>
      <c r="DN296" s="33"/>
      <c r="DO296" s="33"/>
      <c r="DP296" s="33"/>
      <c r="DQ296" s="33"/>
      <c r="DR296" s="33"/>
      <c r="DS296" s="33"/>
      <c r="DT296" s="33"/>
      <c r="DU296" s="33"/>
      <c r="DV296" s="33"/>
      <c r="DW296" s="33"/>
      <c r="DX296" s="33"/>
      <c r="DY296" s="33"/>
      <c r="DZ296" s="33"/>
      <c r="EA296" s="33"/>
      <c r="EB296" s="33"/>
      <c r="EC296" s="33"/>
      <c r="ED296" s="33"/>
      <c r="EE296" s="33"/>
      <c r="EF296" s="33"/>
      <c r="EG296" s="33"/>
      <c r="EH296" s="33"/>
      <c r="EI296" s="33"/>
      <c r="EJ296" s="33"/>
      <c r="EK296" s="33"/>
      <c r="EL296" s="33"/>
      <c r="EM296" s="33"/>
      <c r="EN296" s="33"/>
      <c r="EO296" s="33"/>
      <c r="EP296" s="33"/>
      <c r="EQ296" s="33"/>
      <c r="ER296" s="33"/>
      <c r="ES296" s="33"/>
      <c r="ET296" s="33"/>
      <c r="EU296" s="33"/>
      <c r="EV296" s="33"/>
      <c r="EW296" s="33"/>
      <c r="EX296" s="33"/>
      <c r="EY296" s="33"/>
      <c r="EZ296" s="33"/>
      <c r="FA296" s="33"/>
      <c r="FB296" s="33"/>
      <c r="FC296" s="33"/>
      <c r="FD296" s="33"/>
      <c r="FE296" s="33"/>
      <c r="FF296" s="33"/>
      <c r="FG296" s="33"/>
      <c r="FH296" s="33"/>
      <c r="FI296" s="33"/>
      <c r="FJ296" s="33"/>
      <c r="FK296" s="33"/>
      <c r="FL296" s="33"/>
      <c r="FM296" s="33"/>
      <c r="FN296" s="33"/>
      <c r="FO296" s="33"/>
      <c r="FP296" s="33"/>
      <c r="FQ296" s="33"/>
      <c r="FR296" s="33"/>
      <c r="FS296" s="33"/>
      <c r="FT296" s="33"/>
      <c r="FU296" s="33"/>
      <c r="FV296" s="33"/>
      <c r="FW296" s="33"/>
      <c r="FX296" s="33"/>
      <c r="FY296" s="33"/>
      <c r="FZ296" s="33"/>
      <c r="GA296" s="33">
        <v>2.7497000000000003</v>
      </c>
      <c r="GB296" s="33"/>
      <c r="GC296" s="33"/>
      <c r="GD296" s="33">
        <v>0.46469929999999998</v>
      </c>
      <c r="GE296" s="33">
        <v>0.6929244</v>
      </c>
      <c r="GF296" s="33">
        <v>1.2566129000000001</v>
      </c>
      <c r="GG296" s="33"/>
      <c r="GH296" s="33"/>
      <c r="GI296" s="33"/>
      <c r="GJ296" s="33"/>
      <c r="GK296" s="33"/>
      <c r="GL296" s="33"/>
      <c r="GM296" s="33"/>
      <c r="GN296" s="33"/>
      <c r="GO296" s="33"/>
      <c r="GP296" s="33"/>
      <c r="GQ296" s="33"/>
      <c r="GR296" s="33"/>
      <c r="GS296" s="33"/>
      <c r="GT296" s="33"/>
      <c r="GU296" s="33"/>
      <c r="GV296" s="33"/>
      <c r="GW296" s="33"/>
      <c r="GX296" s="33">
        <v>0.38495800000000002</v>
      </c>
      <c r="GY296" s="33"/>
      <c r="GZ296" s="33">
        <v>7.9741300000000001E-2</v>
      </c>
      <c r="HA296" s="33"/>
      <c r="HB296" s="33"/>
      <c r="HC296" s="33"/>
      <c r="HD296" s="33"/>
      <c r="HE296" s="33"/>
      <c r="HF296" s="33"/>
      <c r="HG296" s="33"/>
      <c r="HH296" s="33"/>
      <c r="HI296" s="33"/>
      <c r="HJ296" s="33"/>
      <c r="HK296" s="33"/>
      <c r="HL296" s="33"/>
      <c r="HM296" s="33"/>
      <c r="HN296" s="33"/>
      <c r="HO296" s="33"/>
      <c r="HP296" s="33"/>
      <c r="HQ296" s="33"/>
      <c r="HR296" s="33">
        <v>0.6929244</v>
      </c>
      <c r="HS296" s="33"/>
      <c r="HT296" s="33"/>
      <c r="HU296" s="33"/>
      <c r="HV296" s="33"/>
      <c r="HW296" s="33"/>
      <c r="HX296" s="33"/>
      <c r="HY296" s="33"/>
      <c r="HZ296" s="33"/>
      <c r="IA296" s="33"/>
      <c r="IB296" s="33"/>
      <c r="IC296" s="33"/>
      <c r="ID296" s="33"/>
      <c r="IE296" s="33"/>
      <c r="IF296" s="33"/>
      <c r="IG296" s="33"/>
      <c r="IH296" s="33"/>
      <c r="II296" s="33"/>
      <c r="IJ296" s="33"/>
      <c r="IK296" s="33"/>
      <c r="IL296" s="33"/>
      <c r="IM296" s="33"/>
      <c r="IN296" s="33"/>
      <c r="IO296" s="33"/>
      <c r="IP296" s="33"/>
      <c r="IQ296" s="33"/>
      <c r="IR296" s="33"/>
      <c r="IS296" s="33">
        <v>1.1796213</v>
      </c>
      <c r="IT296" s="33"/>
      <c r="IU296" s="33"/>
      <c r="IV296" s="33"/>
      <c r="IW296" s="33"/>
      <c r="IX296" s="33"/>
      <c r="IY296" s="33"/>
      <c r="IZ296" s="33"/>
      <c r="JA296" s="33"/>
      <c r="JB296" s="33">
        <v>7.6991599999999993E-2</v>
      </c>
      <c r="JC296" s="33"/>
      <c r="JD296" s="33"/>
      <c r="JE296" s="33"/>
      <c r="JF296" s="33"/>
      <c r="JG296" s="33"/>
      <c r="JH296" s="33"/>
      <c r="JI296" s="33"/>
      <c r="JJ296" s="33"/>
      <c r="JK296" s="33"/>
      <c r="JL296" s="33"/>
      <c r="JM296" s="33"/>
      <c r="JN296" s="33"/>
      <c r="JO296" s="33"/>
      <c r="JP296" s="33"/>
      <c r="JQ296" s="33"/>
      <c r="JR296" s="33"/>
      <c r="KZ296" s="33"/>
      <c r="LA296" s="33"/>
      <c r="LB296" s="33"/>
      <c r="LC296" s="33"/>
      <c r="LD296" s="33"/>
      <c r="LE296" s="33"/>
      <c r="LF296" s="33"/>
      <c r="LG296" s="33"/>
      <c r="LH296" s="33"/>
      <c r="LI296" s="33"/>
      <c r="LJ296" s="33"/>
      <c r="LK296" s="33"/>
      <c r="LL296" s="33"/>
      <c r="LM296" s="33"/>
      <c r="LN296" s="33"/>
      <c r="LO296" s="33"/>
      <c r="LP296" s="44"/>
      <c r="LQ296" s="44"/>
      <c r="LR296" s="44"/>
      <c r="LS296" s="44"/>
      <c r="LT296" s="44"/>
      <c r="LU296" s="44"/>
      <c r="LV296" s="44"/>
    </row>
    <row r="297" spans="1:334" x14ac:dyDescent="0.2">
      <c r="A297" s="1" t="s">
        <v>8741</v>
      </c>
      <c r="B297" s="1" t="s">
        <v>237</v>
      </c>
      <c r="D297" s="1" t="s">
        <v>8742</v>
      </c>
      <c r="E297" s="1" t="s">
        <v>7966</v>
      </c>
      <c r="F297" s="1" t="s">
        <v>6263</v>
      </c>
      <c r="H297" s="1" t="s">
        <v>8743</v>
      </c>
      <c r="K297" s="1">
        <v>2016</v>
      </c>
      <c r="L297" s="1" t="s">
        <v>8701</v>
      </c>
      <c r="M297" s="1" t="s">
        <v>7657</v>
      </c>
      <c r="N297" s="17" t="s">
        <v>7945</v>
      </c>
      <c r="O297" s="33"/>
      <c r="P297" s="33"/>
      <c r="Q297" s="33"/>
      <c r="R297" s="33"/>
      <c r="S297" s="33">
        <v>10.3</v>
      </c>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33"/>
      <c r="CM297" s="33"/>
      <c r="CN297" s="33"/>
      <c r="CO297" s="33"/>
      <c r="CP297" s="33"/>
      <c r="CQ297" s="33"/>
      <c r="CR297" s="33"/>
      <c r="CS297" s="33"/>
      <c r="CT297" s="33"/>
      <c r="CU297" s="33"/>
      <c r="CV297" s="33"/>
      <c r="CW297" s="33"/>
      <c r="CX297" s="33"/>
      <c r="CY297" s="33"/>
      <c r="CZ297" s="33"/>
      <c r="DA297" s="33"/>
      <c r="DB297" s="33"/>
      <c r="DC297" s="33"/>
      <c r="DD297" s="33"/>
      <c r="DE297" s="33"/>
      <c r="DF297" s="33"/>
      <c r="DG297" s="33"/>
      <c r="DH297" s="33"/>
      <c r="DI297" s="33"/>
      <c r="DJ297" s="33"/>
      <c r="DK297" s="33"/>
      <c r="DL297" s="33"/>
      <c r="DM297" s="33"/>
      <c r="DN297" s="33"/>
      <c r="DO297" s="33"/>
      <c r="DP297" s="33"/>
      <c r="DQ297" s="33"/>
      <c r="DR297" s="33"/>
      <c r="DS297" s="33"/>
      <c r="DT297" s="33"/>
      <c r="DU297" s="33"/>
      <c r="DV297" s="33"/>
      <c r="DW297" s="33"/>
      <c r="DX297" s="33"/>
      <c r="DY297" s="33"/>
      <c r="DZ297" s="33"/>
      <c r="EA297" s="33"/>
      <c r="EB297" s="33"/>
      <c r="EC297" s="33"/>
      <c r="ED297" s="33"/>
      <c r="EE297" s="33"/>
      <c r="EF297" s="33"/>
      <c r="EG297" s="33"/>
      <c r="EH297" s="33"/>
      <c r="EI297" s="33"/>
      <c r="EJ297" s="33"/>
      <c r="EK297" s="33"/>
      <c r="EL297" s="33"/>
      <c r="EM297" s="33"/>
      <c r="EN297" s="33"/>
      <c r="EO297" s="33"/>
      <c r="EP297" s="33"/>
      <c r="EQ297" s="33"/>
      <c r="ER297" s="33"/>
      <c r="ES297" s="33"/>
      <c r="ET297" s="33"/>
      <c r="EU297" s="33"/>
      <c r="EV297" s="33"/>
      <c r="EW297" s="33"/>
      <c r="EX297" s="33"/>
      <c r="EY297" s="33"/>
      <c r="EZ297" s="33"/>
      <c r="FA297" s="33"/>
      <c r="FB297" s="33"/>
      <c r="FC297" s="33"/>
      <c r="FD297" s="33"/>
      <c r="FE297" s="33"/>
      <c r="FF297" s="33"/>
      <c r="FG297" s="33"/>
      <c r="FH297" s="33"/>
      <c r="FI297" s="33"/>
      <c r="FJ297" s="33"/>
      <c r="FK297" s="33"/>
      <c r="FL297" s="33"/>
      <c r="FM297" s="33"/>
      <c r="FN297" s="33"/>
      <c r="FO297" s="33"/>
      <c r="FP297" s="33"/>
      <c r="FQ297" s="33"/>
      <c r="FR297" s="33"/>
      <c r="FS297" s="33"/>
      <c r="FT297" s="33"/>
      <c r="FU297" s="33"/>
      <c r="FV297" s="33"/>
      <c r="FW297" s="33"/>
      <c r="FX297" s="33"/>
      <c r="FY297" s="33"/>
      <c r="FZ297" s="33"/>
      <c r="GA297" s="33">
        <v>1.9734000000000003</v>
      </c>
      <c r="GB297" s="33"/>
      <c r="GC297" s="33"/>
      <c r="GD297" s="33">
        <v>0.45388200000000006</v>
      </c>
      <c r="GE297" s="33">
        <v>0.27627600000000002</v>
      </c>
      <c r="GF297" s="33">
        <v>1.2846834</v>
      </c>
      <c r="GG297" s="33"/>
      <c r="GH297" s="33"/>
      <c r="GI297" s="33"/>
      <c r="GJ297" s="33"/>
      <c r="GK297" s="33"/>
      <c r="GL297" s="33"/>
      <c r="GM297" s="33"/>
      <c r="GN297" s="33"/>
      <c r="GO297" s="33"/>
      <c r="GP297" s="33"/>
      <c r="GQ297" s="33"/>
      <c r="GR297" s="33"/>
      <c r="GS297" s="33"/>
      <c r="GT297" s="33"/>
      <c r="GU297" s="33"/>
      <c r="GV297" s="33"/>
      <c r="GW297" s="33"/>
      <c r="GX297" s="33">
        <v>0.36507900000000004</v>
      </c>
      <c r="GY297" s="33"/>
      <c r="GZ297" s="33">
        <v>8.6829600000000007E-2</v>
      </c>
      <c r="HA297" s="33"/>
      <c r="HB297" s="33"/>
      <c r="HC297" s="33"/>
      <c r="HD297" s="33"/>
      <c r="HE297" s="33"/>
      <c r="HF297" s="33"/>
      <c r="HG297" s="33"/>
      <c r="HH297" s="33"/>
      <c r="HI297" s="33"/>
      <c r="HJ297" s="33"/>
      <c r="HK297" s="33"/>
      <c r="HL297" s="33"/>
      <c r="HM297" s="33"/>
      <c r="HN297" s="33"/>
      <c r="HO297" s="33"/>
      <c r="HP297" s="33"/>
      <c r="HQ297" s="33"/>
      <c r="HR297" s="33">
        <v>0.27627600000000002</v>
      </c>
      <c r="HS297" s="33"/>
      <c r="HT297" s="33"/>
      <c r="HU297" s="33"/>
      <c r="HV297" s="33"/>
      <c r="HW297" s="33"/>
      <c r="HX297" s="33"/>
      <c r="HY297" s="33"/>
      <c r="HZ297" s="33"/>
      <c r="IA297" s="33"/>
      <c r="IB297" s="33"/>
      <c r="IC297" s="33"/>
      <c r="ID297" s="33"/>
      <c r="IE297" s="33"/>
      <c r="IF297" s="33"/>
      <c r="IG297" s="33"/>
      <c r="IH297" s="33"/>
      <c r="II297" s="33"/>
      <c r="IJ297" s="33"/>
      <c r="IK297" s="33"/>
      <c r="IL297" s="33"/>
      <c r="IM297" s="33"/>
      <c r="IN297" s="33"/>
      <c r="IO297" s="33"/>
      <c r="IP297" s="33"/>
      <c r="IQ297" s="33"/>
      <c r="IR297" s="33"/>
      <c r="IS297" s="33">
        <v>0.48940320000000009</v>
      </c>
      <c r="IT297" s="33"/>
      <c r="IU297" s="33"/>
      <c r="IV297" s="33"/>
      <c r="IW297" s="33"/>
      <c r="IX297" s="33"/>
      <c r="IY297" s="33"/>
      <c r="IZ297" s="33"/>
      <c r="JA297" s="33"/>
      <c r="JB297" s="33">
        <v>0.79725360000000012</v>
      </c>
      <c r="JC297" s="33"/>
      <c r="JD297" s="33"/>
      <c r="JE297" s="33"/>
      <c r="JF297" s="33"/>
      <c r="JG297" s="33"/>
      <c r="JH297" s="33"/>
      <c r="JI297" s="33"/>
      <c r="JJ297" s="33"/>
      <c r="JK297" s="33"/>
      <c r="JL297" s="33"/>
      <c r="JM297" s="33"/>
      <c r="JN297" s="33"/>
      <c r="JO297" s="33"/>
      <c r="JP297" s="33"/>
      <c r="JQ297" s="33"/>
      <c r="JR297" s="33"/>
      <c r="KZ297" s="33"/>
      <c r="LA297" s="33"/>
      <c r="LB297" s="33"/>
      <c r="LC297" s="33"/>
      <c r="LD297" s="33"/>
      <c r="LE297" s="33"/>
      <c r="LF297" s="33"/>
      <c r="LG297" s="33"/>
      <c r="LH297" s="33"/>
      <c r="LI297" s="33"/>
      <c r="LJ297" s="33"/>
      <c r="LK297" s="33"/>
      <c r="LL297" s="33"/>
      <c r="LM297" s="33"/>
      <c r="LN297" s="33"/>
      <c r="LO297" s="33"/>
      <c r="LP297" s="44"/>
      <c r="LQ297" s="44"/>
      <c r="LR297" s="44"/>
      <c r="LS297" s="44"/>
      <c r="LT297" s="44"/>
      <c r="LU297" s="44"/>
      <c r="LV297" s="44"/>
    </row>
    <row r="298" spans="1:334" x14ac:dyDescent="0.2">
      <c r="A298" s="1" t="s">
        <v>8744</v>
      </c>
      <c r="B298" s="1" t="s">
        <v>2954</v>
      </c>
      <c r="D298" s="1" t="s">
        <v>8745</v>
      </c>
      <c r="E298" s="1" t="s">
        <v>7966</v>
      </c>
      <c r="F298" s="1" t="s">
        <v>6263</v>
      </c>
      <c r="H298" s="1" t="s">
        <v>8746</v>
      </c>
      <c r="K298" s="1">
        <v>2016</v>
      </c>
      <c r="L298" s="1" t="s">
        <v>8701</v>
      </c>
      <c r="M298" s="1" t="s">
        <v>7657</v>
      </c>
      <c r="N298" s="17" t="s">
        <v>7945</v>
      </c>
      <c r="O298" s="33"/>
      <c r="P298" s="33"/>
      <c r="Q298" s="33"/>
      <c r="R298" s="33"/>
      <c r="S298" s="33">
        <v>10</v>
      </c>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33"/>
      <c r="CM298" s="33"/>
      <c r="CN298" s="33"/>
      <c r="CO298" s="33"/>
      <c r="CP298" s="33"/>
      <c r="CQ298" s="33"/>
      <c r="CR298" s="33"/>
      <c r="CS298" s="33"/>
      <c r="CT298" s="33"/>
      <c r="CU298" s="33"/>
      <c r="CV298" s="33"/>
      <c r="CW298" s="33"/>
      <c r="CX298" s="33"/>
      <c r="CY298" s="33"/>
      <c r="CZ298" s="33"/>
      <c r="DA298" s="33"/>
      <c r="DB298" s="33"/>
      <c r="DC298" s="33"/>
      <c r="DD298" s="33"/>
      <c r="DE298" s="33"/>
      <c r="DF298" s="33"/>
      <c r="DG298" s="33"/>
      <c r="DH298" s="33"/>
      <c r="DI298" s="33"/>
      <c r="DJ298" s="33"/>
      <c r="DK298" s="33"/>
      <c r="DL298" s="33"/>
      <c r="DM298" s="33"/>
      <c r="DN298" s="33"/>
      <c r="DO298" s="33"/>
      <c r="DP298" s="33"/>
      <c r="DQ298" s="33"/>
      <c r="DR298" s="33"/>
      <c r="DS298" s="33"/>
      <c r="DT298" s="33"/>
      <c r="DU298" s="33"/>
      <c r="DV298" s="33"/>
      <c r="DW298" s="33"/>
      <c r="DX298" s="33"/>
      <c r="DY298" s="33"/>
      <c r="DZ298" s="33"/>
      <c r="EA298" s="33"/>
      <c r="EB298" s="33"/>
      <c r="EC298" s="33"/>
      <c r="ED298" s="33"/>
      <c r="EE298" s="33"/>
      <c r="EF298" s="33"/>
      <c r="EG298" s="33"/>
      <c r="EH298" s="33"/>
      <c r="EI298" s="33"/>
      <c r="EJ298" s="33"/>
      <c r="EK298" s="33"/>
      <c r="EL298" s="33"/>
      <c r="EM298" s="33"/>
      <c r="EN298" s="33"/>
      <c r="EO298" s="33"/>
      <c r="EP298" s="33"/>
      <c r="EQ298" s="33"/>
      <c r="ER298" s="33"/>
      <c r="ES298" s="33"/>
      <c r="ET298" s="33"/>
      <c r="EU298" s="33"/>
      <c r="EV298" s="33"/>
      <c r="EW298" s="33"/>
      <c r="EX298" s="33"/>
      <c r="EY298" s="33"/>
      <c r="EZ298" s="33"/>
      <c r="FA298" s="33"/>
      <c r="FB298" s="33"/>
      <c r="FC298" s="33"/>
      <c r="FD298" s="33"/>
      <c r="FE298" s="33"/>
      <c r="FF298" s="33"/>
      <c r="FG298" s="33"/>
      <c r="FH298" s="33"/>
      <c r="FI298" s="33"/>
      <c r="FJ298" s="33"/>
      <c r="FK298" s="33"/>
      <c r="FL298" s="33"/>
      <c r="FM298" s="33"/>
      <c r="FN298" s="33"/>
      <c r="FO298" s="33"/>
      <c r="FP298" s="33"/>
      <c r="FQ298" s="33"/>
      <c r="FR298" s="33"/>
      <c r="FS298" s="33"/>
      <c r="FT298" s="33"/>
      <c r="FU298" s="33"/>
      <c r="FV298" s="33"/>
      <c r="FW298" s="33"/>
      <c r="FX298" s="33"/>
      <c r="FY298" s="33"/>
      <c r="FZ298" s="33"/>
      <c r="GA298" s="33">
        <v>2.25</v>
      </c>
      <c r="GB298" s="33"/>
      <c r="GC298" s="33"/>
      <c r="GD298" s="33">
        <v>0.45449999999999996</v>
      </c>
      <c r="GE298" s="33">
        <v>0.2475</v>
      </c>
      <c r="GF298" s="33">
        <v>1.5457500000000002</v>
      </c>
      <c r="GG298" s="33"/>
      <c r="GH298" s="33"/>
      <c r="GI298" s="33"/>
      <c r="GJ298" s="33"/>
      <c r="GK298" s="33"/>
      <c r="GL298" s="33"/>
      <c r="GM298" s="33"/>
      <c r="GN298" s="33"/>
      <c r="GO298" s="33"/>
      <c r="GP298" s="33"/>
      <c r="GQ298" s="33"/>
      <c r="GR298" s="33"/>
      <c r="GS298" s="33"/>
      <c r="GT298" s="33"/>
      <c r="GU298" s="33"/>
      <c r="GV298" s="33"/>
      <c r="GW298" s="33"/>
      <c r="GX298" s="33">
        <v>0.39149999999999996</v>
      </c>
      <c r="GY298" s="33"/>
      <c r="GZ298" s="33">
        <v>6.0749999999999998E-2</v>
      </c>
      <c r="HA298" s="33"/>
      <c r="HB298" s="33"/>
      <c r="HC298" s="33"/>
      <c r="HD298" s="33"/>
      <c r="HE298" s="33"/>
      <c r="HF298" s="33"/>
      <c r="HG298" s="33"/>
      <c r="HH298" s="33"/>
      <c r="HI298" s="33"/>
      <c r="HJ298" s="33"/>
      <c r="HK298" s="33"/>
      <c r="HL298" s="33"/>
      <c r="HM298" s="33"/>
      <c r="HN298" s="33"/>
      <c r="HO298" s="33"/>
      <c r="HP298" s="33"/>
      <c r="HQ298" s="33"/>
      <c r="HR298" s="33">
        <v>0.2475</v>
      </c>
      <c r="HS298" s="33"/>
      <c r="HT298" s="33"/>
      <c r="HU298" s="33"/>
      <c r="HV298" s="33"/>
      <c r="HW298" s="33"/>
      <c r="HX298" s="33"/>
      <c r="HY298" s="33"/>
      <c r="HZ298" s="33"/>
      <c r="IA298" s="33"/>
      <c r="IB298" s="33"/>
      <c r="IC298" s="33"/>
      <c r="ID298" s="33"/>
      <c r="IE298" s="33"/>
      <c r="IF298" s="33"/>
      <c r="IG298" s="33"/>
      <c r="IH298" s="33"/>
      <c r="II298" s="33"/>
      <c r="IJ298" s="33"/>
      <c r="IK298" s="33"/>
      <c r="IL298" s="33"/>
      <c r="IM298" s="33"/>
      <c r="IN298" s="33"/>
      <c r="IO298" s="33"/>
      <c r="IP298" s="33"/>
      <c r="IQ298" s="33"/>
      <c r="IR298" s="33"/>
      <c r="IS298" s="33">
        <v>0.63224999999999998</v>
      </c>
      <c r="IT298" s="33"/>
      <c r="IU298" s="33"/>
      <c r="IV298" s="33"/>
      <c r="IW298" s="33"/>
      <c r="IX298" s="33"/>
      <c r="IY298" s="33"/>
      <c r="IZ298" s="33"/>
      <c r="JA298" s="33"/>
      <c r="JB298" s="33">
        <v>0.91125</v>
      </c>
      <c r="JC298" s="33"/>
      <c r="JD298" s="33"/>
      <c r="JE298" s="33"/>
      <c r="JF298" s="33"/>
      <c r="JG298" s="33"/>
      <c r="JH298" s="33"/>
      <c r="JI298" s="33"/>
      <c r="JJ298" s="33"/>
      <c r="JK298" s="33"/>
      <c r="JL298" s="33"/>
      <c r="JM298" s="33"/>
      <c r="JN298" s="33"/>
      <c r="JO298" s="33"/>
      <c r="JP298" s="33"/>
      <c r="JQ298" s="33"/>
      <c r="JR298" s="33"/>
      <c r="KZ298" s="33"/>
      <c r="LA298" s="33"/>
      <c r="LB298" s="33"/>
      <c r="LC298" s="33"/>
      <c r="LD298" s="33"/>
      <c r="LE298" s="33"/>
      <c r="LF298" s="33"/>
      <c r="LG298" s="33"/>
      <c r="LH298" s="33"/>
      <c r="LI298" s="33"/>
      <c r="LJ298" s="33"/>
      <c r="LK298" s="33"/>
      <c r="LL298" s="33"/>
      <c r="LM298" s="33"/>
      <c r="LN298" s="33"/>
      <c r="LO298" s="33"/>
      <c r="LP298" s="44"/>
      <c r="LQ298" s="44"/>
      <c r="LR298" s="44"/>
      <c r="LS298" s="44"/>
      <c r="LT298" s="44"/>
      <c r="LU298" s="44"/>
      <c r="LV298" s="44"/>
    </row>
    <row r="299" spans="1:334" x14ac:dyDescent="0.2">
      <c r="A299" s="1" t="s">
        <v>8747</v>
      </c>
      <c r="D299" s="1" t="s">
        <v>8748</v>
      </c>
      <c r="E299" s="1" t="s">
        <v>7966</v>
      </c>
      <c r="F299" s="1" t="s">
        <v>6263</v>
      </c>
      <c r="H299" s="1" t="s">
        <v>8749</v>
      </c>
      <c r="K299" s="1">
        <v>2016</v>
      </c>
      <c r="L299" s="1" t="s">
        <v>8701</v>
      </c>
      <c r="M299" s="1" t="s">
        <v>7657</v>
      </c>
      <c r="N299" s="17" t="s">
        <v>7945</v>
      </c>
      <c r="O299" s="33"/>
      <c r="P299" s="33"/>
      <c r="Q299" s="33"/>
      <c r="R299" s="33"/>
      <c r="S299" s="33">
        <v>10.3</v>
      </c>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33"/>
      <c r="CM299" s="33"/>
      <c r="CN299" s="33"/>
      <c r="CO299" s="33"/>
      <c r="CP299" s="33"/>
      <c r="CQ299" s="33"/>
      <c r="CR299" s="33"/>
      <c r="CS299" s="33"/>
      <c r="CT299" s="33"/>
      <c r="CU299" s="33"/>
      <c r="CV299" s="33"/>
      <c r="CW299" s="33"/>
      <c r="CX299" s="33"/>
      <c r="CY299" s="33"/>
      <c r="CZ299" s="33"/>
      <c r="DA299" s="33"/>
      <c r="DB299" s="33"/>
      <c r="DC299" s="33"/>
      <c r="DD299" s="33"/>
      <c r="DE299" s="33"/>
      <c r="DF299" s="33"/>
      <c r="DG299" s="33"/>
      <c r="DH299" s="33"/>
      <c r="DI299" s="33"/>
      <c r="DJ299" s="33"/>
      <c r="DK299" s="33"/>
      <c r="DL299" s="33"/>
      <c r="DM299" s="33"/>
      <c r="DN299" s="33"/>
      <c r="DO299" s="33"/>
      <c r="DP299" s="33"/>
      <c r="DQ299" s="33"/>
      <c r="DR299" s="33"/>
      <c r="DS299" s="33"/>
      <c r="DT299" s="33"/>
      <c r="DU299" s="33"/>
      <c r="DV299" s="33"/>
      <c r="DW299" s="33"/>
      <c r="DX299" s="33"/>
      <c r="DY299" s="33"/>
      <c r="DZ299" s="33"/>
      <c r="EA299" s="33"/>
      <c r="EB299" s="33"/>
      <c r="EC299" s="33"/>
      <c r="ED299" s="33"/>
      <c r="EE299" s="33"/>
      <c r="EF299" s="33"/>
      <c r="EG299" s="33"/>
      <c r="EH299" s="33"/>
      <c r="EI299" s="33"/>
      <c r="EJ299" s="33"/>
      <c r="EK299" s="33"/>
      <c r="EL299" s="33"/>
      <c r="EM299" s="33"/>
      <c r="EN299" s="33"/>
      <c r="EO299" s="33"/>
      <c r="EP299" s="33"/>
      <c r="EQ299" s="33"/>
      <c r="ER299" s="33"/>
      <c r="ES299" s="33"/>
      <c r="ET299" s="33"/>
      <c r="EU299" s="33"/>
      <c r="EV299" s="33"/>
      <c r="EW299" s="33"/>
      <c r="EX299" s="33"/>
      <c r="EY299" s="33"/>
      <c r="EZ299" s="33"/>
      <c r="FA299" s="33"/>
      <c r="FB299" s="33"/>
      <c r="FC299" s="33"/>
      <c r="FD299" s="33"/>
      <c r="FE299" s="33"/>
      <c r="FF299" s="33"/>
      <c r="FG299" s="33"/>
      <c r="FH299" s="33"/>
      <c r="FI299" s="33"/>
      <c r="FJ299" s="33"/>
      <c r="FK299" s="33"/>
      <c r="FL299" s="33"/>
      <c r="FM299" s="33"/>
      <c r="FN299" s="33"/>
      <c r="FO299" s="33"/>
      <c r="FP299" s="33"/>
      <c r="FQ299" s="33"/>
      <c r="FR299" s="33"/>
      <c r="FS299" s="33"/>
      <c r="FT299" s="33"/>
      <c r="FU299" s="33"/>
      <c r="FV299" s="33"/>
      <c r="FW299" s="33"/>
      <c r="FX299" s="33"/>
      <c r="FY299" s="33"/>
      <c r="FZ299" s="33"/>
      <c r="GA299" s="33">
        <v>1.9734000000000003</v>
      </c>
      <c r="GB299" s="33"/>
      <c r="GC299" s="33"/>
      <c r="GD299" s="33">
        <v>0.42033420000000005</v>
      </c>
      <c r="GE299" s="33">
        <v>0.25456860000000003</v>
      </c>
      <c r="GF299" s="33">
        <v>1.2984972000000001</v>
      </c>
      <c r="GG299" s="33"/>
      <c r="GH299" s="33"/>
      <c r="GI299" s="33"/>
      <c r="GJ299" s="33"/>
      <c r="GK299" s="33"/>
      <c r="GL299" s="33"/>
      <c r="GM299" s="33"/>
      <c r="GN299" s="33"/>
      <c r="GO299" s="33"/>
      <c r="GP299" s="33"/>
      <c r="GQ299" s="33"/>
      <c r="GR299" s="33"/>
      <c r="GS299" s="33"/>
      <c r="GT299" s="33"/>
      <c r="GU299" s="33"/>
      <c r="GV299" s="33"/>
      <c r="GW299" s="33"/>
      <c r="GX299" s="33">
        <v>0.36507900000000004</v>
      </c>
      <c r="GY299" s="33"/>
      <c r="GZ299" s="33">
        <v>5.3281800000000018E-2</v>
      </c>
      <c r="HA299" s="33"/>
      <c r="HB299" s="33"/>
      <c r="HC299" s="33"/>
      <c r="HD299" s="33"/>
      <c r="HE299" s="33"/>
      <c r="HF299" s="33"/>
      <c r="HG299" s="33"/>
      <c r="HH299" s="33"/>
      <c r="HI299" s="33"/>
      <c r="HJ299" s="33"/>
      <c r="HK299" s="33"/>
      <c r="HL299" s="33"/>
      <c r="HM299" s="33"/>
      <c r="HN299" s="33"/>
      <c r="HO299" s="33"/>
      <c r="HP299" s="33"/>
      <c r="HQ299" s="33"/>
      <c r="HR299" s="33">
        <v>0.25456860000000003</v>
      </c>
      <c r="HS299" s="33"/>
      <c r="HT299" s="33"/>
      <c r="HU299" s="33"/>
      <c r="HV299" s="33"/>
      <c r="HW299" s="33"/>
      <c r="HX299" s="33"/>
      <c r="HY299" s="33"/>
      <c r="HZ299" s="33"/>
      <c r="IA299" s="33"/>
      <c r="IB299" s="33"/>
      <c r="IC299" s="33"/>
      <c r="ID299" s="33"/>
      <c r="IE299" s="33"/>
      <c r="IF299" s="33"/>
      <c r="IG299" s="33"/>
      <c r="IH299" s="33"/>
      <c r="II299" s="33"/>
      <c r="IJ299" s="33"/>
      <c r="IK299" s="33"/>
      <c r="IL299" s="33"/>
      <c r="IM299" s="33"/>
      <c r="IN299" s="33"/>
      <c r="IO299" s="33"/>
      <c r="IP299" s="33"/>
      <c r="IQ299" s="33"/>
      <c r="IR299" s="33"/>
      <c r="IS299" s="33">
        <v>0.49927020000000005</v>
      </c>
      <c r="IT299" s="33"/>
      <c r="IU299" s="33"/>
      <c r="IV299" s="33"/>
      <c r="IW299" s="33"/>
      <c r="IX299" s="33"/>
      <c r="IY299" s="33"/>
      <c r="IZ299" s="33"/>
      <c r="JA299" s="33"/>
      <c r="JB299" s="33">
        <v>0.79922700000000002</v>
      </c>
      <c r="JC299" s="33"/>
      <c r="JD299" s="33"/>
      <c r="JE299" s="33"/>
      <c r="JF299" s="33"/>
      <c r="JG299" s="33"/>
      <c r="JH299" s="33"/>
      <c r="JI299" s="33"/>
      <c r="JJ299" s="33"/>
      <c r="JK299" s="33"/>
      <c r="JL299" s="33"/>
      <c r="JM299" s="33"/>
      <c r="JN299" s="33"/>
      <c r="JO299" s="33"/>
      <c r="JP299" s="33"/>
      <c r="JQ299" s="33"/>
      <c r="JR299" s="33"/>
      <c r="KZ299" s="33"/>
      <c r="LA299" s="33"/>
      <c r="LB299" s="33"/>
      <c r="LC299" s="33"/>
      <c r="LD299" s="33"/>
      <c r="LE299" s="33"/>
      <c r="LF299" s="33"/>
      <c r="LG299" s="33"/>
      <c r="LH299" s="33"/>
      <c r="LI299" s="33"/>
      <c r="LJ299" s="33"/>
      <c r="LK299" s="33"/>
      <c r="LL299" s="33"/>
      <c r="LM299" s="33"/>
      <c r="LN299" s="33"/>
      <c r="LO299" s="33"/>
      <c r="LP299" s="44"/>
      <c r="LQ299" s="44"/>
      <c r="LR299" s="44"/>
      <c r="LS299" s="44"/>
      <c r="LT299" s="44"/>
      <c r="LU299" s="44"/>
      <c r="LV299" s="44"/>
    </row>
    <row r="300" spans="1:334" x14ac:dyDescent="0.2">
      <c r="A300" s="1" t="s">
        <v>8750</v>
      </c>
      <c r="B300" s="1" t="s">
        <v>1278</v>
      </c>
      <c r="D300" s="1" t="s">
        <v>8751</v>
      </c>
      <c r="E300" s="1" t="s">
        <v>7966</v>
      </c>
      <c r="F300" s="1" t="s">
        <v>8752</v>
      </c>
      <c r="H300" s="1" t="s">
        <v>8753</v>
      </c>
      <c r="K300" s="1">
        <v>2016</v>
      </c>
      <c r="L300" s="1" t="s">
        <v>8701</v>
      </c>
      <c r="M300" s="1" t="s">
        <v>7657</v>
      </c>
      <c r="N300" s="17" t="s">
        <v>7945</v>
      </c>
      <c r="O300" s="33"/>
      <c r="P300" s="33"/>
      <c r="Q300" s="33"/>
      <c r="R300" s="33"/>
      <c r="S300" s="33">
        <v>10.3</v>
      </c>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c r="CM300" s="33"/>
      <c r="CN300" s="33"/>
      <c r="CO300" s="33"/>
      <c r="CP300" s="33"/>
      <c r="CQ300" s="33"/>
      <c r="CR300" s="33"/>
      <c r="CS300" s="33"/>
      <c r="CT300" s="33"/>
      <c r="CU300" s="33"/>
      <c r="CV300" s="33"/>
      <c r="CW300" s="33"/>
      <c r="CX300" s="33"/>
      <c r="CY300" s="33"/>
      <c r="CZ300" s="33"/>
      <c r="DA300" s="33"/>
      <c r="DB300" s="33"/>
      <c r="DC300" s="33"/>
      <c r="DD300" s="33"/>
      <c r="DE300" s="33"/>
      <c r="DF300" s="33"/>
      <c r="DG300" s="33"/>
      <c r="DH300" s="33"/>
      <c r="DI300" s="33"/>
      <c r="DJ300" s="33"/>
      <c r="DK300" s="33"/>
      <c r="DL300" s="33"/>
      <c r="DM300" s="33"/>
      <c r="DN300" s="33"/>
      <c r="DO300" s="33"/>
      <c r="DP300" s="33"/>
      <c r="DQ300" s="33"/>
      <c r="DR300" s="33"/>
      <c r="DS300" s="33"/>
      <c r="DT300" s="33"/>
      <c r="DU300" s="33"/>
      <c r="DV300" s="33"/>
      <c r="DW300" s="33"/>
      <c r="DX300" s="33"/>
      <c r="DY300" s="33"/>
      <c r="DZ300" s="33"/>
      <c r="EA300" s="33"/>
      <c r="EB300" s="33"/>
      <c r="EC300" s="33"/>
      <c r="ED300" s="33"/>
      <c r="EE300" s="33"/>
      <c r="EF300" s="33"/>
      <c r="EG300" s="33"/>
      <c r="EH300" s="33"/>
      <c r="EI300" s="33"/>
      <c r="EJ300" s="33"/>
      <c r="EK300" s="33"/>
      <c r="EL300" s="33"/>
      <c r="EM300" s="33"/>
      <c r="EN300" s="33"/>
      <c r="EO300" s="33"/>
      <c r="EP300" s="33"/>
      <c r="EQ300" s="33"/>
      <c r="ER300" s="33"/>
      <c r="ES300" s="33"/>
      <c r="ET300" s="33"/>
      <c r="EU300" s="33"/>
      <c r="EV300" s="33"/>
      <c r="EW300" s="33"/>
      <c r="EX300" s="33"/>
      <c r="EY300" s="33"/>
      <c r="EZ300" s="33"/>
      <c r="FA300" s="33"/>
      <c r="FB300" s="33"/>
      <c r="FC300" s="33"/>
      <c r="FD300" s="33"/>
      <c r="FE300" s="33"/>
      <c r="FF300" s="33"/>
      <c r="FG300" s="33"/>
      <c r="FH300" s="33"/>
      <c r="FI300" s="33"/>
      <c r="FJ300" s="33"/>
      <c r="FK300" s="33"/>
      <c r="FL300" s="33"/>
      <c r="FM300" s="33"/>
      <c r="FN300" s="33"/>
      <c r="FO300" s="33"/>
      <c r="FP300" s="33"/>
      <c r="FQ300" s="33"/>
      <c r="FR300" s="33"/>
      <c r="FS300" s="33"/>
      <c r="FT300" s="33"/>
      <c r="FU300" s="33"/>
      <c r="FV300" s="33"/>
      <c r="FW300" s="33"/>
      <c r="FX300" s="33"/>
      <c r="FY300" s="33"/>
      <c r="FZ300" s="33"/>
      <c r="GA300" s="33">
        <v>1.8837000000000002</v>
      </c>
      <c r="GB300" s="33"/>
      <c r="GC300" s="33"/>
      <c r="GD300" s="33">
        <v>0.45773910000000007</v>
      </c>
      <c r="GE300" s="33">
        <v>0.19213740000000001</v>
      </c>
      <c r="GF300" s="33">
        <v>1.2357072</v>
      </c>
      <c r="GG300" s="33"/>
      <c r="GH300" s="33"/>
      <c r="GI300" s="33"/>
      <c r="GJ300" s="33"/>
      <c r="GK300" s="33"/>
      <c r="GL300" s="33"/>
      <c r="GM300" s="33"/>
      <c r="GN300" s="33"/>
      <c r="GO300" s="33"/>
      <c r="GP300" s="33"/>
      <c r="GQ300" s="33"/>
      <c r="GR300" s="33"/>
      <c r="GS300" s="33"/>
      <c r="GT300" s="33"/>
      <c r="GU300" s="33"/>
      <c r="GV300" s="33"/>
      <c r="GW300" s="33"/>
      <c r="GX300" s="33">
        <v>0.38239110000000004</v>
      </c>
      <c r="GY300" s="33"/>
      <c r="GZ300" s="33">
        <v>7.5348000000000012E-2</v>
      </c>
      <c r="HA300" s="33"/>
      <c r="HB300" s="33"/>
      <c r="HC300" s="33"/>
      <c r="HD300" s="33"/>
      <c r="HE300" s="33"/>
      <c r="HF300" s="33"/>
      <c r="HG300" s="33"/>
      <c r="HH300" s="33"/>
      <c r="HI300" s="33"/>
      <c r="HJ300" s="33"/>
      <c r="HK300" s="33"/>
      <c r="HL300" s="33"/>
      <c r="HM300" s="33"/>
      <c r="HN300" s="33"/>
      <c r="HO300" s="33"/>
      <c r="HP300" s="33"/>
      <c r="HQ300" s="33"/>
      <c r="HR300" s="33">
        <v>0.19213740000000001</v>
      </c>
      <c r="HS300" s="33"/>
      <c r="HT300" s="33"/>
      <c r="HU300" s="33"/>
      <c r="HV300" s="33"/>
      <c r="HW300" s="33"/>
      <c r="HX300" s="33"/>
      <c r="HY300" s="33"/>
      <c r="HZ300" s="33"/>
      <c r="IA300" s="33"/>
      <c r="IB300" s="33"/>
      <c r="IC300" s="33"/>
      <c r="ID300" s="33"/>
      <c r="IE300" s="33"/>
      <c r="IF300" s="33"/>
      <c r="IG300" s="33"/>
      <c r="IH300" s="33"/>
      <c r="II300" s="33"/>
      <c r="IJ300" s="33"/>
      <c r="IK300" s="33"/>
      <c r="IL300" s="33"/>
      <c r="IM300" s="33"/>
      <c r="IN300" s="33"/>
      <c r="IO300" s="33"/>
      <c r="IP300" s="33"/>
      <c r="IQ300" s="33"/>
      <c r="IR300" s="33"/>
      <c r="IS300" s="33">
        <v>0.62162099999999998</v>
      </c>
      <c r="IT300" s="33"/>
      <c r="IU300" s="33"/>
      <c r="IV300" s="33"/>
      <c r="IW300" s="33"/>
      <c r="IX300" s="33"/>
      <c r="IY300" s="33"/>
      <c r="IZ300" s="33"/>
      <c r="JA300" s="33"/>
      <c r="JB300" s="33">
        <v>0.61408620000000003</v>
      </c>
      <c r="JC300" s="33"/>
      <c r="JD300" s="33"/>
      <c r="JE300" s="33"/>
      <c r="JF300" s="33"/>
      <c r="JG300" s="33"/>
      <c r="JH300" s="33"/>
      <c r="JI300" s="33"/>
      <c r="JJ300" s="33"/>
      <c r="JK300" s="33"/>
      <c r="JL300" s="33"/>
      <c r="JM300" s="33"/>
      <c r="JN300" s="33"/>
      <c r="JO300" s="33"/>
      <c r="JP300" s="33"/>
      <c r="JQ300" s="33"/>
      <c r="JR300" s="33"/>
      <c r="KZ300" s="33"/>
      <c r="LA300" s="33"/>
      <c r="LB300" s="33"/>
      <c r="LC300" s="33"/>
      <c r="LD300" s="33"/>
      <c r="LE300" s="33"/>
      <c r="LF300" s="33"/>
      <c r="LG300" s="33"/>
      <c r="LH300" s="33"/>
      <c r="LI300" s="33"/>
      <c r="LJ300" s="33"/>
      <c r="LK300" s="33"/>
      <c r="LL300" s="33"/>
      <c r="LM300" s="33"/>
      <c r="LN300" s="33"/>
      <c r="LO300" s="33"/>
      <c r="LP300" s="44"/>
      <c r="LQ300" s="44"/>
      <c r="LR300" s="44"/>
      <c r="LS300" s="44"/>
      <c r="LT300" s="44"/>
      <c r="LU300" s="44"/>
      <c r="LV300" s="44"/>
    </row>
    <row r="301" spans="1:334" x14ac:dyDescent="0.2">
      <c r="A301" s="1" t="s">
        <v>8754</v>
      </c>
      <c r="B301" s="1" t="s">
        <v>8755</v>
      </c>
      <c r="D301" s="1" t="s">
        <v>8756</v>
      </c>
      <c r="E301" s="1" t="s">
        <v>7966</v>
      </c>
      <c r="F301" s="1" t="s">
        <v>6268</v>
      </c>
      <c r="H301" s="1" t="s">
        <v>8757</v>
      </c>
      <c r="K301" s="1">
        <v>2016</v>
      </c>
      <c r="L301" s="1" t="s">
        <v>8701</v>
      </c>
      <c r="M301" s="1" t="s">
        <v>7657</v>
      </c>
      <c r="N301" s="17" t="s">
        <v>7945</v>
      </c>
      <c r="O301" s="33"/>
      <c r="P301" s="33"/>
      <c r="Q301" s="33"/>
      <c r="R301" s="33"/>
      <c r="S301" s="33">
        <v>10.3</v>
      </c>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33"/>
      <c r="CM301" s="33"/>
      <c r="CN301" s="33"/>
      <c r="CO301" s="33"/>
      <c r="CP301" s="33"/>
      <c r="CQ301" s="33"/>
      <c r="CR301" s="33"/>
      <c r="CS301" s="33"/>
      <c r="CT301" s="33"/>
      <c r="CU301" s="33"/>
      <c r="CV301" s="33"/>
      <c r="CW301" s="33"/>
      <c r="CX301" s="33"/>
      <c r="CY301" s="33"/>
      <c r="CZ301" s="33"/>
      <c r="DA301" s="33"/>
      <c r="DB301" s="33"/>
      <c r="DC301" s="33"/>
      <c r="DD301" s="33"/>
      <c r="DE301" s="33"/>
      <c r="DF301" s="33"/>
      <c r="DG301" s="33"/>
      <c r="DH301" s="33"/>
      <c r="DI301" s="33"/>
      <c r="DJ301" s="33"/>
      <c r="DK301" s="33"/>
      <c r="DL301" s="33"/>
      <c r="DM301" s="33"/>
      <c r="DN301" s="33"/>
      <c r="DO301" s="33"/>
      <c r="DP301" s="33"/>
      <c r="DQ301" s="33"/>
      <c r="DR301" s="33"/>
      <c r="DS301" s="33"/>
      <c r="DT301" s="33"/>
      <c r="DU301" s="33"/>
      <c r="DV301" s="33"/>
      <c r="DW301" s="33"/>
      <c r="DX301" s="33"/>
      <c r="DY301" s="33"/>
      <c r="DZ301" s="33"/>
      <c r="EA301" s="33"/>
      <c r="EB301" s="33"/>
      <c r="EC301" s="33"/>
      <c r="ED301" s="33"/>
      <c r="EE301" s="33"/>
      <c r="EF301" s="33"/>
      <c r="EG301" s="33"/>
      <c r="EH301" s="33"/>
      <c r="EI301" s="33"/>
      <c r="EJ301" s="33"/>
      <c r="EK301" s="33"/>
      <c r="EL301" s="33"/>
      <c r="EM301" s="33"/>
      <c r="EN301" s="33"/>
      <c r="EO301" s="33"/>
      <c r="EP301" s="33"/>
      <c r="EQ301" s="33"/>
      <c r="ER301" s="33"/>
      <c r="ES301" s="33"/>
      <c r="ET301" s="33"/>
      <c r="EU301" s="33"/>
      <c r="EV301" s="33"/>
      <c r="EW301" s="33"/>
      <c r="EX301" s="33"/>
      <c r="EY301" s="33"/>
      <c r="EZ301" s="33"/>
      <c r="FA301" s="33"/>
      <c r="FB301" s="33"/>
      <c r="FC301" s="33"/>
      <c r="FD301" s="33"/>
      <c r="FE301" s="33"/>
      <c r="FF301" s="33"/>
      <c r="FG301" s="33"/>
      <c r="FH301" s="33"/>
      <c r="FI301" s="33"/>
      <c r="FJ301" s="33"/>
      <c r="FK301" s="33"/>
      <c r="FL301" s="33"/>
      <c r="FM301" s="33"/>
      <c r="FN301" s="33"/>
      <c r="FO301" s="33"/>
      <c r="FP301" s="33"/>
      <c r="FQ301" s="33"/>
      <c r="FR301" s="33"/>
      <c r="FS301" s="33"/>
      <c r="FT301" s="33"/>
      <c r="FU301" s="33"/>
      <c r="FV301" s="33"/>
      <c r="FW301" s="33"/>
      <c r="FX301" s="33"/>
      <c r="FY301" s="33"/>
      <c r="FZ301" s="33"/>
      <c r="GA301" s="33">
        <v>2.7806999999999999</v>
      </c>
      <c r="GB301" s="33"/>
      <c r="GC301" s="33"/>
      <c r="GD301" s="33">
        <v>0.97324500000000003</v>
      </c>
      <c r="GE301" s="33">
        <v>0.2613858</v>
      </c>
      <c r="GF301" s="33">
        <v>1.5432884999999998</v>
      </c>
      <c r="GG301" s="33"/>
      <c r="GH301" s="33"/>
      <c r="GI301" s="33"/>
      <c r="GJ301" s="33"/>
      <c r="GK301" s="33"/>
      <c r="GL301" s="33"/>
      <c r="GM301" s="33"/>
      <c r="GN301" s="33"/>
      <c r="GO301" s="33"/>
      <c r="GP301" s="33"/>
      <c r="GQ301" s="33"/>
      <c r="GR301" s="33"/>
      <c r="GS301" s="33"/>
      <c r="GT301" s="33"/>
      <c r="GU301" s="33"/>
      <c r="GV301" s="33"/>
      <c r="GW301" s="33"/>
      <c r="GX301" s="33">
        <v>0.78693809999999997</v>
      </c>
      <c r="GY301" s="33"/>
      <c r="GZ301" s="33">
        <v>0.18630690000000003</v>
      </c>
      <c r="HA301" s="33"/>
      <c r="HB301" s="33"/>
      <c r="HC301" s="33"/>
      <c r="HD301" s="33"/>
      <c r="HE301" s="33"/>
      <c r="HF301" s="33"/>
      <c r="HG301" s="33"/>
      <c r="HH301" s="33"/>
      <c r="HI301" s="33"/>
      <c r="HJ301" s="33"/>
      <c r="HK301" s="33"/>
      <c r="HL301" s="33"/>
      <c r="HM301" s="33"/>
      <c r="HN301" s="33"/>
      <c r="HO301" s="33"/>
      <c r="HP301" s="33"/>
      <c r="HQ301" s="33"/>
      <c r="HR301" s="33">
        <v>0.2613858</v>
      </c>
      <c r="HS301" s="33"/>
      <c r="HT301" s="33"/>
      <c r="HU301" s="33"/>
      <c r="HV301" s="33"/>
      <c r="HW301" s="33"/>
      <c r="HX301" s="33"/>
      <c r="HY301" s="33"/>
      <c r="HZ301" s="33"/>
      <c r="IA301" s="33"/>
      <c r="IB301" s="33"/>
      <c r="IC301" s="33"/>
      <c r="ID301" s="33"/>
      <c r="IE301" s="33"/>
      <c r="IF301" s="33"/>
      <c r="IG301" s="33"/>
      <c r="IH301" s="33"/>
      <c r="II301" s="33"/>
      <c r="IJ301" s="33"/>
      <c r="IK301" s="33"/>
      <c r="IL301" s="33"/>
      <c r="IM301" s="33"/>
      <c r="IN301" s="33"/>
      <c r="IO301" s="33"/>
      <c r="IP301" s="33"/>
      <c r="IQ301" s="33"/>
      <c r="IR301" s="33"/>
      <c r="IS301" s="33">
        <v>0.98436780000000002</v>
      </c>
      <c r="IT301" s="33"/>
      <c r="IU301" s="33"/>
      <c r="IV301" s="33"/>
      <c r="IW301" s="33"/>
      <c r="IX301" s="33"/>
      <c r="IY301" s="33"/>
      <c r="IZ301" s="33"/>
      <c r="JA301" s="33"/>
      <c r="JB301" s="33">
        <v>0.55613999999999997</v>
      </c>
      <c r="JC301" s="33"/>
      <c r="JD301" s="33"/>
      <c r="JE301" s="33"/>
      <c r="JF301" s="33"/>
      <c r="JG301" s="33"/>
      <c r="JH301" s="33"/>
      <c r="JI301" s="33"/>
      <c r="JJ301" s="33"/>
      <c r="JK301" s="33"/>
      <c r="JL301" s="33"/>
      <c r="JM301" s="33"/>
      <c r="JN301" s="33"/>
      <c r="JO301" s="33"/>
      <c r="JP301" s="33"/>
      <c r="JQ301" s="33"/>
      <c r="JR301" s="33"/>
      <c r="KZ301" s="33"/>
      <c r="LA301" s="33"/>
      <c r="LB301" s="33"/>
      <c r="LC301" s="33"/>
      <c r="LD301" s="33"/>
      <c r="LE301" s="33"/>
      <c r="LF301" s="33"/>
      <c r="LG301" s="33"/>
      <c r="LH301" s="33"/>
      <c r="LI301" s="33"/>
      <c r="LJ301" s="33"/>
      <c r="LK301" s="33"/>
      <c r="LL301" s="33"/>
      <c r="LM301" s="33"/>
      <c r="LN301" s="33"/>
      <c r="LO301" s="33"/>
      <c r="LP301" s="44"/>
      <c r="LQ301" s="44"/>
      <c r="LR301" s="44"/>
      <c r="LS301" s="44"/>
      <c r="LT301" s="44"/>
      <c r="LU301" s="44"/>
      <c r="LV301" s="44"/>
    </row>
    <row r="302" spans="1:334" x14ac:dyDescent="0.2">
      <c r="A302" s="1" t="s">
        <v>8758</v>
      </c>
      <c r="B302" s="1" t="s">
        <v>8612</v>
      </c>
      <c r="D302" s="1" t="s">
        <v>8759</v>
      </c>
      <c r="E302" s="1" t="s">
        <v>7966</v>
      </c>
      <c r="F302" s="1" t="s">
        <v>6263</v>
      </c>
      <c r="H302" s="1" t="s">
        <v>8760</v>
      </c>
      <c r="K302" s="1">
        <v>2016</v>
      </c>
      <c r="L302" s="1" t="s">
        <v>8701</v>
      </c>
      <c r="M302" s="1" t="s">
        <v>7657</v>
      </c>
      <c r="N302" s="17" t="s">
        <v>7945</v>
      </c>
      <c r="O302" s="33"/>
      <c r="P302" s="33"/>
      <c r="Q302" s="33"/>
      <c r="R302" s="33"/>
      <c r="S302" s="33">
        <v>10.5</v>
      </c>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c r="CK302" s="33"/>
      <c r="CL302" s="33"/>
      <c r="CM302" s="33"/>
      <c r="CN302" s="33"/>
      <c r="CO302" s="33"/>
      <c r="CP302" s="33"/>
      <c r="CQ302" s="33"/>
      <c r="CR302" s="33"/>
      <c r="CS302" s="33"/>
      <c r="CT302" s="33"/>
      <c r="CU302" s="33"/>
      <c r="CV302" s="33"/>
      <c r="CW302" s="33"/>
      <c r="CX302" s="33"/>
      <c r="CY302" s="33"/>
      <c r="CZ302" s="33"/>
      <c r="DA302" s="33"/>
      <c r="DB302" s="33"/>
      <c r="DC302" s="33"/>
      <c r="DD302" s="33"/>
      <c r="DE302" s="33"/>
      <c r="DF302" s="33"/>
      <c r="DG302" s="33"/>
      <c r="DH302" s="33"/>
      <c r="DI302" s="33"/>
      <c r="DJ302" s="33"/>
      <c r="DK302" s="33"/>
      <c r="DL302" s="33"/>
      <c r="DM302" s="33"/>
      <c r="DN302" s="33"/>
      <c r="DO302" s="33"/>
      <c r="DP302" s="33"/>
      <c r="DQ302" s="33"/>
      <c r="DR302" s="33"/>
      <c r="DS302" s="33"/>
      <c r="DT302" s="33"/>
      <c r="DU302" s="33"/>
      <c r="DV302" s="33"/>
      <c r="DW302" s="33"/>
      <c r="DX302" s="33"/>
      <c r="DY302" s="33"/>
      <c r="DZ302" s="33"/>
      <c r="EA302" s="33"/>
      <c r="EB302" s="33"/>
      <c r="EC302" s="33"/>
      <c r="ED302" s="33"/>
      <c r="EE302" s="33"/>
      <c r="EF302" s="33"/>
      <c r="EG302" s="33"/>
      <c r="EH302" s="33"/>
      <c r="EI302" s="33"/>
      <c r="EJ302" s="33"/>
      <c r="EK302" s="33"/>
      <c r="EL302" s="33"/>
      <c r="EM302" s="33"/>
      <c r="EN302" s="33"/>
      <c r="EO302" s="33"/>
      <c r="EP302" s="33"/>
      <c r="EQ302" s="33"/>
      <c r="ER302" s="33"/>
      <c r="ES302" s="33"/>
      <c r="ET302" s="33"/>
      <c r="EU302" s="33"/>
      <c r="EV302" s="33"/>
      <c r="EW302" s="33"/>
      <c r="EX302" s="33"/>
      <c r="EY302" s="33"/>
      <c r="EZ302" s="33"/>
      <c r="FA302" s="33"/>
      <c r="FB302" s="33"/>
      <c r="FC302" s="33"/>
      <c r="FD302" s="33"/>
      <c r="FE302" s="33"/>
      <c r="FF302" s="33"/>
      <c r="FG302" s="33"/>
      <c r="FH302" s="33"/>
      <c r="FI302" s="33"/>
      <c r="FJ302" s="33"/>
      <c r="FK302" s="33"/>
      <c r="FL302" s="33"/>
      <c r="FM302" s="33"/>
      <c r="FN302" s="33"/>
      <c r="FO302" s="33"/>
      <c r="FP302" s="33"/>
      <c r="FQ302" s="33"/>
      <c r="FR302" s="33"/>
      <c r="FS302" s="33"/>
      <c r="FT302" s="33"/>
      <c r="FU302" s="33"/>
      <c r="FV302" s="33"/>
      <c r="FW302" s="33"/>
      <c r="FX302" s="33"/>
      <c r="FY302" s="33"/>
      <c r="FZ302" s="33"/>
      <c r="GA302" s="33">
        <v>2.4165000000000001</v>
      </c>
      <c r="GB302" s="33"/>
      <c r="GC302" s="33"/>
      <c r="GD302" s="33">
        <v>0.53163000000000005</v>
      </c>
      <c r="GE302" s="33">
        <v>0.41563800000000001</v>
      </c>
      <c r="GF302" s="33">
        <v>1.4716484999999999</v>
      </c>
      <c r="GG302" s="33"/>
      <c r="GH302" s="33"/>
      <c r="GI302" s="33"/>
      <c r="GJ302" s="33"/>
      <c r="GK302" s="33"/>
      <c r="GL302" s="33"/>
      <c r="GM302" s="33"/>
      <c r="GN302" s="33"/>
      <c r="GO302" s="33"/>
      <c r="GP302" s="33"/>
      <c r="GQ302" s="33"/>
      <c r="GR302" s="33"/>
      <c r="GS302" s="33"/>
      <c r="GT302" s="33"/>
      <c r="GU302" s="33"/>
      <c r="GV302" s="33"/>
      <c r="GW302" s="33"/>
      <c r="GX302" s="33">
        <v>0.42288750000000003</v>
      </c>
      <c r="GY302" s="33"/>
      <c r="GZ302" s="33">
        <v>0.10874250000000001</v>
      </c>
      <c r="HA302" s="33"/>
      <c r="HB302" s="33"/>
      <c r="HC302" s="33"/>
      <c r="HD302" s="33"/>
      <c r="HE302" s="33"/>
      <c r="HF302" s="33"/>
      <c r="HG302" s="33"/>
      <c r="HH302" s="33"/>
      <c r="HI302" s="33"/>
      <c r="HJ302" s="33"/>
      <c r="HK302" s="33"/>
      <c r="HL302" s="33"/>
      <c r="HM302" s="33"/>
      <c r="HN302" s="33"/>
      <c r="HO302" s="33"/>
      <c r="HP302" s="33"/>
      <c r="HQ302" s="33"/>
      <c r="HR302" s="33">
        <v>0.41563800000000001</v>
      </c>
      <c r="HS302" s="33"/>
      <c r="HT302" s="33"/>
      <c r="HU302" s="33"/>
      <c r="HV302" s="33"/>
      <c r="HW302" s="33"/>
      <c r="HX302" s="33"/>
      <c r="HY302" s="33"/>
      <c r="HZ302" s="33"/>
      <c r="IA302" s="33"/>
      <c r="IB302" s="33"/>
      <c r="IC302" s="33"/>
      <c r="ID302" s="33"/>
      <c r="IE302" s="33"/>
      <c r="IF302" s="33"/>
      <c r="IG302" s="33"/>
      <c r="IH302" s="33"/>
      <c r="II302" s="33"/>
      <c r="IJ302" s="33"/>
      <c r="IK302" s="33"/>
      <c r="IL302" s="33"/>
      <c r="IM302" s="33"/>
      <c r="IN302" s="33"/>
      <c r="IO302" s="33"/>
      <c r="IP302" s="33"/>
      <c r="IQ302" s="33"/>
      <c r="IR302" s="33"/>
      <c r="IS302" s="33">
        <v>0.76119749999999997</v>
      </c>
      <c r="IT302" s="33"/>
      <c r="IU302" s="33"/>
      <c r="IV302" s="33"/>
      <c r="IW302" s="33"/>
      <c r="IX302" s="33"/>
      <c r="IY302" s="33"/>
      <c r="IZ302" s="33"/>
      <c r="JA302" s="33"/>
      <c r="JB302" s="33">
        <v>0.71045100000000005</v>
      </c>
      <c r="JC302" s="33"/>
      <c r="JD302" s="33"/>
      <c r="JE302" s="33"/>
      <c r="JF302" s="33"/>
      <c r="JG302" s="33"/>
      <c r="JH302" s="33"/>
      <c r="JI302" s="33"/>
      <c r="JJ302" s="33"/>
      <c r="JK302" s="33"/>
      <c r="JL302" s="33"/>
      <c r="JM302" s="33"/>
      <c r="JN302" s="33"/>
      <c r="JO302" s="33"/>
      <c r="JP302" s="33"/>
      <c r="JQ302" s="33"/>
      <c r="JR302" s="33"/>
      <c r="KZ302" s="33"/>
      <c r="LA302" s="33"/>
      <c r="LB302" s="33"/>
      <c r="LC302" s="33"/>
      <c r="LD302" s="33"/>
      <c r="LE302" s="33"/>
      <c r="LF302" s="33"/>
      <c r="LG302" s="33"/>
      <c r="LH302" s="33"/>
      <c r="LI302" s="33"/>
      <c r="LJ302" s="33"/>
      <c r="LK302" s="33"/>
      <c r="LL302" s="33"/>
      <c r="LM302" s="33"/>
      <c r="LN302" s="33"/>
      <c r="LO302" s="33"/>
      <c r="LP302" s="44"/>
      <c r="LQ302" s="44"/>
      <c r="LR302" s="44"/>
      <c r="LS302" s="44"/>
      <c r="LT302" s="44"/>
      <c r="LU302" s="44"/>
      <c r="LV302" s="44"/>
    </row>
    <row r="303" spans="1:334" x14ac:dyDescent="0.2">
      <c r="A303" s="1" t="s">
        <v>8761</v>
      </c>
      <c r="B303" s="1" t="s">
        <v>2954</v>
      </c>
      <c r="D303" s="1" t="s">
        <v>8748</v>
      </c>
      <c r="E303" s="1" t="s">
        <v>7966</v>
      </c>
      <c r="F303" s="1" t="s">
        <v>6263</v>
      </c>
      <c r="H303" s="1" t="s">
        <v>8762</v>
      </c>
      <c r="K303" s="1">
        <v>2016</v>
      </c>
      <c r="L303" s="1" t="s">
        <v>8701</v>
      </c>
      <c r="M303" s="1" t="s">
        <v>7657</v>
      </c>
      <c r="N303" s="17" t="s">
        <v>7945</v>
      </c>
      <c r="O303" s="33"/>
      <c r="P303" s="33"/>
      <c r="Q303" s="33"/>
      <c r="R303" s="33"/>
      <c r="S303" s="33">
        <v>10.3</v>
      </c>
      <c r="T303" s="33"/>
      <c r="U303" s="33"/>
      <c r="V303" s="33"/>
      <c r="W303" s="33"/>
      <c r="X303" s="33"/>
      <c r="Y303" s="33"/>
      <c r="Z303" s="33"/>
      <c r="AA303" s="33"/>
      <c r="AB303" s="33"/>
      <c r="AC303" s="33"/>
      <c r="AD303" s="33"/>
      <c r="AE303" s="33"/>
      <c r="AF303" s="33"/>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33"/>
      <c r="BC303" s="33"/>
      <c r="BD303" s="33"/>
      <c r="BE303" s="33"/>
      <c r="BF303" s="33"/>
      <c r="BG303" s="33"/>
      <c r="BH303" s="33"/>
      <c r="BI303" s="33"/>
      <c r="BJ303" s="33"/>
      <c r="BK303" s="33"/>
      <c r="BL303" s="33"/>
      <c r="BM303" s="33"/>
      <c r="BN303" s="33"/>
      <c r="BO303" s="33"/>
      <c r="BP303" s="33"/>
      <c r="BQ303" s="33"/>
      <c r="BR303" s="33"/>
      <c r="BS303" s="33"/>
      <c r="BT303" s="33"/>
      <c r="BU303" s="33"/>
      <c r="BV303" s="33"/>
      <c r="BW303" s="33"/>
      <c r="BX303" s="33"/>
      <c r="BY303" s="33"/>
      <c r="BZ303" s="33"/>
      <c r="CA303" s="33"/>
      <c r="CB303" s="33"/>
      <c r="CC303" s="33"/>
      <c r="CD303" s="33"/>
      <c r="CE303" s="33"/>
      <c r="CF303" s="33"/>
      <c r="CG303" s="33"/>
      <c r="CH303" s="33"/>
      <c r="CI303" s="33"/>
      <c r="CJ303" s="33"/>
      <c r="CK303" s="33"/>
      <c r="CL303" s="33"/>
      <c r="CM303" s="33"/>
      <c r="CN303" s="33"/>
      <c r="CO303" s="33"/>
      <c r="CP303" s="33"/>
      <c r="CQ303" s="33"/>
      <c r="CR303" s="33"/>
      <c r="CS303" s="33"/>
      <c r="CT303" s="33"/>
      <c r="CU303" s="33"/>
      <c r="CV303" s="33"/>
      <c r="CW303" s="33"/>
      <c r="CX303" s="33"/>
      <c r="CY303" s="33"/>
      <c r="CZ303" s="33"/>
      <c r="DA303" s="33"/>
      <c r="DB303" s="33"/>
      <c r="DC303" s="33"/>
      <c r="DD303" s="33"/>
      <c r="DE303" s="33"/>
      <c r="DF303" s="33"/>
      <c r="DG303" s="33"/>
      <c r="DH303" s="33"/>
      <c r="DI303" s="33"/>
      <c r="DJ303" s="33"/>
      <c r="DK303" s="33"/>
      <c r="DL303" s="33"/>
      <c r="DM303" s="33"/>
      <c r="DN303" s="33"/>
      <c r="DO303" s="33"/>
      <c r="DP303" s="33"/>
      <c r="DQ303" s="33"/>
      <c r="DR303" s="33"/>
      <c r="DS303" s="33"/>
      <c r="DT303" s="33"/>
      <c r="DU303" s="33"/>
      <c r="DV303" s="33"/>
      <c r="DW303" s="33"/>
      <c r="DX303" s="33"/>
      <c r="DY303" s="33"/>
      <c r="DZ303" s="33"/>
      <c r="EA303" s="33"/>
      <c r="EB303" s="33"/>
      <c r="EC303" s="33"/>
      <c r="ED303" s="33"/>
      <c r="EE303" s="33"/>
      <c r="EF303" s="33"/>
      <c r="EG303" s="33"/>
      <c r="EH303" s="33"/>
      <c r="EI303" s="33"/>
      <c r="EJ303" s="33"/>
      <c r="EK303" s="33"/>
      <c r="EL303" s="33"/>
      <c r="EM303" s="33"/>
      <c r="EN303" s="33"/>
      <c r="EO303" s="33"/>
      <c r="EP303" s="33"/>
      <c r="EQ303" s="33"/>
      <c r="ER303" s="33"/>
      <c r="ES303" s="33"/>
      <c r="ET303" s="33"/>
      <c r="EU303" s="33"/>
      <c r="EV303" s="33"/>
      <c r="EW303" s="33"/>
      <c r="EX303" s="33"/>
      <c r="EY303" s="33"/>
      <c r="EZ303" s="33"/>
      <c r="FA303" s="33"/>
      <c r="FB303" s="33"/>
      <c r="FC303" s="33"/>
      <c r="FD303" s="33"/>
      <c r="FE303" s="33"/>
      <c r="FF303" s="33"/>
      <c r="FG303" s="33"/>
      <c r="FH303" s="33"/>
      <c r="FI303" s="33"/>
      <c r="FJ303" s="33"/>
      <c r="FK303" s="33"/>
      <c r="FL303" s="33"/>
      <c r="FM303" s="33"/>
      <c r="FN303" s="33"/>
      <c r="FO303" s="33"/>
      <c r="FP303" s="33"/>
      <c r="FQ303" s="33"/>
      <c r="FR303" s="33"/>
      <c r="FS303" s="33"/>
      <c r="FT303" s="33"/>
      <c r="FU303" s="33"/>
      <c r="FV303" s="33"/>
      <c r="FW303" s="33"/>
      <c r="FX303" s="33"/>
      <c r="FY303" s="33"/>
      <c r="FZ303" s="33"/>
      <c r="GA303" s="33">
        <v>1.7043000000000001</v>
      </c>
      <c r="GB303" s="33"/>
      <c r="GC303" s="33"/>
      <c r="GD303" s="33">
        <v>0.63399960000000011</v>
      </c>
      <c r="GE303" s="33">
        <v>0.2454192</v>
      </c>
      <c r="GF303" s="33">
        <v>0.82488120000000009</v>
      </c>
      <c r="GG303" s="33"/>
      <c r="GH303" s="33"/>
      <c r="GI303" s="33"/>
      <c r="GJ303" s="33"/>
      <c r="GK303" s="33"/>
      <c r="GL303" s="33"/>
      <c r="GM303" s="33"/>
      <c r="GN303" s="33"/>
      <c r="GO303" s="33"/>
      <c r="GP303" s="33"/>
      <c r="GQ303" s="33"/>
      <c r="GR303" s="33"/>
      <c r="GS303" s="33"/>
      <c r="GT303" s="33"/>
      <c r="GU303" s="33"/>
      <c r="GV303" s="33"/>
      <c r="GW303" s="33"/>
      <c r="GX303" s="33">
        <v>0.42777930000000003</v>
      </c>
      <c r="GY303" s="33"/>
      <c r="GZ303" s="33">
        <v>0.20622030000000002</v>
      </c>
      <c r="HA303" s="33"/>
      <c r="HB303" s="33"/>
      <c r="HC303" s="33"/>
      <c r="HD303" s="33"/>
      <c r="HE303" s="33"/>
      <c r="HF303" s="33"/>
      <c r="HG303" s="33"/>
      <c r="HH303" s="33"/>
      <c r="HI303" s="33"/>
      <c r="HJ303" s="33"/>
      <c r="HK303" s="33"/>
      <c r="HL303" s="33"/>
      <c r="HM303" s="33"/>
      <c r="HN303" s="33"/>
      <c r="HO303" s="33"/>
      <c r="HP303" s="33"/>
      <c r="HQ303" s="33"/>
      <c r="HR303" s="33">
        <v>0.2454192</v>
      </c>
      <c r="HS303" s="33"/>
      <c r="HT303" s="33"/>
      <c r="HU303" s="33"/>
      <c r="HV303" s="33"/>
      <c r="HW303" s="33"/>
      <c r="HX303" s="33"/>
      <c r="HY303" s="33"/>
      <c r="HZ303" s="33"/>
      <c r="IA303" s="33"/>
      <c r="IB303" s="33"/>
      <c r="IC303" s="33"/>
      <c r="ID303" s="33"/>
      <c r="IE303" s="33"/>
      <c r="IF303" s="33"/>
      <c r="IG303" s="33"/>
      <c r="IH303" s="33"/>
      <c r="II303" s="33"/>
      <c r="IJ303" s="33"/>
      <c r="IK303" s="33"/>
      <c r="IL303" s="33"/>
      <c r="IM303" s="33"/>
      <c r="IN303" s="33"/>
      <c r="IO303" s="33"/>
      <c r="IP303" s="33"/>
      <c r="IQ303" s="33"/>
      <c r="IR303" s="33"/>
      <c r="IS303" s="33">
        <v>0.32722560000000001</v>
      </c>
      <c r="IT303" s="33"/>
      <c r="IU303" s="33"/>
      <c r="IV303" s="33"/>
      <c r="IW303" s="33"/>
      <c r="IX303" s="33"/>
      <c r="IY303" s="33"/>
      <c r="IZ303" s="33"/>
      <c r="JA303" s="33"/>
      <c r="JB303" s="33">
        <v>0.49935990000000002</v>
      </c>
      <c r="JC303" s="33"/>
      <c r="JD303" s="33"/>
      <c r="JE303" s="33"/>
      <c r="JF303" s="33"/>
      <c r="JG303" s="33"/>
      <c r="JH303" s="33"/>
      <c r="JI303" s="33"/>
      <c r="JJ303" s="33"/>
      <c r="JK303" s="33"/>
      <c r="JL303" s="33"/>
      <c r="JM303" s="33"/>
      <c r="JN303" s="33"/>
      <c r="JO303" s="33"/>
      <c r="JP303" s="33"/>
      <c r="JQ303" s="33"/>
      <c r="JR303" s="33"/>
      <c r="KZ303" s="33"/>
      <c r="LA303" s="33"/>
      <c r="LB303" s="33"/>
      <c r="LC303" s="33"/>
      <c r="LD303" s="33"/>
      <c r="LE303" s="33"/>
      <c r="LF303" s="33"/>
      <c r="LG303" s="33"/>
      <c r="LH303" s="33"/>
      <c r="LI303" s="33"/>
      <c r="LJ303" s="33"/>
      <c r="LK303" s="33"/>
      <c r="LL303" s="33"/>
      <c r="LM303" s="33"/>
      <c r="LN303" s="33"/>
      <c r="LO303" s="33"/>
      <c r="LP303" s="44"/>
      <c r="LQ303" s="44"/>
      <c r="LR303" s="44"/>
      <c r="LS303" s="44"/>
      <c r="LT303" s="44"/>
      <c r="LU303" s="44"/>
      <c r="LV303" s="44"/>
    </row>
    <row r="304" spans="1:334" x14ac:dyDescent="0.2">
      <c r="A304" s="1" t="s">
        <v>8763</v>
      </c>
      <c r="D304" s="1" t="s">
        <v>8764</v>
      </c>
      <c r="E304" s="1" t="s">
        <v>7966</v>
      </c>
      <c r="F304" s="1" t="s">
        <v>8765</v>
      </c>
      <c r="H304" s="1" t="s">
        <v>8766</v>
      </c>
      <c r="K304" s="1">
        <v>2016</v>
      </c>
      <c r="L304" s="1" t="s">
        <v>8701</v>
      </c>
      <c r="M304" s="1" t="s">
        <v>7657</v>
      </c>
      <c r="N304" s="17" t="s">
        <v>7945</v>
      </c>
      <c r="O304" s="33"/>
      <c r="P304" s="33"/>
      <c r="Q304" s="33"/>
      <c r="R304" s="33"/>
      <c r="S304" s="33">
        <v>7.8</v>
      </c>
      <c r="T304" s="33"/>
      <c r="U304" s="33"/>
      <c r="V304" s="33"/>
      <c r="W304" s="33"/>
      <c r="X304" s="33"/>
      <c r="Y304" s="33"/>
      <c r="Z304" s="33"/>
      <c r="AA304" s="33"/>
      <c r="AB304" s="33"/>
      <c r="AC304" s="33"/>
      <c r="AD304" s="33"/>
      <c r="AE304" s="33"/>
      <c r="AF304" s="33"/>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33"/>
      <c r="BC304" s="33"/>
      <c r="BD304" s="33"/>
      <c r="BE304" s="33"/>
      <c r="BF304" s="33"/>
      <c r="BG304" s="33"/>
      <c r="BH304" s="33"/>
      <c r="BI304" s="33"/>
      <c r="BJ304" s="33"/>
      <c r="BK304" s="33"/>
      <c r="BL304" s="33"/>
      <c r="BM304" s="33"/>
      <c r="BN304" s="33"/>
      <c r="BO304" s="33"/>
      <c r="BP304" s="33"/>
      <c r="BQ304" s="33"/>
      <c r="BR304" s="33"/>
      <c r="BS304" s="33"/>
      <c r="BT304" s="33"/>
      <c r="BU304" s="33"/>
      <c r="BV304" s="33"/>
      <c r="BW304" s="33"/>
      <c r="BX304" s="33"/>
      <c r="BY304" s="33"/>
      <c r="BZ304" s="33"/>
      <c r="CA304" s="33"/>
      <c r="CB304" s="33"/>
      <c r="CC304" s="33"/>
      <c r="CD304" s="33"/>
      <c r="CE304" s="33"/>
      <c r="CF304" s="33"/>
      <c r="CG304" s="33"/>
      <c r="CH304" s="33"/>
      <c r="CI304" s="33"/>
      <c r="CJ304" s="33"/>
      <c r="CK304" s="33"/>
      <c r="CL304" s="33"/>
      <c r="CM304" s="33"/>
      <c r="CN304" s="33"/>
      <c r="CO304" s="33"/>
      <c r="CP304" s="33"/>
      <c r="CQ304" s="33"/>
      <c r="CR304" s="33"/>
      <c r="CS304" s="33"/>
      <c r="CT304" s="33"/>
      <c r="CU304" s="33"/>
      <c r="CV304" s="33"/>
      <c r="CW304" s="33"/>
      <c r="CX304" s="33"/>
      <c r="CY304" s="33"/>
      <c r="CZ304" s="33"/>
      <c r="DA304" s="33"/>
      <c r="DB304" s="33"/>
      <c r="DC304" s="33"/>
      <c r="DD304" s="33"/>
      <c r="DE304" s="33"/>
      <c r="DF304" s="33"/>
      <c r="DG304" s="33"/>
      <c r="DH304" s="33"/>
      <c r="DI304" s="33"/>
      <c r="DJ304" s="33"/>
      <c r="DK304" s="33"/>
      <c r="DL304" s="33"/>
      <c r="DM304" s="33"/>
      <c r="DN304" s="33"/>
      <c r="DO304" s="33"/>
      <c r="DP304" s="33"/>
      <c r="DQ304" s="33"/>
      <c r="DR304" s="33"/>
      <c r="DS304" s="33"/>
      <c r="DT304" s="33"/>
      <c r="DU304" s="33"/>
      <c r="DV304" s="33"/>
      <c r="DW304" s="33"/>
      <c r="DX304" s="33"/>
      <c r="DY304" s="33"/>
      <c r="DZ304" s="33"/>
      <c r="EA304" s="33"/>
      <c r="EB304" s="33"/>
      <c r="EC304" s="33"/>
      <c r="ED304" s="33"/>
      <c r="EE304" s="33"/>
      <c r="EF304" s="33"/>
      <c r="EG304" s="33"/>
      <c r="EH304" s="33"/>
      <c r="EI304" s="33"/>
      <c r="EJ304" s="33"/>
      <c r="EK304" s="33"/>
      <c r="EL304" s="33"/>
      <c r="EM304" s="33"/>
      <c r="EN304" s="33"/>
      <c r="EO304" s="33"/>
      <c r="EP304" s="33"/>
      <c r="EQ304" s="33"/>
      <c r="ER304" s="33"/>
      <c r="ES304" s="33"/>
      <c r="ET304" s="33"/>
      <c r="EU304" s="33"/>
      <c r="EV304" s="33"/>
      <c r="EW304" s="33"/>
      <c r="EX304" s="33"/>
      <c r="EY304" s="33"/>
      <c r="EZ304" s="33"/>
      <c r="FA304" s="33"/>
      <c r="FB304" s="33"/>
      <c r="FC304" s="33"/>
      <c r="FD304" s="33"/>
      <c r="FE304" s="33"/>
      <c r="FF304" s="33"/>
      <c r="FG304" s="33"/>
      <c r="FH304" s="33"/>
      <c r="FI304" s="33"/>
      <c r="FJ304" s="33"/>
      <c r="FK304" s="33"/>
      <c r="FL304" s="33"/>
      <c r="FM304" s="33"/>
      <c r="FN304" s="33"/>
      <c r="FO304" s="33"/>
      <c r="FP304" s="33"/>
      <c r="FQ304" s="33"/>
      <c r="FR304" s="33"/>
      <c r="FS304" s="33"/>
      <c r="FT304" s="33"/>
      <c r="FU304" s="33"/>
      <c r="FV304" s="33"/>
      <c r="FW304" s="33"/>
      <c r="FX304" s="33"/>
      <c r="FY304" s="33"/>
      <c r="FZ304" s="33"/>
      <c r="GA304" s="33">
        <v>12.539200000000001</v>
      </c>
      <c r="GB304" s="33"/>
      <c r="GC304" s="33"/>
      <c r="GD304" s="33">
        <v>4.6896608000000004</v>
      </c>
      <c r="GE304" s="33">
        <v>0.63949919999999993</v>
      </c>
      <c r="GF304" s="33">
        <v>7.2100400000000002</v>
      </c>
      <c r="GG304" s="33"/>
      <c r="GH304" s="33"/>
      <c r="GI304" s="33"/>
      <c r="GJ304" s="33"/>
      <c r="GK304" s="33"/>
      <c r="GL304" s="33"/>
      <c r="GM304" s="33"/>
      <c r="GN304" s="33"/>
      <c r="GO304" s="33"/>
      <c r="GP304" s="33"/>
      <c r="GQ304" s="33"/>
      <c r="GR304" s="33"/>
      <c r="GS304" s="33"/>
      <c r="GT304" s="33"/>
      <c r="GU304" s="33"/>
      <c r="GV304" s="33"/>
      <c r="GW304" s="33"/>
      <c r="GX304" s="33">
        <v>3.8746128</v>
      </c>
      <c r="GY304" s="33"/>
      <c r="GZ304" s="33">
        <v>0.81504799999999999</v>
      </c>
      <c r="HA304" s="33"/>
      <c r="HB304" s="33"/>
      <c r="HC304" s="33"/>
      <c r="HD304" s="33"/>
      <c r="HE304" s="33"/>
      <c r="HF304" s="33"/>
      <c r="HG304" s="33"/>
      <c r="HH304" s="33"/>
      <c r="HI304" s="33"/>
      <c r="HJ304" s="33"/>
      <c r="HK304" s="33"/>
      <c r="HL304" s="33"/>
      <c r="HM304" s="33"/>
      <c r="HN304" s="33"/>
      <c r="HO304" s="33"/>
      <c r="HP304" s="33"/>
      <c r="HQ304" s="33"/>
      <c r="HR304" s="33">
        <v>0.63949919999999993</v>
      </c>
      <c r="HS304" s="33"/>
      <c r="HT304" s="33"/>
      <c r="HU304" s="33"/>
      <c r="HV304" s="33"/>
      <c r="HW304" s="33"/>
      <c r="HX304" s="33"/>
      <c r="HY304" s="33"/>
      <c r="HZ304" s="33"/>
      <c r="IA304" s="33"/>
      <c r="IB304" s="33"/>
      <c r="IC304" s="33"/>
      <c r="ID304" s="33"/>
      <c r="IE304" s="33"/>
      <c r="IF304" s="33"/>
      <c r="IG304" s="33"/>
      <c r="IH304" s="33"/>
      <c r="II304" s="33"/>
      <c r="IJ304" s="33"/>
      <c r="IK304" s="33"/>
      <c r="IL304" s="33"/>
      <c r="IM304" s="33"/>
      <c r="IN304" s="33"/>
      <c r="IO304" s="33"/>
      <c r="IP304" s="33"/>
      <c r="IQ304" s="33"/>
      <c r="IR304" s="33"/>
      <c r="IS304" s="33">
        <v>5.4921695999999995</v>
      </c>
      <c r="IT304" s="33"/>
      <c r="IU304" s="33"/>
      <c r="IV304" s="33"/>
      <c r="IW304" s="33"/>
      <c r="IX304" s="33"/>
      <c r="IY304" s="33"/>
      <c r="IZ304" s="33"/>
      <c r="JA304" s="33"/>
      <c r="JB304" s="33">
        <v>1.7178704000000002</v>
      </c>
      <c r="JC304" s="33"/>
      <c r="JD304" s="33"/>
      <c r="JE304" s="33"/>
      <c r="JF304" s="33"/>
      <c r="JG304" s="33"/>
      <c r="JH304" s="33"/>
      <c r="JI304" s="33"/>
      <c r="JJ304" s="33"/>
      <c r="JK304" s="33"/>
      <c r="JL304" s="33"/>
      <c r="JM304" s="33"/>
      <c r="JN304" s="33"/>
      <c r="JO304" s="33"/>
      <c r="JP304" s="33"/>
      <c r="JQ304" s="33"/>
      <c r="JR304" s="33"/>
      <c r="KZ304" s="33"/>
      <c r="LA304" s="33"/>
      <c r="LB304" s="33"/>
      <c r="LC304" s="33"/>
      <c r="LD304" s="33"/>
      <c r="LE304" s="33"/>
      <c r="LF304" s="33"/>
      <c r="LG304" s="33"/>
      <c r="LH304" s="33"/>
      <c r="LI304" s="33"/>
      <c r="LJ304" s="33"/>
      <c r="LK304" s="33"/>
      <c r="LL304" s="33"/>
      <c r="LM304" s="33"/>
      <c r="LN304" s="33"/>
      <c r="LO304" s="33"/>
      <c r="LP304" s="44"/>
      <c r="LQ304" s="44"/>
      <c r="LR304" s="44"/>
      <c r="LS304" s="44"/>
      <c r="LT304" s="44"/>
      <c r="LU304" s="44"/>
      <c r="LV304" s="44"/>
    </row>
    <row r="305" spans="1:334" x14ac:dyDescent="0.2">
      <c r="A305" s="1" t="s">
        <v>8767</v>
      </c>
      <c r="B305" s="1" t="s">
        <v>8768</v>
      </c>
      <c r="D305" s="1" t="s">
        <v>8769</v>
      </c>
      <c r="E305" s="1" t="s">
        <v>7966</v>
      </c>
      <c r="F305" s="1" t="s">
        <v>6263</v>
      </c>
      <c r="H305" s="1" t="s">
        <v>8770</v>
      </c>
      <c r="K305" s="1">
        <v>2016</v>
      </c>
      <c r="L305" s="1" t="s">
        <v>8701</v>
      </c>
      <c r="M305" s="1" t="s">
        <v>7657</v>
      </c>
      <c r="N305" s="17" t="s">
        <v>7945</v>
      </c>
      <c r="O305" s="33"/>
      <c r="P305" s="33"/>
      <c r="Q305" s="33"/>
      <c r="R305" s="33"/>
      <c r="S305" s="33">
        <v>10.5</v>
      </c>
      <c r="T305" s="33"/>
      <c r="U305" s="33"/>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c r="BR305" s="33"/>
      <c r="BS305" s="33"/>
      <c r="BT305" s="33"/>
      <c r="BU305" s="33"/>
      <c r="BV305" s="33"/>
      <c r="BW305" s="33"/>
      <c r="BX305" s="33"/>
      <c r="BY305" s="33"/>
      <c r="BZ305" s="33"/>
      <c r="CA305" s="33"/>
      <c r="CB305" s="33"/>
      <c r="CC305" s="33"/>
      <c r="CD305" s="33"/>
      <c r="CE305" s="33"/>
      <c r="CF305" s="33"/>
      <c r="CG305" s="33"/>
      <c r="CH305" s="33"/>
      <c r="CI305" s="33"/>
      <c r="CJ305" s="33"/>
      <c r="CK305" s="33"/>
      <c r="CL305" s="33"/>
      <c r="CM305" s="33"/>
      <c r="CN305" s="33"/>
      <c r="CO305" s="33"/>
      <c r="CP305" s="33"/>
      <c r="CQ305" s="33"/>
      <c r="CR305" s="33"/>
      <c r="CS305" s="33"/>
      <c r="CT305" s="33"/>
      <c r="CU305" s="33"/>
      <c r="CV305" s="33"/>
      <c r="CW305" s="33"/>
      <c r="CX305" s="33"/>
      <c r="CY305" s="33"/>
      <c r="CZ305" s="33"/>
      <c r="DA305" s="33"/>
      <c r="DB305" s="33"/>
      <c r="DC305" s="33"/>
      <c r="DD305" s="33"/>
      <c r="DE305" s="33"/>
      <c r="DF305" s="33"/>
      <c r="DG305" s="33"/>
      <c r="DH305" s="33"/>
      <c r="DI305" s="33"/>
      <c r="DJ305" s="33"/>
      <c r="DK305" s="33"/>
      <c r="DL305" s="33"/>
      <c r="DM305" s="33"/>
      <c r="DN305" s="33"/>
      <c r="DO305" s="33"/>
      <c r="DP305" s="33"/>
      <c r="DQ305" s="33"/>
      <c r="DR305" s="33"/>
      <c r="DS305" s="33"/>
      <c r="DT305" s="33"/>
      <c r="DU305" s="33"/>
      <c r="DV305" s="33"/>
      <c r="DW305" s="33"/>
      <c r="DX305" s="33"/>
      <c r="DY305" s="33"/>
      <c r="DZ305" s="33"/>
      <c r="EA305" s="33"/>
      <c r="EB305" s="33"/>
      <c r="EC305" s="33"/>
      <c r="ED305" s="33"/>
      <c r="EE305" s="33"/>
      <c r="EF305" s="33"/>
      <c r="EG305" s="33"/>
      <c r="EH305" s="33"/>
      <c r="EI305" s="33"/>
      <c r="EJ305" s="33"/>
      <c r="EK305" s="33"/>
      <c r="EL305" s="33"/>
      <c r="EM305" s="33"/>
      <c r="EN305" s="33"/>
      <c r="EO305" s="33"/>
      <c r="EP305" s="33"/>
      <c r="EQ305" s="33"/>
      <c r="ER305" s="33"/>
      <c r="ES305" s="33"/>
      <c r="ET305" s="33"/>
      <c r="EU305" s="33"/>
      <c r="EV305" s="33"/>
      <c r="EW305" s="33"/>
      <c r="EX305" s="33"/>
      <c r="EY305" s="33"/>
      <c r="EZ305" s="33"/>
      <c r="FA305" s="33"/>
      <c r="FB305" s="33"/>
      <c r="FC305" s="33"/>
      <c r="FD305" s="33"/>
      <c r="FE305" s="33"/>
      <c r="FF305" s="33"/>
      <c r="FG305" s="33"/>
      <c r="FH305" s="33"/>
      <c r="FI305" s="33"/>
      <c r="FJ305" s="33"/>
      <c r="FK305" s="33"/>
      <c r="FL305" s="33"/>
      <c r="FM305" s="33"/>
      <c r="FN305" s="33"/>
      <c r="FO305" s="33"/>
      <c r="FP305" s="33"/>
      <c r="FQ305" s="33"/>
      <c r="FR305" s="33"/>
      <c r="FS305" s="33"/>
      <c r="FT305" s="33"/>
      <c r="FU305" s="33"/>
      <c r="FV305" s="33"/>
      <c r="FW305" s="33"/>
      <c r="FX305" s="33"/>
      <c r="FY305" s="33"/>
      <c r="FZ305" s="33"/>
      <c r="GA305" s="33">
        <v>4.2065000000000001</v>
      </c>
      <c r="GB305" s="33"/>
      <c r="GC305" s="33"/>
      <c r="GD305" s="33">
        <v>0.95487549999999999</v>
      </c>
      <c r="GE305" s="33">
        <v>0.25659650000000001</v>
      </c>
      <c r="GF305" s="33">
        <v>2.9950280000000005</v>
      </c>
      <c r="GG305" s="33"/>
      <c r="GH305" s="33"/>
      <c r="GI305" s="33"/>
      <c r="GJ305" s="33"/>
      <c r="GK305" s="33"/>
      <c r="GL305" s="33"/>
      <c r="GM305" s="33"/>
      <c r="GN305" s="33"/>
      <c r="GO305" s="33"/>
      <c r="GP305" s="33"/>
      <c r="GQ305" s="33"/>
      <c r="GR305" s="33"/>
      <c r="GS305" s="33"/>
      <c r="GT305" s="33"/>
      <c r="GU305" s="33"/>
      <c r="GV305" s="33"/>
      <c r="GW305" s="33"/>
      <c r="GX305" s="33">
        <v>0.78661550000000002</v>
      </c>
      <c r="GY305" s="33"/>
      <c r="GZ305" s="33">
        <v>0.16825999999999999</v>
      </c>
      <c r="HA305" s="33"/>
      <c r="HB305" s="33"/>
      <c r="HC305" s="33"/>
      <c r="HD305" s="33"/>
      <c r="HE305" s="33"/>
      <c r="HF305" s="33"/>
      <c r="HG305" s="33"/>
      <c r="HH305" s="33"/>
      <c r="HI305" s="33"/>
      <c r="HJ305" s="33"/>
      <c r="HK305" s="33"/>
      <c r="HL305" s="33"/>
      <c r="HM305" s="33"/>
      <c r="HN305" s="33"/>
      <c r="HO305" s="33"/>
      <c r="HP305" s="33"/>
      <c r="HQ305" s="33"/>
      <c r="HR305" s="33">
        <v>0.25659650000000001</v>
      </c>
      <c r="HS305" s="33"/>
      <c r="HT305" s="33"/>
      <c r="HU305" s="33"/>
      <c r="HV305" s="33"/>
      <c r="HW305" s="33"/>
      <c r="HX305" s="33"/>
      <c r="HY305" s="33"/>
      <c r="HZ305" s="33"/>
      <c r="IA305" s="33"/>
      <c r="IB305" s="33"/>
      <c r="IC305" s="33"/>
      <c r="ID305" s="33"/>
      <c r="IE305" s="33"/>
      <c r="IF305" s="33"/>
      <c r="IG305" s="33"/>
      <c r="IH305" s="33"/>
      <c r="II305" s="33"/>
      <c r="IJ305" s="33"/>
      <c r="IK305" s="33"/>
      <c r="IL305" s="33"/>
      <c r="IM305" s="33"/>
      <c r="IN305" s="33"/>
      <c r="IO305" s="33"/>
      <c r="IP305" s="33"/>
      <c r="IQ305" s="33"/>
      <c r="IR305" s="33"/>
      <c r="IS305" s="33">
        <v>1.3755255000000002</v>
      </c>
      <c r="IT305" s="33"/>
      <c r="IU305" s="33"/>
      <c r="IV305" s="33"/>
      <c r="IW305" s="33"/>
      <c r="IX305" s="33"/>
      <c r="IY305" s="33"/>
      <c r="IZ305" s="33"/>
      <c r="JA305" s="33"/>
      <c r="JB305" s="33">
        <v>1.6195025000000001</v>
      </c>
      <c r="JC305" s="33"/>
      <c r="JD305" s="33"/>
      <c r="JE305" s="33"/>
      <c r="JF305" s="33"/>
      <c r="JG305" s="33"/>
      <c r="JH305" s="33"/>
      <c r="JI305" s="33"/>
      <c r="JJ305" s="33"/>
      <c r="JK305" s="33"/>
      <c r="JL305" s="33"/>
      <c r="JM305" s="33"/>
      <c r="JN305" s="33"/>
      <c r="JO305" s="33"/>
      <c r="JP305" s="33"/>
      <c r="JQ305" s="33"/>
      <c r="JR305" s="33"/>
      <c r="KZ305" s="33"/>
      <c r="LA305" s="33"/>
      <c r="LB305" s="33"/>
      <c r="LC305" s="33"/>
      <c r="LD305" s="33"/>
      <c r="LE305" s="33"/>
      <c r="LF305" s="33"/>
      <c r="LG305" s="33"/>
      <c r="LH305" s="33"/>
      <c r="LI305" s="33"/>
      <c r="LJ305" s="33"/>
      <c r="LK305" s="33"/>
      <c r="LL305" s="33"/>
      <c r="LM305" s="33"/>
      <c r="LN305" s="33"/>
      <c r="LO305" s="33"/>
      <c r="LP305" s="44"/>
      <c r="LQ305" s="44"/>
      <c r="LR305" s="44"/>
      <c r="LS305" s="44"/>
      <c r="LT305" s="44"/>
      <c r="LU305" s="44"/>
      <c r="LV305" s="44"/>
    </row>
    <row r="306" spans="1:334" x14ac:dyDescent="0.2">
      <c r="A306" s="1" t="s">
        <v>8771</v>
      </c>
      <c r="B306" s="1" t="s">
        <v>2954</v>
      </c>
      <c r="D306" s="1" t="s">
        <v>8772</v>
      </c>
      <c r="E306" s="1" t="s">
        <v>7</v>
      </c>
      <c r="F306" s="1" t="s">
        <v>8773</v>
      </c>
      <c r="J306" s="1" t="s">
        <v>8774</v>
      </c>
      <c r="K306" s="1">
        <v>2009</v>
      </c>
      <c r="L306" s="1" t="s">
        <v>8775</v>
      </c>
      <c r="M306" s="1" t="s">
        <v>7657</v>
      </c>
      <c r="N306" s="17" t="s">
        <v>7945</v>
      </c>
      <c r="O306" s="33"/>
      <c r="P306" s="33"/>
      <c r="Q306" s="33"/>
      <c r="R306" s="33"/>
      <c r="S306" s="33"/>
      <c r="T306" s="33">
        <v>93.54</v>
      </c>
      <c r="U306" s="33"/>
      <c r="V306" s="33"/>
      <c r="W306" s="33"/>
      <c r="X306" s="33"/>
      <c r="Y306" s="33"/>
      <c r="Z306" s="33">
        <v>27.594300000000004</v>
      </c>
      <c r="AA306" s="33"/>
      <c r="AB306" s="33"/>
      <c r="AC306" s="33">
        <v>1.1786040000000002</v>
      </c>
      <c r="AD306" s="33"/>
      <c r="AE306" s="33"/>
      <c r="AF306" s="33"/>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33"/>
      <c r="BC306" s="33">
        <v>22.936008000000001</v>
      </c>
      <c r="BD306" s="33">
        <v>12.599838000000002</v>
      </c>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c r="CM306" s="33"/>
      <c r="CN306" s="33"/>
      <c r="CO306" s="33">
        <v>3.6574140000000006</v>
      </c>
      <c r="CP306" s="33"/>
      <c r="CQ306" s="33"/>
      <c r="CR306" s="33"/>
      <c r="CS306" s="33"/>
      <c r="CT306" s="33"/>
      <c r="CU306" s="33"/>
      <c r="CV306" s="33"/>
      <c r="CW306" s="33"/>
      <c r="CX306" s="33"/>
      <c r="CY306" s="33"/>
      <c r="CZ306" s="33"/>
      <c r="DA306" s="33"/>
      <c r="DB306" s="33"/>
      <c r="DC306" s="33"/>
      <c r="DD306" s="33"/>
      <c r="DE306" s="33"/>
      <c r="DF306" s="33"/>
      <c r="DG306" s="33"/>
      <c r="DH306" s="33"/>
      <c r="DI306" s="33"/>
      <c r="DJ306" s="33"/>
      <c r="DK306" s="33"/>
      <c r="DL306" s="33"/>
      <c r="DM306" s="33"/>
      <c r="DN306" s="33"/>
      <c r="DO306" s="33"/>
      <c r="DP306" s="33"/>
      <c r="DQ306" s="33"/>
      <c r="DR306" s="33"/>
      <c r="DS306" s="33"/>
      <c r="DT306" s="33"/>
      <c r="DU306" s="33"/>
      <c r="DV306" s="33"/>
      <c r="DW306" s="33"/>
      <c r="DX306" s="33"/>
      <c r="DY306" s="33"/>
      <c r="DZ306" s="33"/>
      <c r="EA306" s="33"/>
      <c r="EB306" s="33"/>
      <c r="EC306" s="33"/>
      <c r="ED306" s="33"/>
      <c r="EE306" s="33"/>
      <c r="EF306" s="33"/>
      <c r="EG306" s="33"/>
      <c r="EH306" s="33"/>
      <c r="EI306" s="33"/>
      <c r="EJ306" s="33"/>
      <c r="EK306" s="33"/>
      <c r="EL306" s="33"/>
      <c r="EM306" s="33"/>
      <c r="EN306" s="33"/>
      <c r="EO306" s="33"/>
      <c r="EP306" s="33"/>
      <c r="EQ306" s="33"/>
      <c r="ER306" s="33"/>
      <c r="ES306" s="33"/>
      <c r="ET306" s="33"/>
      <c r="EU306" s="33"/>
      <c r="EV306" s="33"/>
      <c r="EW306" s="33"/>
      <c r="EX306" s="33"/>
      <c r="EY306" s="33"/>
      <c r="EZ306" s="33"/>
      <c r="FA306" s="33"/>
      <c r="FB306" s="33"/>
      <c r="FC306" s="33"/>
      <c r="FD306" s="33"/>
      <c r="FE306" s="33"/>
      <c r="FF306" s="33"/>
      <c r="FG306" s="33"/>
      <c r="FH306" s="33"/>
      <c r="FI306" s="33"/>
      <c r="FJ306" s="33"/>
      <c r="FK306" s="33"/>
      <c r="FL306" s="33"/>
      <c r="FM306" s="33"/>
      <c r="FN306" s="33"/>
      <c r="FO306" s="33"/>
      <c r="FP306" s="33"/>
      <c r="FQ306" s="33"/>
      <c r="FR306" s="33"/>
      <c r="FS306" s="33"/>
      <c r="FT306" s="33"/>
      <c r="FU306" s="33"/>
      <c r="FV306" s="33"/>
      <c r="FW306" s="33"/>
      <c r="FX306" s="33"/>
      <c r="FY306" s="33"/>
      <c r="FZ306" s="33"/>
      <c r="GA306" s="33"/>
      <c r="GB306" s="33"/>
      <c r="GC306" s="33"/>
      <c r="GD306" s="33"/>
      <c r="GE306" s="33"/>
      <c r="GF306" s="33"/>
      <c r="GG306" s="33"/>
      <c r="GH306" s="33"/>
      <c r="GI306" s="33"/>
      <c r="GJ306" s="33"/>
      <c r="GK306" s="33"/>
      <c r="GL306" s="33"/>
      <c r="GM306" s="33"/>
      <c r="GN306" s="33"/>
      <c r="GO306" s="33"/>
      <c r="GP306" s="33"/>
      <c r="GQ306" s="33"/>
      <c r="GR306" s="33"/>
      <c r="GS306" s="33"/>
      <c r="GT306" s="33"/>
      <c r="GU306" s="33"/>
      <c r="GV306" s="33"/>
      <c r="GW306" s="33"/>
      <c r="GX306" s="33"/>
      <c r="GY306" s="33"/>
      <c r="GZ306" s="33"/>
      <c r="HA306" s="33"/>
      <c r="HB306" s="33"/>
      <c r="HC306" s="33"/>
      <c r="HD306" s="33"/>
      <c r="HE306" s="33"/>
      <c r="HF306" s="33"/>
      <c r="HG306" s="33"/>
      <c r="HH306" s="33"/>
      <c r="HI306" s="33"/>
      <c r="HJ306" s="33"/>
      <c r="HK306" s="33"/>
      <c r="HL306" s="33"/>
      <c r="HM306" s="33"/>
      <c r="HN306" s="33"/>
      <c r="HO306" s="33"/>
      <c r="HP306" s="33"/>
      <c r="HQ306" s="33"/>
      <c r="HR306" s="33"/>
      <c r="HS306" s="33"/>
      <c r="HT306" s="33"/>
      <c r="HU306" s="33"/>
      <c r="HV306" s="33"/>
      <c r="HW306" s="33"/>
      <c r="HX306" s="33"/>
      <c r="HY306" s="33"/>
      <c r="HZ306" s="33"/>
      <c r="IA306" s="33"/>
      <c r="IB306" s="33"/>
      <c r="IC306" s="33"/>
      <c r="ID306" s="33"/>
      <c r="IE306" s="33"/>
      <c r="IF306" s="33"/>
      <c r="IG306" s="33"/>
      <c r="IH306" s="33"/>
      <c r="II306" s="33"/>
      <c r="IJ306" s="33"/>
      <c r="IK306" s="33"/>
      <c r="IL306" s="33"/>
      <c r="IM306" s="33"/>
      <c r="IN306" s="33"/>
      <c r="IO306" s="33"/>
      <c r="IP306" s="33"/>
      <c r="IQ306" s="33"/>
      <c r="IR306" s="33"/>
      <c r="IS306" s="33"/>
      <c r="IT306" s="33"/>
      <c r="IU306" s="33"/>
      <c r="IV306" s="33"/>
      <c r="IW306" s="33"/>
      <c r="IX306" s="33"/>
      <c r="IY306" s="33"/>
      <c r="IZ306" s="33"/>
      <c r="JA306" s="33"/>
      <c r="JB306" s="33"/>
      <c r="JC306" s="33"/>
      <c r="JD306" s="33"/>
      <c r="JE306" s="33"/>
      <c r="JF306" s="33"/>
      <c r="JG306" s="33"/>
      <c r="JH306" s="33"/>
      <c r="JI306" s="33"/>
      <c r="JJ306" s="33"/>
      <c r="JK306" s="33"/>
      <c r="JL306" s="33"/>
      <c r="JM306" s="33"/>
      <c r="JN306" s="33"/>
      <c r="JO306" s="33"/>
      <c r="JP306" s="33"/>
      <c r="JQ306" s="33"/>
      <c r="JR306" s="33"/>
      <c r="KZ306" s="33"/>
      <c r="LA306" s="33"/>
      <c r="LB306" s="33"/>
      <c r="LC306" s="33"/>
      <c r="LD306" s="33"/>
      <c r="LE306" s="33"/>
      <c r="LF306" s="33"/>
      <c r="LG306" s="33"/>
      <c r="LH306" s="33"/>
      <c r="LI306" s="33"/>
      <c r="LJ306" s="33"/>
      <c r="LK306" s="33"/>
      <c r="LL306" s="33"/>
      <c r="LM306" s="33"/>
      <c r="LN306" s="33"/>
      <c r="LO306" s="33"/>
      <c r="LP306" s="44"/>
      <c r="LQ306" s="44"/>
      <c r="LR306" s="44"/>
      <c r="LS306" s="44"/>
      <c r="LT306" s="44"/>
      <c r="LU306" s="44"/>
      <c r="LV306" s="44"/>
    </row>
    <row r="307" spans="1:334" x14ac:dyDescent="0.2">
      <c r="A307" s="1" t="s">
        <v>8776</v>
      </c>
      <c r="B307" s="1" t="s">
        <v>2954</v>
      </c>
      <c r="D307" s="1" t="s">
        <v>8777</v>
      </c>
      <c r="E307" s="1" t="s">
        <v>8099</v>
      </c>
      <c r="F307" s="1" t="s">
        <v>8773</v>
      </c>
      <c r="J307" s="1" t="s">
        <v>8774</v>
      </c>
      <c r="K307" s="1">
        <v>2009</v>
      </c>
      <c r="L307" s="1" t="s">
        <v>8775</v>
      </c>
      <c r="M307" s="1" t="s">
        <v>7657</v>
      </c>
      <c r="N307" s="17" t="s">
        <v>7945</v>
      </c>
      <c r="O307" s="33"/>
      <c r="P307" s="33"/>
      <c r="Q307" s="33"/>
      <c r="R307" s="33"/>
      <c r="S307" s="33"/>
      <c r="T307" s="33">
        <v>92.33</v>
      </c>
      <c r="U307" s="33"/>
      <c r="V307" s="33"/>
      <c r="W307" s="33"/>
      <c r="X307" s="33"/>
      <c r="Y307" s="33"/>
      <c r="Z307" s="33">
        <v>31.179841</v>
      </c>
      <c r="AA307" s="33"/>
      <c r="AB307" s="33"/>
      <c r="AC307" s="33">
        <v>1.1264259999999999</v>
      </c>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v>11.328890999999999</v>
      </c>
      <c r="BD307" s="33">
        <v>2.1697550000000003</v>
      </c>
      <c r="BE307" s="33"/>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33"/>
      <c r="CM307" s="33"/>
      <c r="CN307" s="33"/>
      <c r="CO307" s="33">
        <v>3.7947630000000006</v>
      </c>
      <c r="CP307" s="33"/>
      <c r="CQ307" s="33"/>
      <c r="CR307" s="33"/>
      <c r="CS307" s="33"/>
      <c r="CT307" s="33"/>
      <c r="CU307" s="33"/>
      <c r="CV307" s="33"/>
      <c r="CW307" s="33"/>
      <c r="CX307" s="33"/>
      <c r="CY307" s="33"/>
      <c r="CZ307" s="33"/>
      <c r="DA307" s="33"/>
      <c r="DB307" s="33"/>
      <c r="DC307" s="33"/>
      <c r="DD307" s="33"/>
      <c r="DE307" s="33"/>
      <c r="DF307" s="33"/>
      <c r="DG307" s="33"/>
      <c r="DH307" s="33"/>
      <c r="DI307" s="33"/>
      <c r="DJ307" s="33"/>
      <c r="DK307" s="33"/>
      <c r="DL307" s="33"/>
      <c r="DM307" s="33"/>
      <c r="DN307" s="33"/>
      <c r="DO307" s="33"/>
      <c r="DP307" s="33"/>
      <c r="DQ307" s="33"/>
      <c r="DR307" s="33"/>
      <c r="DS307" s="33"/>
      <c r="DT307" s="33"/>
      <c r="DU307" s="33"/>
      <c r="DV307" s="33"/>
      <c r="DW307" s="33"/>
      <c r="DX307" s="33"/>
      <c r="DY307" s="33"/>
      <c r="DZ307" s="33"/>
      <c r="EA307" s="33"/>
      <c r="EB307" s="33"/>
      <c r="EC307" s="33"/>
      <c r="ED307" s="33"/>
      <c r="EE307" s="33"/>
      <c r="EF307" s="33"/>
      <c r="EG307" s="33"/>
      <c r="EH307" s="33"/>
      <c r="EI307" s="33"/>
      <c r="EJ307" s="33"/>
      <c r="EK307" s="33"/>
      <c r="EL307" s="33"/>
      <c r="EM307" s="33"/>
      <c r="EN307" s="33"/>
      <c r="EO307" s="33"/>
      <c r="EP307" s="33"/>
      <c r="EQ307" s="33"/>
      <c r="ER307" s="33"/>
      <c r="ES307" s="33"/>
      <c r="ET307" s="33"/>
      <c r="EU307" s="33"/>
      <c r="EV307" s="33"/>
      <c r="EW307" s="33"/>
      <c r="EX307" s="33"/>
      <c r="EY307" s="33"/>
      <c r="EZ307" s="33"/>
      <c r="FA307" s="33"/>
      <c r="FB307" s="33"/>
      <c r="FC307" s="33"/>
      <c r="FD307" s="33"/>
      <c r="FE307" s="33"/>
      <c r="FF307" s="33"/>
      <c r="FG307" s="33"/>
      <c r="FH307" s="33"/>
      <c r="FI307" s="33"/>
      <c r="FJ307" s="33"/>
      <c r="FK307" s="33"/>
      <c r="FL307" s="33"/>
      <c r="FM307" s="33"/>
      <c r="FN307" s="33"/>
      <c r="FO307" s="33"/>
      <c r="FP307" s="33"/>
      <c r="FQ307" s="33"/>
      <c r="FR307" s="33"/>
      <c r="FS307" s="33"/>
      <c r="FT307" s="33"/>
      <c r="FU307" s="33"/>
      <c r="FV307" s="33"/>
      <c r="FW307" s="33"/>
      <c r="FX307" s="33"/>
      <c r="FY307" s="33"/>
      <c r="FZ307" s="33"/>
      <c r="GA307" s="33"/>
      <c r="GB307" s="33"/>
      <c r="GC307" s="33"/>
      <c r="GD307" s="33"/>
      <c r="GE307" s="33"/>
      <c r="GF307" s="33"/>
      <c r="GG307" s="33"/>
      <c r="GH307" s="33"/>
      <c r="GI307" s="33"/>
      <c r="GJ307" s="33"/>
      <c r="GK307" s="33"/>
      <c r="GL307" s="33"/>
      <c r="GM307" s="33"/>
      <c r="GN307" s="33"/>
      <c r="GO307" s="33"/>
      <c r="GP307" s="33"/>
      <c r="GQ307" s="33"/>
      <c r="GR307" s="33"/>
      <c r="GS307" s="33"/>
      <c r="GT307" s="33"/>
      <c r="GU307" s="33"/>
      <c r="GV307" s="33"/>
      <c r="GW307" s="33"/>
      <c r="GX307" s="33"/>
      <c r="GY307" s="33"/>
      <c r="GZ307" s="33"/>
      <c r="HA307" s="33"/>
      <c r="HB307" s="33"/>
      <c r="HC307" s="33"/>
      <c r="HD307" s="33"/>
      <c r="HE307" s="33"/>
      <c r="HF307" s="33"/>
      <c r="HG307" s="33"/>
      <c r="HH307" s="33"/>
      <c r="HI307" s="33"/>
      <c r="HJ307" s="33"/>
      <c r="HK307" s="33"/>
      <c r="HL307" s="33"/>
      <c r="HM307" s="33"/>
      <c r="HN307" s="33"/>
      <c r="HO307" s="33"/>
      <c r="HP307" s="33"/>
      <c r="HQ307" s="33"/>
      <c r="HR307" s="33"/>
      <c r="HS307" s="33"/>
      <c r="HT307" s="33"/>
      <c r="HU307" s="33"/>
      <c r="HV307" s="33"/>
      <c r="HW307" s="33"/>
      <c r="HX307" s="33"/>
      <c r="HY307" s="33"/>
      <c r="HZ307" s="33"/>
      <c r="IA307" s="33"/>
      <c r="IB307" s="33"/>
      <c r="IC307" s="33"/>
      <c r="ID307" s="33"/>
      <c r="IE307" s="33"/>
      <c r="IF307" s="33"/>
      <c r="IG307" s="33"/>
      <c r="IH307" s="33"/>
      <c r="II307" s="33"/>
      <c r="IJ307" s="33"/>
      <c r="IK307" s="33"/>
      <c r="IL307" s="33"/>
      <c r="IM307" s="33"/>
      <c r="IN307" s="33"/>
      <c r="IO307" s="33"/>
      <c r="IP307" s="33"/>
      <c r="IQ307" s="33"/>
      <c r="IR307" s="33"/>
      <c r="IS307" s="33"/>
      <c r="IT307" s="33"/>
      <c r="IU307" s="33"/>
      <c r="IV307" s="33"/>
      <c r="IW307" s="33"/>
      <c r="IX307" s="33"/>
      <c r="IY307" s="33"/>
      <c r="IZ307" s="33"/>
      <c r="JA307" s="33"/>
      <c r="JB307" s="33"/>
      <c r="JC307" s="33"/>
      <c r="JD307" s="33"/>
      <c r="JE307" s="33"/>
      <c r="JF307" s="33"/>
      <c r="JG307" s="33"/>
      <c r="JH307" s="33"/>
      <c r="JI307" s="33"/>
      <c r="JJ307" s="33"/>
      <c r="JK307" s="33"/>
      <c r="JL307" s="33"/>
      <c r="JM307" s="33"/>
      <c r="JN307" s="33"/>
      <c r="JO307" s="33"/>
      <c r="JP307" s="33"/>
      <c r="JQ307" s="33"/>
      <c r="JR307" s="33"/>
      <c r="KZ307" s="33"/>
      <c r="LA307" s="33"/>
      <c r="LB307" s="33"/>
      <c r="LC307" s="33"/>
      <c r="LD307" s="33"/>
      <c r="LE307" s="33"/>
      <c r="LF307" s="33"/>
      <c r="LG307" s="33"/>
      <c r="LH307" s="33"/>
      <c r="LI307" s="33"/>
      <c r="LJ307" s="33"/>
      <c r="LK307" s="33"/>
      <c r="LL307" s="33"/>
      <c r="LM307" s="33"/>
      <c r="LN307" s="33"/>
      <c r="LO307" s="33"/>
      <c r="LP307" s="44"/>
      <c r="LQ307" s="44"/>
      <c r="LR307" s="44"/>
      <c r="LS307" s="44"/>
      <c r="LT307" s="44"/>
      <c r="LU307" s="44"/>
      <c r="LV307" s="44"/>
    </row>
    <row r="308" spans="1:334" x14ac:dyDescent="0.2">
      <c r="A308" s="1" t="s">
        <v>8778</v>
      </c>
      <c r="B308" s="1" t="s">
        <v>2954</v>
      </c>
      <c r="D308" s="1" t="s">
        <v>8779</v>
      </c>
      <c r="E308" s="1" t="s">
        <v>11</v>
      </c>
      <c r="F308" s="1" t="s">
        <v>8773</v>
      </c>
      <c r="J308" s="1" t="s">
        <v>8774</v>
      </c>
      <c r="K308" s="1">
        <v>2009</v>
      </c>
      <c r="L308" s="1" t="s">
        <v>8775</v>
      </c>
      <c r="M308" s="1" t="s">
        <v>7657</v>
      </c>
      <c r="N308" s="17" t="s">
        <v>7945</v>
      </c>
      <c r="O308" s="33"/>
      <c r="P308" s="33"/>
      <c r="Q308" s="33"/>
      <c r="R308" s="33"/>
      <c r="S308" s="33"/>
      <c r="T308" s="33">
        <v>90.64</v>
      </c>
      <c r="U308" s="33"/>
      <c r="V308" s="33"/>
      <c r="W308" s="33"/>
      <c r="X308" s="33"/>
      <c r="Y308" s="33"/>
      <c r="Z308" s="33">
        <v>26.874760000000002</v>
      </c>
      <c r="AA308" s="33"/>
      <c r="AB308" s="33"/>
      <c r="AC308" s="33">
        <v>1.1692560000000001</v>
      </c>
      <c r="AD308" s="33"/>
      <c r="AE308" s="33"/>
      <c r="AF308" s="33"/>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33"/>
      <c r="BC308" s="33">
        <v>19.270064000000001</v>
      </c>
      <c r="BD308" s="33">
        <v>11.728816</v>
      </c>
      <c r="BE308" s="33"/>
      <c r="BF308" s="33"/>
      <c r="BG308" s="33"/>
      <c r="BH308" s="33"/>
      <c r="BI308" s="33"/>
      <c r="BJ308" s="33"/>
      <c r="BK308" s="33"/>
      <c r="BL308" s="33"/>
      <c r="BM308" s="33"/>
      <c r="BN308" s="33"/>
      <c r="BO308" s="33"/>
      <c r="BP308" s="33"/>
      <c r="BQ308" s="33"/>
      <c r="BR308" s="33"/>
      <c r="BS308" s="33"/>
      <c r="BT308" s="33"/>
      <c r="BU308" s="33"/>
      <c r="BV308" s="33"/>
      <c r="BW308" s="33"/>
      <c r="BX308" s="33"/>
      <c r="BY308" s="33"/>
      <c r="BZ308" s="33"/>
      <c r="CA308" s="33"/>
      <c r="CB308" s="33"/>
      <c r="CC308" s="33"/>
      <c r="CD308" s="33"/>
      <c r="CE308" s="33"/>
      <c r="CF308" s="33"/>
      <c r="CG308" s="33"/>
      <c r="CH308" s="33"/>
      <c r="CI308" s="33"/>
      <c r="CJ308" s="33"/>
      <c r="CK308" s="33"/>
      <c r="CL308" s="33"/>
      <c r="CM308" s="33"/>
      <c r="CN308" s="33"/>
      <c r="CO308" s="33">
        <v>3.6890480000000001</v>
      </c>
      <c r="CP308" s="33"/>
      <c r="CQ308" s="33"/>
      <c r="CR308" s="33"/>
      <c r="CS308" s="33"/>
      <c r="CT308" s="33"/>
      <c r="CU308" s="33"/>
      <c r="CV308" s="33"/>
      <c r="CW308" s="33"/>
      <c r="CX308" s="33"/>
      <c r="CY308" s="33"/>
      <c r="CZ308" s="33"/>
      <c r="DA308" s="33"/>
      <c r="DB308" s="33"/>
      <c r="DC308" s="33"/>
      <c r="DD308" s="33"/>
      <c r="DE308" s="33"/>
      <c r="DF308" s="33"/>
      <c r="DG308" s="33"/>
      <c r="DH308" s="33"/>
      <c r="DI308" s="33"/>
      <c r="DJ308" s="33"/>
      <c r="DK308" s="33"/>
      <c r="DL308" s="33"/>
      <c r="DM308" s="33"/>
      <c r="DN308" s="33"/>
      <c r="DO308" s="33"/>
      <c r="DP308" s="33"/>
      <c r="DQ308" s="33"/>
      <c r="DR308" s="33"/>
      <c r="DS308" s="33"/>
      <c r="DT308" s="33"/>
      <c r="DU308" s="33"/>
      <c r="DV308" s="33"/>
      <c r="DW308" s="33"/>
      <c r="DX308" s="33"/>
      <c r="DY308" s="33"/>
      <c r="DZ308" s="33"/>
      <c r="EA308" s="33"/>
      <c r="EB308" s="33"/>
      <c r="EC308" s="33"/>
      <c r="ED308" s="33"/>
      <c r="EE308" s="33"/>
      <c r="EF308" s="33"/>
      <c r="EG308" s="33"/>
      <c r="EH308" s="33"/>
      <c r="EI308" s="33"/>
      <c r="EJ308" s="33"/>
      <c r="EK308" s="33"/>
      <c r="EL308" s="33"/>
      <c r="EM308" s="33"/>
      <c r="EN308" s="33"/>
      <c r="EO308" s="33"/>
      <c r="EP308" s="33"/>
      <c r="EQ308" s="33"/>
      <c r="ER308" s="33"/>
      <c r="ES308" s="33"/>
      <c r="ET308" s="33"/>
      <c r="EU308" s="33"/>
      <c r="EV308" s="33"/>
      <c r="EW308" s="33"/>
      <c r="EX308" s="33"/>
      <c r="EY308" s="33"/>
      <c r="EZ308" s="33"/>
      <c r="FA308" s="33"/>
      <c r="FB308" s="33"/>
      <c r="FC308" s="33"/>
      <c r="FD308" s="33"/>
      <c r="FE308" s="33"/>
      <c r="FF308" s="33"/>
      <c r="FG308" s="33"/>
      <c r="FH308" s="33"/>
      <c r="FI308" s="33"/>
      <c r="FJ308" s="33"/>
      <c r="FK308" s="33"/>
      <c r="FL308" s="33"/>
      <c r="FM308" s="33"/>
      <c r="FN308" s="33"/>
      <c r="FO308" s="33"/>
      <c r="FP308" s="33"/>
      <c r="FQ308" s="33"/>
      <c r="FR308" s="33"/>
      <c r="FS308" s="33"/>
      <c r="FT308" s="33"/>
      <c r="FU308" s="33"/>
      <c r="FV308" s="33"/>
      <c r="FW308" s="33"/>
      <c r="FX308" s="33"/>
      <c r="FY308" s="33"/>
      <c r="FZ308" s="33"/>
      <c r="GA308" s="33"/>
      <c r="GB308" s="33"/>
      <c r="GC308" s="33"/>
      <c r="GD308" s="33"/>
      <c r="GE308" s="33"/>
      <c r="GF308" s="33"/>
      <c r="GG308" s="33"/>
      <c r="GH308" s="33"/>
      <c r="GI308" s="33"/>
      <c r="GJ308" s="33"/>
      <c r="GK308" s="33"/>
      <c r="GL308" s="33"/>
      <c r="GM308" s="33"/>
      <c r="GN308" s="33"/>
      <c r="GO308" s="33"/>
      <c r="GP308" s="33"/>
      <c r="GQ308" s="33"/>
      <c r="GR308" s="33"/>
      <c r="GS308" s="33"/>
      <c r="GT308" s="33"/>
      <c r="GU308" s="33"/>
      <c r="GV308" s="33"/>
      <c r="GW308" s="33"/>
      <c r="GX308" s="33"/>
      <c r="GY308" s="33"/>
      <c r="GZ308" s="33"/>
      <c r="HA308" s="33"/>
      <c r="HB308" s="33"/>
      <c r="HC308" s="33"/>
      <c r="HD308" s="33"/>
      <c r="HE308" s="33"/>
      <c r="HF308" s="33"/>
      <c r="HG308" s="33"/>
      <c r="HH308" s="33"/>
      <c r="HI308" s="33"/>
      <c r="HJ308" s="33"/>
      <c r="HK308" s="33"/>
      <c r="HL308" s="33"/>
      <c r="HM308" s="33"/>
      <c r="HN308" s="33"/>
      <c r="HO308" s="33"/>
      <c r="HP308" s="33"/>
      <c r="HQ308" s="33"/>
      <c r="HR308" s="33"/>
      <c r="HS308" s="33"/>
      <c r="HT308" s="33"/>
      <c r="HU308" s="33"/>
      <c r="HV308" s="33"/>
      <c r="HW308" s="33"/>
      <c r="HX308" s="33"/>
      <c r="HY308" s="33"/>
      <c r="HZ308" s="33"/>
      <c r="IA308" s="33"/>
      <c r="IB308" s="33"/>
      <c r="IC308" s="33"/>
      <c r="ID308" s="33"/>
      <c r="IE308" s="33"/>
      <c r="IF308" s="33"/>
      <c r="IG308" s="33"/>
      <c r="IH308" s="33"/>
      <c r="II308" s="33"/>
      <c r="IJ308" s="33"/>
      <c r="IK308" s="33"/>
      <c r="IL308" s="33"/>
      <c r="IM308" s="33"/>
      <c r="IN308" s="33"/>
      <c r="IO308" s="33"/>
      <c r="IP308" s="33"/>
      <c r="IQ308" s="33"/>
      <c r="IR308" s="33"/>
      <c r="IS308" s="33"/>
      <c r="IT308" s="33"/>
      <c r="IU308" s="33"/>
      <c r="IV308" s="33"/>
      <c r="IW308" s="33"/>
      <c r="IX308" s="33"/>
      <c r="IY308" s="33"/>
      <c r="IZ308" s="33"/>
      <c r="JA308" s="33"/>
      <c r="JB308" s="33"/>
      <c r="JC308" s="33"/>
      <c r="JD308" s="33"/>
      <c r="JE308" s="33"/>
      <c r="JF308" s="33"/>
      <c r="JG308" s="33"/>
      <c r="JH308" s="33"/>
      <c r="JI308" s="33"/>
      <c r="JJ308" s="33"/>
      <c r="JK308" s="33"/>
      <c r="JL308" s="33"/>
      <c r="JM308" s="33"/>
      <c r="JN308" s="33"/>
      <c r="JO308" s="33"/>
      <c r="JP308" s="33"/>
      <c r="JQ308" s="33"/>
      <c r="JR308" s="33"/>
      <c r="KZ308" s="33"/>
      <c r="LA308" s="33"/>
      <c r="LB308" s="33"/>
      <c r="LC308" s="33"/>
      <c r="LD308" s="33"/>
      <c r="LE308" s="33"/>
      <c r="LF308" s="33"/>
      <c r="LG308" s="33"/>
      <c r="LH308" s="33"/>
      <c r="LI308" s="33"/>
      <c r="LJ308" s="33"/>
      <c r="LK308" s="33"/>
      <c r="LL308" s="33"/>
      <c r="LM308" s="33"/>
      <c r="LN308" s="33"/>
      <c r="LO308" s="33"/>
      <c r="LP308" s="44"/>
      <c r="LQ308" s="44"/>
      <c r="LR308" s="44"/>
      <c r="LS308" s="44"/>
      <c r="LT308" s="44"/>
      <c r="LU308" s="44"/>
      <c r="LV308" s="44"/>
    </row>
    <row r="309" spans="1:334" x14ac:dyDescent="0.2">
      <c r="A309" s="1" t="s">
        <v>8780</v>
      </c>
      <c r="B309" s="1" t="s">
        <v>2954</v>
      </c>
      <c r="D309" s="1" t="s">
        <v>8781</v>
      </c>
      <c r="E309" s="1" t="s">
        <v>11</v>
      </c>
      <c r="F309" s="1" t="s">
        <v>8773</v>
      </c>
      <c r="H309" s="1" t="s">
        <v>8782</v>
      </c>
      <c r="J309" s="1" t="s">
        <v>8774</v>
      </c>
      <c r="K309" s="1">
        <v>2009</v>
      </c>
      <c r="L309" s="1" t="s">
        <v>8775</v>
      </c>
      <c r="M309" s="1" t="s">
        <v>7657</v>
      </c>
      <c r="N309" s="17" t="s">
        <v>7945</v>
      </c>
      <c r="O309" s="33"/>
      <c r="P309" s="33"/>
      <c r="Q309" s="33"/>
      <c r="R309" s="33"/>
      <c r="S309" s="33"/>
      <c r="T309" s="33">
        <v>92.14</v>
      </c>
      <c r="U309" s="33"/>
      <c r="V309" s="33"/>
      <c r="W309" s="33"/>
      <c r="X309" s="33"/>
      <c r="Y309" s="33"/>
      <c r="Z309" s="33">
        <v>26.720600000000001</v>
      </c>
      <c r="AA309" s="33"/>
      <c r="AB309" s="33"/>
      <c r="AC309" s="33">
        <v>1.179392</v>
      </c>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v>22.178097999999999</v>
      </c>
      <c r="BD309" s="33">
        <v>15.986290000000002</v>
      </c>
      <c r="BE309" s="33"/>
      <c r="BF309" s="33"/>
      <c r="BG309" s="33"/>
      <c r="BH309" s="33"/>
      <c r="BI309" s="33"/>
      <c r="BJ309" s="33"/>
      <c r="BK309" s="33"/>
      <c r="BL309" s="33"/>
      <c r="BM309" s="33"/>
      <c r="BN309" s="33"/>
      <c r="BO309" s="33"/>
      <c r="BP309" s="33"/>
      <c r="BQ309" s="33"/>
      <c r="BR309" s="33"/>
      <c r="BS309" s="33"/>
      <c r="BT309" s="33"/>
      <c r="BU309" s="33"/>
      <c r="BV309" s="33"/>
      <c r="BW309" s="33"/>
      <c r="BX309" s="33"/>
      <c r="BY309" s="33"/>
      <c r="BZ309" s="33"/>
      <c r="CA309" s="33"/>
      <c r="CB309" s="33"/>
      <c r="CC309" s="33"/>
      <c r="CD309" s="33"/>
      <c r="CE309" s="33"/>
      <c r="CF309" s="33"/>
      <c r="CG309" s="33"/>
      <c r="CH309" s="33"/>
      <c r="CI309" s="33"/>
      <c r="CJ309" s="33"/>
      <c r="CK309" s="33"/>
      <c r="CL309" s="33"/>
      <c r="CM309" s="33"/>
      <c r="CN309" s="33"/>
      <c r="CO309" s="33">
        <v>3.4183940000000002</v>
      </c>
      <c r="CP309" s="33"/>
      <c r="CQ309" s="33"/>
      <c r="CR309" s="33"/>
      <c r="CS309" s="33"/>
      <c r="CT309" s="33"/>
      <c r="CU309" s="33"/>
      <c r="CV309" s="33"/>
      <c r="CW309" s="33"/>
      <c r="CX309" s="33"/>
      <c r="CY309" s="33"/>
      <c r="CZ309" s="33"/>
      <c r="DA309" s="33"/>
      <c r="DB309" s="33"/>
      <c r="DC309" s="33"/>
      <c r="DD309" s="33"/>
      <c r="DE309" s="33"/>
      <c r="DF309" s="33"/>
      <c r="DG309" s="33"/>
      <c r="DH309" s="33"/>
      <c r="DI309" s="33"/>
      <c r="DJ309" s="33"/>
      <c r="DK309" s="33"/>
      <c r="DL309" s="33"/>
      <c r="DM309" s="33"/>
      <c r="DN309" s="33"/>
      <c r="DO309" s="33"/>
      <c r="DP309" s="33"/>
      <c r="DQ309" s="33"/>
      <c r="DR309" s="33"/>
      <c r="DS309" s="33"/>
      <c r="DT309" s="33"/>
      <c r="DU309" s="33"/>
      <c r="DV309" s="33"/>
      <c r="DW309" s="33"/>
      <c r="DX309" s="33"/>
      <c r="DY309" s="33"/>
      <c r="DZ309" s="33"/>
      <c r="EA309" s="33"/>
      <c r="EB309" s="33"/>
      <c r="EC309" s="33"/>
      <c r="ED309" s="33"/>
      <c r="EE309" s="33"/>
      <c r="EF309" s="33"/>
      <c r="EG309" s="33"/>
      <c r="EH309" s="33"/>
      <c r="EI309" s="33"/>
      <c r="EJ309" s="33"/>
      <c r="EK309" s="33"/>
      <c r="EL309" s="33"/>
      <c r="EM309" s="33"/>
      <c r="EN309" s="33"/>
      <c r="EO309" s="33"/>
      <c r="EP309" s="33"/>
      <c r="EQ309" s="33"/>
      <c r="ER309" s="33"/>
      <c r="ES309" s="33"/>
      <c r="ET309" s="33"/>
      <c r="EU309" s="33"/>
      <c r="EV309" s="33"/>
      <c r="EW309" s="33"/>
      <c r="EX309" s="33"/>
      <c r="EY309" s="33"/>
      <c r="EZ309" s="33"/>
      <c r="FA309" s="33"/>
      <c r="FB309" s="33"/>
      <c r="FC309" s="33"/>
      <c r="FD309" s="33"/>
      <c r="FE309" s="33"/>
      <c r="FF309" s="33"/>
      <c r="FG309" s="33"/>
      <c r="FH309" s="33"/>
      <c r="FI309" s="33"/>
      <c r="FJ309" s="33"/>
      <c r="FK309" s="33"/>
      <c r="FL309" s="33"/>
      <c r="FM309" s="33"/>
      <c r="FN309" s="33"/>
      <c r="FO309" s="33"/>
      <c r="FP309" s="33"/>
      <c r="FQ309" s="33"/>
      <c r="FR309" s="33"/>
      <c r="FS309" s="33"/>
      <c r="FT309" s="33"/>
      <c r="FU309" s="33"/>
      <c r="FV309" s="33"/>
      <c r="FW309" s="33"/>
      <c r="FX309" s="33"/>
      <c r="FY309" s="33"/>
      <c r="FZ309" s="33"/>
      <c r="GA309" s="33"/>
      <c r="GB309" s="33"/>
      <c r="GC309" s="33"/>
      <c r="GD309" s="33"/>
      <c r="GE309" s="33"/>
      <c r="GF309" s="33"/>
      <c r="GG309" s="33"/>
      <c r="GH309" s="33"/>
      <c r="GI309" s="33"/>
      <c r="GJ309" s="33"/>
      <c r="GK309" s="33"/>
      <c r="GL309" s="33"/>
      <c r="GM309" s="33"/>
      <c r="GN309" s="33"/>
      <c r="GO309" s="33"/>
      <c r="GP309" s="33"/>
      <c r="GQ309" s="33"/>
      <c r="GR309" s="33"/>
      <c r="GS309" s="33"/>
      <c r="GT309" s="33"/>
      <c r="GU309" s="33"/>
      <c r="GV309" s="33"/>
      <c r="GW309" s="33"/>
      <c r="GX309" s="33"/>
      <c r="GY309" s="33"/>
      <c r="GZ309" s="33"/>
      <c r="HA309" s="33"/>
      <c r="HB309" s="33"/>
      <c r="HC309" s="33"/>
      <c r="HD309" s="33"/>
      <c r="HE309" s="33"/>
      <c r="HF309" s="33"/>
      <c r="HG309" s="33"/>
      <c r="HH309" s="33"/>
      <c r="HI309" s="33"/>
      <c r="HJ309" s="33"/>
      <c r="HK309" s="33"/>
      <c r="HL309" s="33"/>
      <c r="HM309" s="33"/>
      <c r="HN309" s="33"/>
      <c r="HO309" s="33"/>
      <c r="HP309" s="33"/>
      <c r="HQ309" s="33"/>
      <c r="HR309" s="33"/>
      <c r="HS309" s="33"/>
      <c r="HT309" s="33"/>
      <c r="HU309" s="33"/>
      <c r="HV309" s="33"/>
      <c r="HW309" s="33"/>
      <c r="HX309" s="33"/>
      <c r="HY309" s="33"/>
      <c r="HZ309" s="33"/>
      <c r="IA309" s="33"/>
      <c r="IB309" s="33"/>
      <c r="IC309" s="33"/>
      <c r="ID309" s="33"/>
      <c r="IE309" s="33"/>
      <c r="IF309" s="33"/>
      <c r="IG309" s="33"/>
      <c r="IH309" s="33"/>
      <c r="II309" s="33"/>
      <c r="IJ309" s="33"/>
      <c r="IK309" s="33"/>
      <c r="IL309" s="33"/>
      <c r="IM309" s="33"/>
      <c r="IN309" s="33"/>
      <c r="IO309" s="33"/>
      <c r="IP309" s="33"/>
      <c r="IQ309" s="33"/>
      <c r="IR309" s="33"/>
      <c r="IS309" s="33"/>
      <c r="IT309" s="33"/>
      <c r="IU309" s="33"/>
      <c r="IV309" s="33"/>
      <c r="IW309" s="33"/>
      <c r="IX309" s="33"/>
      <c r="IY309" s="33"/>
      <c r="IZ309" s="33"/>
      <c r="JA309" s="33"/>
      <c r="JB309" s="33"/>
      <c r="JC309" s="33"/>
      <c r="JD309" s="33"/>
      <c r="JE309" s="33"/>
      <c r="JF309" s="33"/>
      <c r="JG309" s="33"/>
      <c r="JH309" s="33"/>
      <c r="JI309" s="33"/>
      <c r="JJ309" s="33"/>
      <c r="JK309" s="33"/>
      <c r="JL309" s="33"/>
      <c r="JM309" s="33"/>
      <c r="JN309" s="33"/>
      <c r="JO309" s="33"/>
      <c r="JP309" s="33"/>
      <c r="JQ309" s="33"/>
      <c r="JR309" s="33"/>
      <c r="KZ309" s="33"/>
      <c r="LA309" s="33"/>
      <c r="LB309" s="33"/>
      <c r="LC309" s="33"/>
      <c r="LD309" s="33"/>
      <c r="LE309" s="33"/>
      <c r="LF309" s="33"/>
      <c r="LG309" s="33"/>
      <c r="LH309" s="33"/>
      <c r="LI309" s="33"/>
      <c r="LJ309" s="33"/>
      <c r="LK309" s="33"/>
      <c r="LL309" s="33"/>
      <c r="LM309" s="33"/>
      <c r="LN309" s="33"/>
      <c r="LO309" s="33"/>
      <c r="LP309" s="44"/>
      <c r="LQ309" s="44"/>
      <c r="LR309" s="44"/>
      <c r="LS309" s="44"/>
      <c r="LT309" s="44"/>
      <c r="LU309" s="44"/>
      <c r="LV309" s="44"/>
    </row>
    <row r="310" spans="1:334" x14ac:dyDescent="0.2">
      <c r="A310" s="1" t="s">
        <v>8783</v>
      </c>
      <c r="B310" s="1" t="s">
        <v>2954</v>
      </c>
      <c r="D310" s="1" t="s">
        <v>8784</v>
      </c>
      <c r="E310" s="1" t="s">
        <v>11</v>
      </c>
      <c r="F310" s="1" t="s">
        <v>8773</v>
      </c>
      <c r="J310" s="1" t="s">
        <v>8774</v>
      </c>
      <c r="K310" s="1">
        <v>2009</v>
      </c>
      <c r="L310" s="1" t="s">
        <v>8775</v>
      </c>
      <c r="M310" s="1" t="s">
        <v>7657</v>
      </c>
      <c r="N310" s="17" t="s">
        <v>7945</v>
      </c>
      <c r="O310" s="33"/>
      <c r="P310" s="33"/>
      <c r="Q310" s="33"/>
      <c r="R310" s="33"/>
      <c r="S310" s="33"/>
      <c r="T310" s="33">
        <v>92.5</v>
      </c>
      <c r="U310" s="33"/>
      <c r="V310" s="33"/>
      <c r="W310" s="33"/>
      <c r="X310" s="33"/>
      <c r="Y310" s="33"/>
      <c r="Z310" s="33">
        <v>27.907250000000005</v>
      </c>
      <c r="AA310" s="33"/>
      <c r="AB310" s="33"/>
      <c r="AC310" s="33">
        <v>1.78525</v>
      </c>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v>22.412750000000003</v>
      </c>
      <c r="BD310" s="33">
        <v>10.378500000000001</v>
      </c>
      <c r="BE310" s="33"/>
      <c r="BF310" s="33"/>
      <c r="BG310" s="33"/>
      <c r="BH310" s="33"/>
      <c r="BI310" s="33"/>
      <c r="BJ310" s="33"/>
      <c r="BK310" s="33"/>
      <c r="BL310" s="33"/>
      <c r="BM310" s="33"/>
      <c r="BN310" s="33"/>
      <c r="BO310" s="33"/>
      <c r="BP310" s="33"/>
      <c r="BQ310" s="33"/>
      <c r="BR310" s="33"/>
      <c r="BS310" s="33"/>
      <c r="BT310" s="33"/>
      <c r="BU310" s="33"/>
      <c r="BV310" s="33"/>
      <c r="BW310" s="33"/>
      <c r="BX310" s="33"/>
      <c r="BY310" s="33"/>
      <c r="BZ310" s="33"/>
      <c r="CA310" s="33"/>
      <c r="CB310" s="33"/>
      <c r="CC310" s="33"/>
      <c r="CD310" s="33"/>
      <c r="CE310" s="33"/>
      <c r="CF310" s="33"/>
      <c r="CG310" s="33"/>
      <c r="CH310" s="33"/>
      <c r="CI310" s="33"/>
      <c r="CJ310" s="33"/>
      <c r="CK310" s="33"/>
      <c r="CL310" s="33"/>
      <c r="CM310" s="33"/>
      <c r="CN310" s="33"/>
      <c r="CO310" s="33">
        <v>3.5982499999999997</v>
      </c>
      <c r="CP310" s="33"/>
      <c r="CQ310" s="33"/>
      <c r="CR310" s="33"/>
      <c r="CS310" s="33"/>
      <c r="CT310" s="33"/>
      <c r="CU310" s="33"/>
      <c r="CV310" s="33"/>
      <c r="CW310" s="33"/>
      <c r="CX310" s="33"/>
      <c r="CY310" s="33"/>
      <c r="CZ310" s="33"/>
      <c r="DA310" s="33"/>
      <c r="DB310" s="33"/>
      <c r="DC310" s="33"/>
      <c r="DD310" s="33"/>
      <c r="DE310" s="33"/>
      <c r="DF310" s="33"/>
      <c r="DG310" s="33"/>
      <c r="DH310" s="33"/>
      <c r="DI310" s="33"/>
      <c r="DJ310" s="33"/>
      <c r="DK310" s="33"/>
      <c r="DL310" s="33"/>
      <c r="DM310" s="33"/>
      <c r="DN310" s="33"/>
      <c r="DO310" s="33"/>
      <c r="DP310" s="33"/>
      <c r="DQ310" s="33"/>
      <c r="DR310" s="33"/>
      <c r="DS310" s="33"/>
      <c r="DT310" s="33"/>
      <c r="DU310" s="33"/>
      <c r="DV310" s="33"/>
      <c r="DW310" s="33"/>
      <c r="DX310" s="33"/>
      <c r="DY310" s="33"/>
      <c r="DZ310" s="33"/>
      <c r="EA310" s="33"/>
      <c r="EB310" s="33"/>
      <c r="EC310" s="33"/>
      <c r="ED310" s="33"/>
      <c r="EE310" s="33"/>
      <c r="EF310" s="33"/>
      <c r="EG310" s="33"/>
      <c r="EH310" s="33"/>
      <c r="EI310" s="33"/>
      <c r="EJ310" s="33"/>
      <c r="EK310" s="33"/>
      <c r="EL310" s="33"/>
      <c r="EM310" s="33"/>
      <c r="EN310" s="33"/>
      <c r="EO310" s="33"/>
      <c r="EP310" s="33"/>
      <c r="EQ310" s="33"/>
      <c r="ER310" s="33"/>
      <c r="ES310" s="33"/>
      <c r="ET310" s="33"/>
      <c r="EU310" s="33"/>
      <c r="EV310" s="33"/>
      <c r="EW310" s="33"/>
      <c r="EX310" s="33"/>
      <c r="EY310" s="33"/>
      <c r="EZ310" s="33"/>
      <c r="FA310" s="33"/>
      <c r="FB310" s="33"/>
      <c r="FC310" s="33"/>
      <c r="FD310" s="33"/>
      <c r="FE310" s="33"/>
      <c r="FF310" s="33"/>
      <c r="FG310" s="33"/>
      <c r="FH310" s="33"/>
      <c r="FI310" s="33"/>
      <c r="FJ310" s="33"/>
      <c r="FK310" s="33"/>
      <c r="FL310" s="33"/>
      <c r="FM310" s="33"/>
      <c r="FN310" s="33"/>
      <c r="FO310" s="33"/>
      <c r="FP310" s="33"/>
      <c r="FQ310" s="33"/>
      <c r="FR310" s="33"/>
      <c r="FS310" s="33"/>
      <c r="FT310" s="33"/>
      <c r="FU310" s="33"/>
      <c r="FV310" s="33"/>
      <c r="FW310" s="33"/>
      <c r="FX310" s="33"/>
      <c r="FY310" s="33"/>
      <c r="FZ310" s="33"/>
      <c r="GA310" s="33"/>
      <c r="GB310" s="33"/>
      <c r="GC310" s="33"/>
      <c r="GD310" s="33"/>
      <c r="GE310" s="33"/>
      <c r="GF310" s="33"/>
      <c r="GG310" s="33"/>
      <c r="GH310" s="33"/>
      <c r="GI310" s="33"/>
      <c r="GJ310" s="33"/>
      <c r="GK310" s="33"/>
      <c r="GL310" s="33"/>
      <c r="GM310" s="33"/>
      <c r="GN310" s="33"/>
      <c r="GO310" s="33"/>
      <c r="GP310" s="33"/>
      <c r="GQ310" s="33"/>
      <c r="GR310" s="33"/>
      <c r="GS310" s="33"/>
      <c r="GT310" s="33"/>
      <c r="GU310" s="33"/>
      <c r="GV310" s="33"/>
      <c r="GW310" s="33"/>
      <c r="GX310" s="33"/>
      <c r="GY310" s="33"/>
      <c r="GZ310" s="33"/>
      <c r="HA310" s="33"/>
      <c r="HB310" s="33"/>
      <c r="HC310" s="33"/>
      <c r="HD310" s="33"/>
      <c r="HE310" s="33"/>
      <c r="HF310" s="33"/>
      <c r="HG310" s="33"/>
      <c r="HH310" s="33"/>
      <c r="HI310" s="33"/>
      <c r="HJ310" s="33"/>
      <c r="HK310" s="33"/>
      <c r="HL310" s="33"/>
      <c r="HM310" s="33"/>
      <c r="HN310" s="33"/>
      <c r="HO310" s="33"/>
      <c r="HP310" s="33"/>
      <c r="HQ310" s="33"/>
      <c r="HR310" s="33"/>
      <c r="HS310" s="33"/>
      <c r="HT310" s="33"/>
      <c r="HU310" s="33"/>
      <c r="HV310" s="33"/>
      <c r="HW310" s="33"/>
      <c r="HX310" s="33"/>
      <c r="HY310" s="33"/>
      <c r="HZ310" s="33"/>
      <c r="IA310" s="33"/>
      <c r="IB310" s="33"/>
      <c r="IC310" s="33"/>
      <c r="ID310" s="33"/>
      <c r="IE310" s="33"/>
      <c r="IF310" s="33"/>
      <c r="IG310" s="33"/>
      <c r="IH310" s="33"/>
      <c r="II310" s="33"/>
      <c r="IJ310" s="33"/>
      <c r="IK310" s="33"/>
      <c r="IL310" s="33"/>
      <c r="IM310" s="33"/>
      <c r="IN310" s="33"/>
      <c r="IO310" s="33"/>
      <c r="IP310" s="33"/>
      <c r="IQ310" s="33"/>
      <c r="IR310" s="33"/>
      <c r="IS310" s="33"/>
      <c r="IT310" s="33"/>
      <c r="IU310" s="33"/>
      <c r="IV310" s="33"/>
      <c r="IW310" s="33"/>
      <c r="IX310" s="33"/>
      <c r="IY310" s="33"/>
      <c r="IZ310" s="33"/>
      <c r="JA310" s="33"/>
      <c r="JB310" s="33"/>
      <c r="JC310" s="33"/>
      <c r="JD310" s="33"/>
      <c r="JE310" s="33"/>
      <c r="JF310" s="33"/>
      <c r="JG310" s="33"/>
      <c r="JH310" s="33"/>
      <c r="JI310" s="33"/>
      <c r="JJ310" s="33"/>
      <c r="JK310" s="33"/>
      <c r="JL310" s="33"/>
      <c r="JM310" s="33"/>
      <c r="JN310" s="33"/>
      <c r="JO310" s="33"/>
      <c r="JP310" s="33"/>
      <c r="JQ310" s="33"/>
      <c r="JR310" s="33"/>
      <c r="KZ310" s="33"/>
      <c r="LA310" s="33"/>
      <c r="LB310" s="33"/>
      <c r="LC310" s="33"/>
      <c r="LD310" s="33"/>
      <c r="LE310" s="33"/>
      <c r="LF310" s="33"/>
      <c r="LG310" s="33"/>
      <c r="LH310" s="33"/>
      <c r="LI310" s="33"/>
      <c r="LJ310" s="33"/>
      <c r="LK310" s="33"/>
      <c r="LL310" s="33"/>
      <c r="LM310" s="33"/>
      <c r="LN310" s="33"/>
      <c r="LO310" s="33"/>
      <c r="LP310" s="44"/>
      <c r="LQ310" s="44"/>
      <c r="LR310" s="44"/>
      <c r="LS310" s="44"/>
      <c r="LT310" s="44"/>
      <c r="LU310" s="44"/>
      <c r="LV310" s="44"/>
    </row>
    <row r="311" spans="1:334" x14ac:dyDescent="0.2">
      <c r="A311" s="1" t="s">
        <v>8785</v>
      </c>
      <c r="B311" s="1" t="s">
        <v>8786</v>
      </c>
      <c r="D311" s="1" t="s">
        <v>8585</v>
      </c>
      <c r="E311" s="1" t="s">
        <v>7</v>
      </c>
      <c r="F311" s="1" t="s">
        <v>688</v>
      </c>
      <c r="K311" s="1">
        <v>2008</v>
      </c>
      <c r="L311" s="1" t="s">
        <v>8787</v>
      </c>
      <c r="M311" s="1" t="s">
        <v>7657</v>
      </c>
      <c r="N311" s="17" t="s">
        <v>7945</v>
      </c>
      <c r="O311" s="33"/>
      <c r="P311" s="33"/>
      <c r="Q311" s="33"/>
      <c r="R311" s="33"/>
      <c r="S311" s="33">
        <v>9.9</v>
      </c>
      <c r="T311" s="33"/>
      <c r="U311" s="33"/>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c r="CA311" s="33"/>
      <c r="CB311" s="33"/>
      <c r="CC311" s="33"/>
      <c r="CD311" s="33"/>
      <c r="CE311" s="33"/>
      <c r="CF311" s="33"/>
      <c r="CG311" s="33"/>
      <c r="CH311" s="33"/>
      <c r="CI311" s="33"/>
      <c r="CJ311" s="33"/>
      <c r="CK311" s="33"/>
      <c r="CL311" s="33"/>
      <c r="CM311" s="33"/>
      <c r="CN311" s="33"/>
      <c r="CO311" s="33"/>
      <c r="CP311" s="33"/>
      <c r="CQ311" s="33"/>
      <c r="CR311" s="33"/>
      <c r="CS311" s="33"/>
      <c r="CT311" s="33"/>
      <c r="CU311" s="33"/>
      <c r="CV311" s="33"/>
      <c r="CW311" s="33"/>
      <c r="CX311" s="33"/>
      <c r="CY311" s="33"/>
      <c r="CZ311" s="33"/>
      <c r="DA311" s="33"/>
      <c r="DB311" s="33"/>
      <c r="DC311" s="33"/>
      <c r="DD311" s="33"/>
      <c r="DE311" s="33"/>
      <c r="DF311" s="33"/>
      <c r="DG311" s="33"/>
      <c r="DH311" s="33"/>
      <c r="DI311" s="33"/>
      <c r="DJ311" s="33"/>
      <c r="DK311" s="33"/>
      <c r="DL311" s="33"/>
      <c r="DM311" s="33"/>
      <c r="DN311" s="33"/>
      <c r="DO311" s="33"/>
      <c r="DP311" s="33"/>
      <c r="DQ311" s="33"/>
      <c r="DR311" s="33"/>
      <c r="DS311" s="33"/>
      <c r="DT311" s="33"/>
      <c r="DU311" s="33"/>
      <c r="DV311" s="33"/>
      <c r="DW311" s="33"/>
      <c r="DX311" s="33"/>
      <c r="DY311" s="33"/>
      <c r="DZ311" s="33"/>
      <c r="EA311" s="33"/>
      <c r="EB311" s="33"/>
      <c r="EC311" s="33"/>
      <c r="ED311" s="33"/>
      <c r="EE311" s="33"/>
      <c r="EF311" s="33"/>
      <c r="EG311" s="33"/>
      <c r="EH311" s="33"/>
      <c r="EI311" s="33"/>
      <c r="EJ311" s="33"/>
      <c r="EK311" s="33"/>
      <c r="EL311" s="33"/>
      <c r="EM311" s="33"/>
      <c r="EN311" s="33"/>
      <c r="EO311" s="33"/>
      <c r="EP311" s="33"/>
      <c r="EQ311" s="33"/>
      <c r="ER311" s="33"/>
      <c r="ES311" s="33"/>
      <c r="ET311" s="33"/>
      <c r="EU311" s="33"/>
      <c r="EV311" s="33"/>
      <c r="EW311" s="33"/>
      <c r="EX311" s="33"/>
      <c r="EY311" s="33"/>
      <c r="EZ311" s="33">
        <v>157</v>
      </c>
      <c r="FA311" s="33"/>
      <c r="FB311" s="33"/>
      <c r="FC311" s="33"/>
      <c r="FD311" s="33"/>
      <c r="FE311" s="33"/>
      <c r="FF311" s="33"/>
      <c r="FG311" s="33"/>
      <c r="FH311" s="33"/>
      <c r="FI311" s="33">
        <v>1760</v>
      </c>
      <c r="FJ311" s="33"/>
      <c r="FK311" s="33"/>
      <c r="FL311" s="33"/>
      <c r="FM311" s="33"/>
      <c r="FN311" s="33"/>
      <c r="FO311" s="33"/>
      <c r="FP311" s="33"/>
      <c r="FQ311" s="33"/>
      <c r="FR311" s="33"/>
      <c r="FS311" s="33"/>
      <c r="FT311" s="33"/>
      <c r="FU311" s="33"/>
      <c r="FV311" s="33"/>
      <c r="FW311" s="33"/>
      <c r="FX311" s="33"/>
      <c r="FY311" s="33"/>
      <c r="FZ311" s="33"/>
      <c r="GA311" s="33"/>
      <c r="GB311" s="33"/>
      <c r="GC311" s="33"/>
      <c r="GD311" s="33"/>
      <c r="GE311" s="33"/>
      <c r="GF311" s="33"/>
      <c r="GG311" s="33"/>
      <c r="GH311" s="33"/>
      <c r="GI311" s="33"/>
      <c r="GJ311" s="33"/>
      <c r="GK311" s="33"/>
      <c r="GL311" s="33"/>
      <c r="GM311" s="33"/>
      <c r="GN311" s="33"/>
      <c r="GO311" s="33"/>
      <c r="GP311" s="33"/>
      <c r="GQ311" s="33"/>
      <c r="GR311" s="33"/>
      <c r="GS311" s="33"/>
      <c r="GT311" s="33"/>
      <c r="GU311" s="33"/>
      <c r="GV311" s="33"/>
      <c r="GW311" s="33"/>
      <c r="GX311" s="33"/>
      <c r="GY311" s="33"/>
      <c r="GZ311" s="33"/>
      <c r="HA311" s="33"/>
      <c r="HB311" s="33"/>
      <c r="HC311" s="33"/>
      <c r="HD311" s="33"/>
      <c r="HE311" s="33"/>
      <c r="HF311" s="33"/>
      <c r="HG311" s="33"/>
      <c r="HH311" s="33"/>
      <c r="HI311" s="33"/>
      <c r="HJ311" s="33"/>
      <c r="HK311" s="33"/>
      <c r="HL311" s="33"/>
      <c r="HM311" s="33"/>
      <c r="HN311" s="33"/>
      <c r="HO311" s="33"/>
      <c r="HP311" s="33"/>
      <c r="HQ311" s="33"/>
      <c r="HR311" s="33"/>
      <c r="HS311" s="33"/>
      <c r="HT311" s="33"/>
      <c r="HU311" s="33"/>
      <c r="HV311" s="33"/>
      <c r="HW311" s="33"/>
      <c r="HX311" s="33"/>
      <c r="HY311" s="33"/>
      <c r="HZ311" s="33"/>
      <c r="IA311" s="33"/>
      <c r="IB311" s="33"/>
      <c r="IC311" s="33"/>
      <c r="ID311" s="33"/>
      <c r="IE311" s="33"/>
      <c r="IF311" s="33"/>
      <c r="IG311" s="33"/>
      <c r="IH311" s="33"/>
      <c r="II311" s="33"/>
      <c r="IJ311" s="33"/>
      <c r="IK311" s="33"/>
      <c r="IL311" s="33"/>
      <c r="IM311" s="33"/>
      <c r="IN311" s="33"/>
      <c r="IO311" s="33"/>
      <c r="IP311" s="33"/>
      <c r="IQ311" s="33"/>
      <c r="IR311" s="33"/>
      <c r="IS311" s="33"/>
      <c r="IT311" s="33"/>
      <c r="IU311" s="33"/>
      <c r="IV311" s="33"/>
      <c r="IW311" s="33"/>
      <c r="IX311" s="33"/>
      <c r="IY311" s="33"/>
      <c r="IZ311" s="33"/>
      <c r="JA311" s="33"/>
      <c r="JB311" s="33"/>
      <c r="JC311" s="33"/>
      <c r="JD311" s="33"/>
      <c r="JE311" s="33"/>
      <c r="JF311" s="33"/>
      <c r="JG311" s="33"/>
      <c r="JH311" s="33"/>
      <c r="JI311" s="33"/>
      <c r="JJ311" s="33"/>
      <c r="JK311" s="33"/>
      <c r="JL311" s="33"/>
      <c r="JM311" s="33"/>
      <c r="JN311" s="33"/>
      <c r="JO311" s="33"/>
      <c r="JP311" s="33"/>
      <c r="JQ311" s="33"/>
      <c r="JR311" s="33"/>
      <c r="KZ311" s="33"/>
      <c r="LA311" s="33"/>
      <c r="LB311" s="33"/>
      <c r="LC311" s="33"/>
      <c r="LD311" s="33"/>
      <c r="LE311" s="33"/>
      <c r="LF311" s="33"/>
      <c r="LG311" s="33"/>
      <c r="LH311" s="33"/>
      <c r="LI311" s="33"/>
      <c r="LJ311" s="33"/>
      <c r="LK311" s="33"/>
      <c r="LL311" s="33"/>
      <c r="LM311" s="33"/>
      <c r="LN311" s="33"/>
      <c r="LO311" s="33"/>
      <c r="LP311" s="44"/>
      <c r="LQ311" s="44"/>
      <c r="LR311" s="44"/>
      <c r="LS311" s="44"/>
      <c r="LT311" s="44"/>
      <c r="LU311" s="44"/>
      <c r="LV311" s="44"/>
    </row>
    <row r="312" spans="1:334" x14ac:dyDescent="0.2">
      <c r="A312" s="1" t="s">
        <v>8788</v>
      </c>
      <c r="B312" s="1" t="s">
        <v>8786</v>
      </c>
      <c r="D312" s="1" t="s">
        <v>8589</v>
      </c>
      <c r="E312" s="1" t="s">
        <v>7</v>
      </c>
      <c r="F312" s="1" t="s">
        <v>8132</v>
      </c>
      <c r="K312" s="1">
        <v>2008</v>
      </c>
      <c r="L312" s="1" t="s">
        <v>8787</v>
      </c>
      <c r="M312" s="1" t="s">
        <v>7657</v>
      </c>
      <c r="N312" s="17" t="s">
        <v>7945</v>
      </c>
      <c r="O312" s="33"/>
      <c r="P312" s="33"/>
      <c r="Q312" s="33"/>
      <c r="R312" s="33"/>
      <c r="S312" s="33">
        <v>10.9</v>
      </c>
      <c r="T312" s="33"/>
      <c r="U312" s="33"/>
      <c r="V312" s="33"/>
      <c r="W312" s="33"/>
      <c r="X312" s="33"/>
      <c r="Y312" s="33"/>
      <c r="Z312" s="33"/>
      <c r="AA312" s="33"/>
      <c r="AB312" s="33"/>
      <c r="AC312" s="33"/>
      <c r="AD312" s="33"/>
      <c r="AE312" s="33"/>
      <c r="AF312" s="33"/>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33"/>
      <c r="CM312" s="33"/>
      <c r="CN312" s="33"/>
      <c r="CO312" s="33"/>
      <c r="CP312" s="33"/>
      <c r="CQ312" s="33"/>
      <c r="CR312" s="33"/>
      <c r="CS312" s="33"/>
      <c r="CT312" s="33"/>
      <c r="CU312" s="33"/>
      <c r="CV312" s="33"/>
      <c r="CW312" s="33"/>
      <c r="CX312" s="33"/>
      <c r="CY312" s="33"/>
      <c r="CZ312" s="33"/>
      <c r="DA312" s="33"/>
      <c r="DB312" s="33"/>
      <c r="DC312" s="33"/>
      <c r="DD312" s="33"/>
      <c r="DE312" s="33"/>
      <c r="DF312" s="33"/>
      <c r="DG312" s="33"/>
      <c r="DH312" s="33"/>
      <c r="DI312" s="33"/>
      <c r="DJ312" s="33"/>
      <c r="DK312" s="33"/>
      <c r="DL312" s="33"/>
      <c r="DM312" s="33"/>
      <c r="DN312" s="33"/>
      <c r="DO312" s="33"/>
      <c r="DP312" s="33"/>
      <c r="DQ312" s="33"/>
      <c r="DR312" s="33"/>
      <c r="DS312" s="33"/>
      <c r="DT312" s="33"/>
      <c r="DU312" s="33"/>
      <c r="DV312" s="33"/>
      <c r="DW312" s="33"/>
      <c r="DX312" s="33"/>
      <c r="DY312" s="33"/>
      <c r="DZ312" s="33"/>
      <c r="EA312" s="33"/>
      <c r="EB312" s="33"/>
      <c r="EC312" s="33"/>
      <c r="ED312" s="33"/>
      <c r="EE312" s="33"/>
      <c r="EF312" s="33"/>
      <c r="EG312" s="33"/>
      <c r="EH312" s="33"/>
      <c r="EI312" s="33"/>
      <c r="EJ312" s="33"/>
      <c r="EK312" s="33"/>
      <c r="EL312" s="33"/>
      <c r="EM312" s="33"/>
      <c r="EN312" s="33"/>
      <c r="EO312" s="33"/>
      <c r="EP312" s="33"/>
      <c r="EQ312" s="33"/>
      <c r="ER312" s="33"/>
      <c r="ES312" s="33"/>
      <c r="ET312" s="33"/>
      <c r="EU312" s="33"/>
      <c r="EV312" s="33"/>
      <c r="EW312" s="33"/>
      <c r="EX312" s="33"/>
      <c r="EY312" s="33"/>
      <c r="EZ312" s="33">
        <v>5</v>
      </c>
      <c r="FA312" s="33"/>
      <c r="FB312" s="33"/>
      <c r="FC312" s="33"/>
      <c r="FD312" s="33"/>
      <c r="FE312" s="33"/>
      <c r="FF312" s="33"/>
      <c r="FG312" s="33"/>
      <c r="FH312" s="33"/>
      <c r="FI312" s="33">
        <v>164</v>
      </c>
      <c r="FJ312" s="33"/>
      <c r="FK312" s="33"/>
      <c r="FL312" s="33"/>
      <c r="FM312" s="33"/>
      <c r="FN312" s="33"/>
      <c r="FO312" s="33"/>
      <c r="FP312" s="33"/>
      <c r="FQ312" s="33"/>
      <c r="FR312" s="33"/>
      <c r="FS312" s="33"/>
      <c r="FT312" s="33"/>
      <c r="FU312" s="33"/>
      <c r="FV312" s="33"/>
      <c r="FW312" s="33"/>
      <c r="FX312" s="33"/>
      <c r="FY312" s="33"/>
      <c r="FZ312" s="33"/>
      <c r="GA312" s="33"/>
      <c r="GB312" s="33"/>
      <c r="GC312" s="33"/>
      <c r="GD312" s="33"/>
      <c r="GE312" s="33"/>
      <c r="GF312" s="33"/>
      <c r="GG312" s="33"/>
      <c r="GH312" s="33"/>
      <c r="GI312" s="33"/>
      <c r="GJ312" s="33"/>
      <c r="GK312" s="33"/>
      <c r="GL312" s="33"/>
      <c r="GM312" s="33"/>
      <c r="GN312" s="33"/>
      <c r="GO312" s="33"/>
      <c r="GP312" s="33"/>
      <c r="GQ312" s="33"/>
      <c r="GR312" s="33"/>
      <c r="GS312" s="33"/>
      <c r="GT312" s="33"/>
      <c r="GU312" s="33"/>
      <c r="GV312" s="33"/>
      <c r="GW312" s="33"/>
      <c r="GX312" s="33"/>
      <c r="GY312" s="33"/>
      <c r="GZ312" s="33"/>
      <c r="HA312" s="33"/>
      <c r="HB312" s="33"/>
      <c r="HC312" s="33"/>
      <c r="HD312" s="33"/>
      <c r="HE312" s="33"/>
      <c r="HF312" s="33"/>
      <c r="HG312" s="33"/>
      <c r="HH312" s="33"/>
      <c r="HI312" s="33"/>
      <c r="HJ312" s="33"/>
      <c r="HK312" s="33"/>
      <c r="HL312" s="33"/>
      <c r="HM312" s="33"/>
      <c r="HN312" s="33"/>
      <c r="HO312" s="33"/>
      <c r="HP312" s="33"/>
      <c r="HQ312" s="33"/>
      <c r="HR312" s="33"/>
      <c r="HS312" s="33"/>
      <c r="HT312" s="33"/>
      <c r="HU312" s="33"/>
      <c r="HV312" s="33"/>
      <c r="HW312" s="33"/>
      <c r="HX312" s="33"/>
      <c r="HY312" s="33"/>
      <c r="HZ312" s="33"/>
      <c r="IA312" s="33"/>
      <c r="IB312" s="33"/>
      <c r="IC312" s="33"/>
      <c r="ID312" s="33"/>
      <c r="IE312" s="33"/>
      <c r="IF312" s="33"/>
      <c r="IG312" s="33"/>
      <c r="IH312" s="33"/>
      <c r="II312" s="33"/>
      <c r="IJ312" s="33"/>
      <c r="IK312" s="33"/>
      <c r="IL312" s="33"/>
      <c r="IM312" s="33"/>
      <c r="IN312" s="33"/>
      <c r="IO312" s="33"/>
      <c r="IP312" s="33"/>
      <c r="IQ312" s="33"/>
      <c r="IR312" s="33"/>
      <c r="IS312" s="33"/>
      <c r="IT312" s="33"/>
      <c r="IU312" s="33"/>
      <c r="IV312" s="33"/>
      <c r="IW312" s="33"/>
      <c r="IX312" s="33"/>
      <c r="IY312" s="33"/>
      <c r="IZ312" s="33"/>
      <c r="JA312" s="33"/>
      <c r="JB312" s="33"/>
      <c r="JC312" s="33"/>
      <c r="JD312" s="33"/>
      <c r="JE312" s="33"/>
      <c r="JF312" s="33"/>
      <c r="JG312" s="33"/>
      <c r="JH312" s="33"/>
      <c r="JI312" s="33"/>
      <c r="JJ312" s="33"/>
      <c r="JK312" s="33"/>
      <c r="JL312" s="33"/>
      <c r="JM312" s="33"/>
      <c r="JN312" s="33"/>
      <c r="JO312" s="33"/>
      <c r="JP312" s="33"/>
      <c r="JQ312" s="33"/>
      <c r="JR312" s="33"/>
      <c r="KZ312" s="33"/>
      <c r="LA312" s="33"/>
      <c r="LB312" s="33"/>
      <c r="LC312" s="33"/>
      <c r="LD312" s="33"/>
      <c r="LE312" s="33"/>
      <c r="LF312" s="33"/>
      <c r="LG312" s="33"/>
      <c r="LH312" s="33"/>
      <c r="LI312" s="33"/>
      <c r="LJ312" s="33"/>
      <c r="LK312" s="33"/>
      <c r="LL312" s="33"/>
      <c r="LM312" s="33"/>
      <c r="LN312" s="33"/>
      <c r="LO312" s="33"/>
      <c r="LP312" s="44"/>
      <c r="LQ312" s="44"/>
      <c r="LR312" s="44"/>
      <c r="LS312" s="44"/>
      <c r="LT312" s="44"/>
      <c r="LU312" s="44"/>
      <c r="LV312" s="44"/>
    </row>
    <row r="313" spans="1:334" x14ac:dyDescent="0.2">
      <c r="A313" s="1" t="s">
        <v>8789</v>
      </c>
      <c r="B313" s="1" t="s">
        <v>8786</v>
      </c>
      <c r="D313" s="1" t="s">
        <v>8591</v>
      </c>
      <c r="E313" s="1" t="s">
        <v>7</v>
      </c>
      <c r="F313" s="1" t="s">
        <v>8163</v>
      </c>
      <c r="K313" s="1">
        <v>2008</v>
      </c>
      <c r="L313" s="1" t="s">
        <v>8787</v>
      </c>
      <c r="M313" s="1" t="s">
        <v>7657</v>
      </c>
      <c r="N313" s="17" t="s">
        <v>7945</v>
      </c>
      <c r="O313" s="33"/>
      <c r="P313" s="33"/>
      <c r="Q313" s="33"/>
      <c r="R313" s="33"/>
      <c r="S313" s="33">
        <v>10.1</v>
      </c>
      <c r="T313" s="33"/>
      <c r="U313" s="33"/>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c r="CA313" s="33"/>
      <c r="CB313" s="33"/>
      <c r="CC313" s="33"/>
      <c r="CD313" s="33"/>
      <c r="CE313" s="33"/>
      <c r="CF313" s="33"/>
      <c r="CG313" s="33"/>
      <c r="CH313" s="33"/>
      <c r="CI313" s="33"/>
      <c r="CJ313" s="33"/>
      <c r="CK313" s="33"/>
      <c r="CL313" s="33"/>
      <c r="CM313" s="33"/>
      <c r="CN313" s="33"/>
      <c r="CO313" s="33"/>
      <c r="CP313" s="33"/>
      <c r="CQ313" s="33"/>
      <c r="CR313" s="33"/>
      <c r="CS313" s="33"/>
      <c r="CT313" s="33"/>
      <c r="CU313" s="33"/>
      <c r="CV313" s="33"/>
      <c r="CW313" s="33"/>
      <c r="CX313" s="33"/>
      <c r="CY313" s="33"/>
      <c r="CZ313" s="33"/>
      <c r="DA313" s="33"/>
      <c r="DB313" s="33"/>
      <c r="DC313" s="33"/>
      <c r="DD313" s="33"/>
      <c r="DE313" s="33"/>
      <c r="DF313" s="33"/>
      <c r="DG313" s="33"/>
      <c r="DH313" s="33"/>
      <c r="DI313" s="33"/>
      <c r="DJ313" s="33"/>
      <c r="DK313" s="33"/>
      <c r="DL313" s="33"/>
      <c r="DM313" s="33"/>
      <c r="DN313" s="33"/>
      <c r="DO313" s="33"/>
      <c r="DP313" s="33"/>
      <c r="DQ313" s="33"/>
      <c r="DR313" s="33"/>
      <c r="DS313" s="33"/>
      <c r="DT313" s="33"/>
      <c r="DU313" s="33"/>
      <c r="DV313" s="33"/>
      <c r="DW313" s="33"/>
      <c r="DX313" s="33"/>
      <c r="DY313" s="33"/>
      <c r="DZ313" s="33"/>
      <c r="EA313" s="33"/>
      <c r="EB313" s="33"/>
      <c r="EC313" s="33"/>
      <c r="ED313" s="33"/>
      <c r="EE313" s="33"/>
      <c r="EF313" s="33"/>
      <c r="EG313" s="33"/>
      <c r="EH313" s="33"/>
      <c r="EI313" s="33"/>
      <c r="EJ313" s="33"/>
      <c r="EK313" s="33"/>
      <c r="EL313" s="33"/>
      <c r="EM313" s="33"/>
      <c r="EN313" s="33"/>
      <c r="EO313" s="33"/>
      <c r="EP313" s="33"/>
      <c r="EQ313" s="33"/>
      <c r="ER313" s="33"/>
      <c r="ES313" s="33"/>
      <c r="ET313" s="33"/>
      <c r="EU313" s="33"/>
      <c r="EV313" s="33"/>
      <c r="EW313" s="33"/>
      <c r="EX313" s="33"/>
      <c r="EY313" s="33"/>
      <c r="EZ313" s="33">
        <v>128</v>
      </c>
      <c r="FA313" s="33"/>
      <c r="FB313" s="33"/>
      <c r="FC313" s="33"/>
      <c r="FD313" s="33"/>
      <c r="FE313" s="33"/>
      <c r="FF313" s="33"/>
      <c r="FG313" s="33"/>
      <c r="FH313" s="33"/>
      <c r="FI313" s="33">
        <v>376</v>
      </c>
      <c r="FJ313" s="33"/>
      <c r="FK313" s="33"/>
      <c r="FL313" s="33"/>
      <c r="FM313" s="33"/>
      <c r="FN313" s="33"/>
      <c r="FO313" s="33"/>
      <c r="FP313" s="33"/>
      <c r="FQ313" s="33"/>
      <c r="FR313" s="33"/>
      <c r="FS313" s="33"/>
      <c r="FT313" s="33"/>
      <c r="FU313" s="33"/>
      <c r="FV313" s="33"/>
      <c r="FW313" s="33"/>
      <c r="FX313" s="33"/>
      <c r="FY313" s="33"/>
      <c r="FZ313" s="33"/>
      <c r="GA313" s="33"/>
      <c r="GB313" s="33"/>
      <c r="GC313" s="33"/>
      <c r="GD313" s="33"/>
      <c r="GE313" s="33"/>
      <c r="GF313" s="33"/>
      <c r="GG313" s="33"/>
      <c r="GH313" s="33"/>
      <c r="GI313" s="33"/>
      <c r="GJ313" s="33"/>
      <c r="GK313" s="33"/>
      <c r="GL313" s="33"/>
      <c r="GM313" s="33"/>
      <c r="GN313" s="33"/>
      <c r="GO313" s="33"/>
      <c r="GP313" s="33"/>
      <c r="GQ313" s="33"/>
      <c r="GR313" s="33"/>
      <c r="GS313" s="33"/>
      <c r="GT313" s="33"/>
      <c r="GU313" s="33"/>
      <c r="GV313" s="33"/>
      <c r="GW313" s="33"/>
      <c r="GX313" s="33"/>
      <c r="GY313" s="33"/>
      <c r="GZ313" s="33"/>
      <c r="HA313" s="33"/>
      <c r="HB313" s="33"/>
      <c r="HC313" s="33"/>
      <c r="HD313" s="33"/>
      <c r="HE313" s="33"/>
      <c r="HF313" s="33"/>
      <c r="HG313" s="33"/>
      <c r="HH313" s="33"/>
      <c r="HI313" s="33"/>
      <c r="HJ313" s="33"/>
      <c r="HK313" s="33"/>
      <c r="HL313" s="33"/>
      <c r="HM313" s="33"/>
      <c r="HN313" s="33"/>
      <c r="HO313" s="33"/>
      <c r="HP313" s="33"/>
      <c r="HQ313" s="33"/>
      <c r="HR313" s="33"/>
      <c r="HS313" s="33"/>
      <c r="HT313" s="33"/>
      <c r="HU313" s="33"/>
      <c r="HV313" s="33"/>
      <c r="HW313" s="33"/>
      <c r="HX313" s="33"/>
      <c r="HY313" s="33"/>
      <c r="HZ313" s="33"/>
      <c r="IA313" s="33"/>
      <c r="IB313" s="33"/>
      <c r="IC313" s="33"/>
      <c r="ID313" s="33"/>
      <c r="IE313" s="33"/>
      <c r="IF313" s="33"/>
      <c r="IG313" s="33"/>
      <c r="IH313" s="33"/>
      <c r="II313" s="33"/>
      <c r="IJ313" s="33"/>
      <c r="IK313" s="33"/>
      <c r="IL313" s="33"/>
      <c r="IM313" s="33"/>
      <c r="IN313" s="33"/>
      <c r="IO313" s="33"/>
      <c r="IP313" s="33"/>
      <c r="IQ313" s="33"/>
      <c r="IR313" s="33"/>
      <c r="IS313" s="33"/>
      <c r="IT313" s="33"/>
      <c r="IU313" s="33"/>
      <c r="IV313" s="33"/>
      <c r="IW313" s="33"/>
      <c r="IX313" s="33"/>
      <c r="IY313" s="33"/>
      <c r="IZ313" s="33"/>
      <c r="JA313" s="33"/>
      <c r="JB313" s="33"/>
      <c r="JC313" s="33"/>
      <c r="JD313" s="33"/>
      <c r="JE313" s="33"/>
      <c r="JF313" s="33"/>
      <c r="JG313" s="33"/>
      <c r="JH313" s="33"/>
      <c r="JI313" s="33"/>
      <c r="JJ313" s="33"/>
      <c r="JK313" s="33"/>
      <c r="JL313" s="33"/>
      <c r="JM313" s="33"/>
      <c r="JN313" s="33"/>
      <c r="JO313" s="33"/>
      <c r="JP313" s="33"/>
      <c r="JQ313" s="33"/>
      <c r="JR313" s="33"/>
      <c r="KZ313" s="33"/>
      <c r="LA313" s="33"/>
      <c r="LB313" s="33"/>
      <c r="LC313" s="33"/>
      <c r="LD313" s="33"/>
      <c r="LE313" s="33"/>
      <c r="LF313" s="33"/>
      <c r="LG313" s="33"/>
      <c r="LH313" s="33"/>
      <c r="LI313" s="33"/>
      <c r="LJ313" s="33"/>
      <c r="LK313" s="33"/>
      <c r="LL313" s="33"/>
      <c r="LM313" s="33"/>
      <c r="LN313" s="33"/>
      <c r="LO313" s="33"/>
      <c r="LP313" s="44"/>
      <c r="LQ313" s="44"/>
      <c r="LR313" s="44"/>
      <c r="LS313" s="44"/>
      <c r="LT313" s="44"/>
      <c r="LU313" s="44"/>
      <c r="LV313" s="44"/>
    </row>
    <row r="314" spans="1:334" x14ac:dyDescent="0.2">
      <c r="A314" s="1" t="s">
        <v>8790</v>
      </c>
      <c r="B314" s="1" t="s">
        <v>8786</v>
      </c>
      <c r="D314" s="1" t="s">
        <v>8260</v>
      </c>
      <c r="E314" s="1" t="s">
        <v>7</v>
      </c>
      <c r="F314" s="1" t="s">
        <v>8395</v>
      </c>
      <c r="K314" s="1">
        <v>2008</v>
      </c>
      <c r="L314" s="1" t="s">
        <v>8787</v>
      </c>
      <c r="M314" s="1" t="s">
        <v>7657</v>
      </c>
      <c r="N314" s="17" t="s">
        <v>7945</v>
      </c>
      <c r="O314" s="33"/>
      <c r="P314" s="33"/>
      <c r="Q314" s="33"/>
      <c r="R314" s="33"/>
      <c r="S314" s="33">
        <v>12.5</v>
      </c>
      <c r="T314" s="33"/>
      <c r="U314" s="33"/>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33"/>
      <c r="BE314" s="33"/>
      <c r="BF314" s="33"/>
      <c r="BG314" s="33"/>
      <c r="BH314" s="33"/>
      <c r="BI314" s="33"/>
      <c r="BJ314" s="33"/>
      <c r="BK314" s="33"/>
      <c r="BL314" s="33"/>
      <c r="BM314" s="33"/>
      <c r="BN314" s="33"/>
      <c r="BO314" s="33"/>
      <c r="BP314" s="33"/>
      <c r="BQ314" s="33"/>
      <c r="BR314" s="33"/>
      <c r="BS314" s="33"/>
      <c r="BT314" s="33"/>
      <c r="BU314" s="33"/>
      <c r="BV314" s="33"/>
      <c r="BW314" s="33"/>
      <c r="BX314" s="33"/>
      <c r="BY314" s="33"/>
      <c r="BZ314" s="33"/>
      <c r="CA314" s="33"/>
      <c r="CB314" s="33"/>
      <c r="CC314" s="33"/>
      <c r="CD314" s="33"/>
      <c r="CE314" s="33"/>
      <c r="CF314" s="33"/>
      <c r="CG314" s="33"/>
      <c r="CH314" s="33"/>
      <c r="CI314" s="33"/>
      <c r="CJ314" s="33"/>
      <c r="CK314" s="33"/>
      <c r="CL314" s="33"/>
      <c r="CM314" s="33"/>
      <c r="CN314" s="33"/>
      <c r="CO314" s="33"/>
      <c r="CP314" s="33"/>
      <c r="CQ314" s="33"/>
      <c r="CR314" s="33"/>
      <c r="CS314" s="33"/>
      <c r="CT314" s="33"/>
      <c r="CU314" s="33"/>
      <c r="CV314" s="33"/>
      <c r="CW314" s="33"/>
      <c r="CX314" s="33"/>
      <c r="CY314" s="33"/>
      <c r="CZ314" s="33"/>
      <c r="DA314" s="33"/>
      <c r="DB314" s="33"/>
      <c r="DC314" s="33"/>
      <c r="DD314" s="33"/>
      <c r="DE314" s="33"/>
      <c r="DF314" s="33"/>
      <c r="DG314" s="33"/>
      <c r="DH314" s="33"/>
      <c r="DI314" s="33"/>
      <c r="DJ314" s="33"/>
      <c r="DK314" s="33"/>
      <c r="DL314" s="33"/>
      <c r="DM314" s="33"/>
      <c r="DN314" s="33"/>
      <c r="DO314" s="33"/>
      <c r="DP314" s="33"/>
      <c r="DQ314" s="33"/>
      <c r="DR314" s="33"/>
      <c r="DS314" s="33"/>
      <c r="DT314" s="33"/>
      <c r="DU314" s="33"/>
      <c r="DV314" s="33"/>
      <c r="DW314" s="33"/>
      <c r="DX314" s="33"/>
      <c r="DY314" s="33"/>
      <c r="DZ314" s="33"/>
      <c r="EA314" s="33"/>
      <c r="EB314" s="33"/>
      <c r="EC314" s="33"/>
      <c r="ED314" s="33"/>
      <c r="EE314" s="33"/>
      <c r="EF314" s="33"/>
      <c r="EG314" s="33"/>
      <c r="EH314" s="33"/>
      <c r="EI314" s="33"/>
      <c r="EJ314" s="33"/>
      <c r="EK314" s="33"/>
      <c r="EL314" s="33"/>
      <c r="EM314" s="33"/>
      <c r="EN314" s="33"/>
      <c r="EO314" s="33"/>
      <c r="EP314" s="33"/>
      <c r="EQ314" s="33"/>
      <c r="ER314" s="33"/>
      <c r="ES314" s="33"/>
      <c r="ET314" s="33"/>
      <c r="EU314" s="33"/>
      <c r="EV314" s="33"/>
      <c r="EW314" s="33"/>
      <c r="EX314" s="33"/>
      <c r="EY314" s="33"/>
      <c r="EZ314" s="33">
        <v>2</v>
      </c>
      <c r="FA314" s="33"/>
      <c r="FB314" s="33"/>
      <c r="FC314" s="33"/>
      <c r="FD314" s="33"/>
      <c r="FE314" s="33"/>
      <c r="FF314" s="33"/>
      <c r="FG314" s="33"/>
      <c r="FH314" s="33"/>
      <c r="FI314" s="33">
        <v>580</v>
      </c>
      <c r="FJ314" s="33"/>
      <c r="FK314" s="33"/>
      <c r="FL314" s="33"/>
      <c r="FM314" s="33"/>
      <c r="FN314" s="33"/>
      <c r="FO314" s="33"/>
      <c r="FP314" s="33"/>
      <c r="FQ314" s="33"/>
      <c r="FR314" s="33"/>
      <c r="FS314" s="33"/>
      <c r="FT314" s="33"/>
      <c r="FU314" s="33"/>
      <c r="FV314" s="33"/>
      <c r="FW314" s="33"/>
      <c r="FX314" s="33"/>
      <c r="FY314" s="33"/>
      <c r="FZ314" s="33"/>
      <c r="GA314" s="33"/>
      <c r="GB314" s="33"/>
      <c r="GC314" s="33"/>
      <c r="GD314" s="33"/>
      <c r="GE314" s="33"/>
      <c r="GF314" s="33"/>
      <c r="GG314" s="33"/>
      <c r="GH314" s="33"/>
      <c r="GI314" s="33"/>
      <c r="GJ314" s="33"/>
      <c r="GK314" s="33"/>
      <c r="GL314" s="33"/>
      <c r="GM314" s="33"/>
      <c r="GN314" s="33"/>
      <c r="GO314" s="33"/>
      <c r="GP314" s="33"/>
      <c r="GQ314" s="33"/>
      <c r="GR314" s="33"/>
      <c r="GS314" s="33"/>
      <c r="GT314" s="33"/>
      <c r="GU314" s="33"/>
      <c r="GV314" s="33"/>
      <c r="GW314" s="33"/>
      <c r="GX314" s="33"/>
      <c r="GY314" s="33"/>
      <c r="GZ314" s="33"/>
      <c r="HA314" s="33"/>
      <c r="HB314" s="33"/>
      <c r="HC314" s="33"/>
      <c r="HD314" s="33"/>
      <c r="HE314" s="33"/>
      <c r="HF314" s="33"/>
      <c r="HG314" s="33"/>
      <c r="HH314" s="33"/>
      <c r="HI314" s="33"/>
      <c r="HJ314" s="33"/>
      <c r="HK314" s="33"/>
      <c r="HL314" s="33"/>
      <c r="HM314" s="33"/>
      <c r="HN314" s="33"/>
      <c r="HO314" s="33"/>
      <c r="HP314" s="33"/>
      <c r="HQ314" s="33"/>
      <c r="HR314" s="33"/>
      <c r="HS314" s="33"/>
      <c r="HT314" s="33"/>
      <c r="HU314" s="33"/>
      <c r="HV314" s="33"/>
      <c r="HW314" s="33"/>
      <c r="HX314" s="33"/>
      <c r="HY314" s="33"/>
      <c r="HZ314" s="33"/>
      <c r="IA314" s="33"/>
      <c r="IB314" s="33"/>
      <c r="IC314" s="33"/>
      <c r="ID314" s="33"/>
      <c r="IE314" s="33"/>
      <c r="IF314" s="33"/>
      <c r="IG314" s="33"/>
      <c r="IH314" s="33"/>
      <c r="II314" s="33"/>
      <c r="IJ314" s="33"/>
      <c r="IK314" s="33"/>
      <c r="IL314" s="33"/>
      <c r="IM314" s="33"/>
      <c r="IN314" s="33"/>
      <c r="IO314" s="33"/>
      <c r="IP314" s="33"/>
      <c r="IQ314" s="33"/>
      <c r="IR314" s="33"/>
      <c r="IS314" s="33"/>
      <c r="IT314" s="33"/>
      <c r="IU314" s="33"/>
      <c r="IV314" s="33"/>
      <c r="IW314" s="33"/>
      <c r="IX314" s="33"/>
      <c r="IY314" s="33"/>
      <c r="IZ314" s="33"/>
      <c r="JA314" s="33"/>
      <c r="JB314" s="33"/>
      <c r="JC314" s="33"/>
      <c r="JD314" s="33"/>
      <c r="JE314" s="33"/>
      <c r="JF314" s="33"/>
      <c r="JG314" s="33"/>
      <c r="JH314" s="33"/>
      <c r="JI314" s="33"/>
      <c r="JJ314" s="33"/>
      <c r="JK314" s="33"/>
      <c r="JL314" s="33"/>
      <c r="JM314" s="33"/>
      <c r="JN314" s="33"/>
      <c r="JO314" s="33"/>
      <c r="JP314" s="33"/>
      <c r="JQ314" s="33"/>
      <c r="JR314" s="33"/>
      <c r="KZ314" s="33"/>
      <c r="LA314" s="33"/>
      <c r="LB314" s="33"/>
      <c r="LC314" s="33"/>
      <c r="LD314" s="33"/>
      <c r="LE314" s="33"/>
      <c r="LF314" s="33"/>
      <c r="LG314" s="33"/>
      <c r="LH314" s="33"/>
      <c r="LI314" s="33"/>
      <c r="LJ314" s="33"/>
      <c r="LK314" s="33"/>
      <c r="LL314" s="33"/>
      <c r="LM314" s="33"/>
      <c r="LN314" s="33"/>
      <c r="LO314" s="33"/>
      <c r="LP314" s="44"/>
      <c r="LQ314" s="44"/>
      <c r="LR314" s="44"/>
      <c r="LS314" s="44"/>
      <c r="LT314" s="44"/>
      <c r="LU314" s="44"/>
      <c r="LV314" s="44"/>
    </row>
    <row r="315" spans="1:334" x14ac:dyDescent="0.2">
      <c r="A315" s="1" t="s">
        <v>8791</v>
      </c>
      <c r="B315" s="1" t="s">
        <v>8792</v>
      </c>
      <c r="D315" s="1" t="s">
        <v>8793</v>
      </c>
      <c r="E315" s="1" t="s">
        <v>7966</v>
      </c>
      <c r="F315" s="1" t="s">
        <v>8794</v>
      </c>
      <c r="G315" s="1">
        <v>1999</v>
      </c>
      <c r="J315" s="1" t="s">
        <v>8795</v>
      </c>
      <c r="K315" s="1">
        <v>2003</v>
      </c>
      <c r="L315" s="1" t="s">
        <v>8796</v>
      </c>
      <c r="M315" s="1" t="s">
        <v>7657</v>
      </c>
      <c r="N315" s="17" t="s">
        <v>7945</v>
      </c>
      <c r="O315" s="33"/>
      <c r="P315" s="33"/>
      <c r="Q315" s="33"/>
      <c r="R315" s="33"/>
      <c r="S315" s="33"/>
      <c r="T315" s="33">
        <v>89.1</v>
      </c>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33"/>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c r="CA315" s="33"/>
      <c r="CB315" s="33"/>
      <c r="CC315" s="33"/>
      <c r="CD315" s="33"/>
      <c r="CE315" s="33"/>
      <c r="CF315" s="33"/>
      <c r="CG315" s="33"/>
      <c r="CH315" s="33"/>
      <c r="CI315" s="33"/>
      <c r="CJ315" s="33"/>
      <c r="CK315" s="33"/>
      <c r="CL315" s="33"/>
      <c r="CM315" s="33"/>
      <c r="CN315" s="33"/>
      <c r="CO315" s="33"/>
      <c r="CP315" s="33">
        <v>64.918260000000004</v>
      </c>
      <c r="CQ315" s="33"/>
      <c r="CR315" s="33">
        <v>1.6038000000000001</v>
      </c>
      <c r="CS315" s="33">
        <v>7.9450469999999997</v>
      </c>
      <c r="CT315" s="33"/>
      <c r="CU315" s="33">
        <v>1379.8070549999998</v>
      </c>
      <c r="CV315" s="33">
        <v>127.080657</v>
      </c>
      <c r="CW315" s="33">
        <v>1.4175809999999998</v>
      </c>
      <c r="CX315" s="33">
        <v>44.523269999999997</v>
      </c>
      <c r="CY315" s="33">
        <v>583.20048599999996</v>
      </c>
      <c r="CZ315" s="33"/>
      <c r="DA315" s="33">
        <v>4.7071529999999999</v>
      </c>
      <c r="DB315" s="33">
        <v>1.3774859999999998</v>
      </c>
      <c r="DC315" s="33"/>
      <c r="DD315" s="33"/>
      <c r="DE315" s="33">
        <v>58.806000000000004</v>
      </c>
      <c r="DF315" s="33">
        <v>1002.375</v>
      </c>
      <c r="DG315" s="33">
        <v>5.9696999999999996</v>
      </c>
      <c r="DH315" s="33"/>
      <c r="DI315" s="33">
        <v>341.25299999999999</v>
      </c>
      <c r="DJ315" s="33"/>
      <c r="DK315" s="33">
        <v>977.42699999999991</v>
      </c>
      <c r="DL315" s="33">
        <v>2762.991</v>
      </c>
      <c r="DM315" s="33">
        <v>44323.681544999999</v>
      </c>
      <c r="DN315" s="33">
        <v>467.77499999999998</v>
      </c>
      <c r="DO315" s="33"/>
      <c r="DP315" s="33"/>
      <c r="DQ315" s="33"/>
      <c r="DR315" s="33"/>
      <c r="DS315" s="33"/>
      <c r="DT315" s="33"/>
      <c r="DU315" s="33"/>
      <c r="DV315" s="33"/>
      <c r="DW315" s="33"/>
      <c r="DX315" s="33"/>
      <c r="DY315" s="33"/>
      <c r="DZ315" s="33"/>
      <c r="EA315" s="33"/>
      <c r="EB315" s="33"/>
      <c r="EC315" s="33"/>
      <c r="ED315" s="33"/>
      <c r="EE315" s="33"/>
      <c r="EF315" s="33"/>
      <c r="EG315" s="33"/>
      <c r="EH315" s="33"/>
      <c r="EI315" s="33"/>
      <c r="EJ315" s="33"/>
      <c r="EK315" s="33"/>
      <c r="EL315" s="33"/>
      <c r="EM315" s="33"/>
      <c r="EN315" s="33"/>
      <c r="EO315" s="33"/>
      <c r="EP315" s="33"/>
      <c r="EQ315" s="33"/>
      <c r="ER315" s="33"/>
      <c r="ES315" s="33"/>
      <c r="ET315" s="33"/>
      <c r="EU315" s="33"/>
      <c r="EV315" s="33"/>
      <c r="EW315" s="33"/>
      <c r="EX315" s="33"/>
      <c r="EY315" s="33"/>
      <c r="EZ315" s="33"/>
      <c r="FA315" s="33"/>
      <c r="FB315" s="33"/>
      <c r="FC315" s="33"/>
      <c r="FD315" s="33"/>
      <c r="FE315" s="33"/>
      <c r="FF315" s="33"/>
      <c r="FG315" s="33"/>
      <c r="FH315" s="33"/>
      <c r="FI315" s="33"/>
      <c r="FJ315" s="33"/>
      <c r="FK315" s="33"/>
      <c r="FL315" s="33"/>
      <c r="FM315" s="33"/>
      <c r="FN315" s="33"/>
      <c r="FO315" s="33"/>
      <c r="FP315" s="33"/>
      <c r="FQ315" s="33"/>
      <c r="FR315" s="33"/>
      <c r="FS315" s="33"/>
      <c r="FT315" s="33"/>
      <c r="FU315" s="33"/>
      <c r="FV315" s="33"/>
      <c r="FW315" s="33"/>
      <c r="FX315" s="33"/>
      <c r="FY315" s="33"/>
      <c r="FZ315" s="33"/>
      <c r="GA315" s="33"/>
      <c r="GB315" s="33"/>
      <c r="GC315" s="33"/>
      <c r="GD315" s="33"/>
      <c r="GE315" s="33"/>
      <c r="GF315" s="33"/>
      <c r="GG315" s="33"/>
      <c r="GH315" s="33"/>
      <c r="GI315" s="33"/>
      <c r="GJ315" s="33"/>
      <c r="GK315" s="33"/>
      <c r="GL315" s="33"/>
      <c r="GM315" s="33"/>
      <c r="GN315" s="33"/>
      <c r="GO315" s="33"/>
      <c r="GP315" s="33"/>
      <c r="GQ315" s="33"/>
      <c r="GR315" s="33"/>
      <c r="GS315" s="33"/>
      <c r="GT315" s="33"/>
      <c r="GU315" s="33"/>
      <c r="GV315" s="33"/>
      <c r="GW315" s="33"/>
      <c r="GX315" s="33"/>
      <c r="GY315" s="33"/>
      <c r="GZ315" s="33"/>
      <c r="HA315" s="33"/>
      <c r="HB315" s="33"/>
      <c r="HC315" s="33"/>
      <c r="HD315" s="33"/>
      <c r="HE315" s="33"/>
      <c r="HF315" s="33"/>
      <c r="HG315" s="33"/>
      <c r="HH315" s="33"/>
      <c r="HI315" s="33"/>
      <c r="HJ315" s="33"/>
      <c r="HK315" s="33"/>
      <c r="HL315" s="33"/>
      <c r="HM315" s="33"/>
      <c r="HN315" s="33"/>
      <c r="HO315" s="33"/>
      <c r="HP315" s="33"/>
      <c r="HQ315" s="33"/>
      <c r="HR315" s="33"/>
      <c r="HS315" s="33"/>
      <c r="HT315" s="33"/>
      <c r="HU315" s="33"/>
      <c r="HV315" s="33"/>
      <c r="HW315" s="33"/>
      <c r="HX315" s="33"/>
      <c r="HY315" s="33"/>
      <c r="HZ315" s="33"/>
      <c r="IA315" s="33"/>
      <c r="IB315" s="33"/>
      <c r="IC315" s="33"/>
      <c r="ID315" s="33"/>
      <c r="IE315" s="33"/>
      <c r="IF315" s="33"/>
      <c r="IG315" s="33"/>
      <c r="IH315" s="33"/>
      <c r="II315" s="33"/>
      <c r="IJ315" s="33"/>
      <c r="IK315" s="33"/>
      <c r="IL315" s="33"/>
      <c r="IM315" s="33"/>
      <c r="IN315" s="33"/>
      <c r="IO315" s="33"/>
      <c r="IP315" s="33"/>
      <c r="IQ315" s="33"/>
      <c r="IR315" s="33"/>
      <c r="IS315" s="33"/>
      <c r="IT315" s="33"/>
      <c r="IU315" s="33"/>
      <c r="IV315" s="33"/>
      <c r="IW315" s="33"/>
      <c r="IX315" s="33"/>
      <c r="IY315" s="33"/>
      <c r="IZ315" s="33"/>
      <c r="JA315" s="33"/>
      <c r="JB315" s="33"/>
      <c r="JC315" s="33"/>
      <c r="JD315" s="33"/>
      <c r="JE315" s="33"/>
      <c r="JF315" s="33"/>
      <c r="JG315" s="33"/>
      <c r="JH315" s="33"/>
      <c r="JI315" s="33"/>
      <c r="JJ315" s="33"/>
      <c r="JK315" s="33"/>
      <c r="JL315" s="33"/>
      <c r="JM315" s="33"/>
      <c r="JN315" s="33"/>
      <c r="JO315" s="33"/>
      <c r="JP315" s="33"/>
      <c r="JQ315" s="33"/>
      <c r="JR315" s="33"/>
      <c r="KZ315" s="33"/>
      <c r="LA315" s="33"/>
      <c r="LB315" s="33"/>
      <c r="LC315" s="33"/>
      <c r="LD315" s="33"/>
      <c r="LE315" s="33"/>
      <c r="LF315" s="33"/>
      <c r="LG315" s="33"/>
      <c r="LH315" s="33"/>
      <c r="LI315" s="33"/>
      <c r="LJ315" s="33"/>
      <c r="LK315" s="33"/>
      <c r="LL315" s="33"/>
      <c r="LM315" s="33"/>
      <c r="LN315" s="33"/>
      <c r="LO315" s="33"/>
      <c r="LP315" s="44"/>
      <c r="LQ315" s="44"/>
      <c r="LR315" s="44"/>
      <c r="LS315" s="44"/>
      <c r="LT315" s="44"/>
      <c r="LU315" s="44"/>
      <c r="LV315" s="44"/>
    </row>
    <row r="316" spans="1:334" x14ac:dyDescent="0.2">
      <c r="A316" s="1" t="s">
        <v>8797</v>
      </c>
      <c r="B316" s="1" t="s">
        <v>8798</v>
      </c>
      <c r="D316" s="1" t="s">
        <v>8799</v>
      </c>
      <c r="E316" s="1" t="s">
        <v>7966</v>
      </c>
      <c r="F316" s="1" t="s">
        <v>8800</v>
      </c>
      <c r="I316" s="1">
        <v>2</v>
      </c>
      <c r="J316" s="1" t="s">
        <v>8801</v>
      </c>
      <c r="K316" s="1">
        <v>1995</v>
      </c>
      <c r="L316" s="1" t="s">
        <v>8802</v>
      </c>
      <c r="M316" s="1" t="s">
        <v>7657</v>
      </c>
      <c r="N316" s="17" t="s">
        <v>7945</v>
      </c>
      <c r="O316" s="33"/>
      <c r="P316" s="33">
        <v>364.96600000000001</v>
      </c>
      <c r="Q316" s="33"/>
      <c r="R316" s="33"/>
      <c r="S316" s="33">
        <v>8.3000000000000007</v>
      </c>
      <c r="T316" s="33"/>
      <c r="U316" s="33"/>
      <c r="V316" s="33"/>
      <c r="W316" s="33"/>
      <c r="X316" s="33"/>
      <c r="Y316" s="33"/>
      <c r="Z316" s="33">
        <v>21.2744</v>
      </c>
      <c r="AA316" s="33"/>
      <c r="AB316" s="33">
        <v>1.7423</v>
      </c>
      <c r="AC316" s="33"/>
      <c r="AD316" s="33"/>
      <c r="AE316" s="33"/>
      <c r="AF316" s="33">
        <v>65.382099999999994</v>
      </c>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c r="BC316" s="33"/>
      <c r="BD316" s="33"/>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c r="CA316" s="33"/>
      <c r="CB316" s="33"/>
      <c r="CC316" s="33"/>
      <c r="CD316" s="33"/>
      <c r="CE316" s="33"/>
      <c r="CF316" s="33"/>
      <c r="CG316" s="33"/>
      <c r="CH316" s="33"/>
      <c r="CI316" s="33"/>
      <c r="CJ316" s="33"/>
      <c r="CK316" s="33"/>
      <c r="CL316" s="33"/>
      <c r="CM316" s="33"/>
      <c r="CN316" s="33"/>
      <c r="CO316" s="33">
        <v>2.7510000000000003</v>
      </c>
      <c r="CP316" s="33">
        <v>97.202000000000012</v>
      </c>
      <c r="CQ316" s="33"/>
      <c r="CR316" s="33"/>
      <c r="CS316" s="33"/>
      <c r="CT316" s="33"/>
      <c r="CU316" s="33">
        <v>1018.7869999999999</v>
      </c>
      <c r="CV316" s="33">
        <v>131.131</v>
      </c>
      <c r="CW316" s="33"/>
      <c r="CX316" s="33">
        <v>2.6684700000000006</v>
      </c>
      <c r="CY316" s="33">
        <v>360.38099999999997</v>
      </c>
      <c r="CZ316" s="33"/>
      <c r="DA316" s="33"/>
      <c r="DB316" s="33"/>
      <c r="DC316" s="33"/>
      <c r="DD316" s="33"/>
      <c r="DE316" s="33"/>
      <c r="DF316" s="33"/>
      <c r="DG316" s="33"/>
      <c r="DH316" s="33"/>
      <c r="DI316" s="33"/>
      <c r="DJ316" s="33"/>
      <c r="DK316" s="33"/>
      <c r="DL316" s="33"/>
      <c r="DM316" s="33"/>
      <c r="DN316" s="33"/>
      <c r="DO316" s="33"/>
      <c r="DP316" s="33"/>
      <c r="DQ316" s="33"/>
      <c r="DR316" s="33"/>
      <c r="DS316" s="33"/>
      <c r="DT316" s="33"/>
      <c r="DU316" s="33"/>
      <c r="DV316" s="33"/>
      <c r="DW316" s="33"/>
      <c r="DX316" s="33"/>
      <c r="DY316" s="33"/>
      <c r="DZ316" s="33"/>
      <c r="EA316" s="33"/>
      <c r="EB316" s="33"/>
      <c r="EC316" s="33"/>
      <c r="ED316" s="33"/>
      <c r="EE316" s="33"/>
      <c r="EF316" s="33"/>
      <c r="EG316" s="33"/>
      <c r="EH316" s="33"/>
      <c r="EI316" s="33"/>
      <c r="EJ316" s="33"/>
      <c r="EK316" s="33"/>
      <c r="EL316" s="33"/>
      <c r="EM316" s="33"/>
      <c r="EN316" s="33"/>
      <c r="EO316" s="33"/>
      <c r="EP316" s="33"/>
      <c r="EQ316" s="33"/>
      <c r="ER316" s="33"/>
      <c r="ES316" s="33"/>
      <c r="ET316" s="33"/>
      <c r="EU316" s="33"/>
      <c r="EV316" s="33"/>
      <c r="EW316" s="33"/>
      <c r="EX316" s="33"/>
      <c r="EY316" s="33"/>
      <c r="EZ316" s="33"/>
      <c r="FA316" s="33"/>
      <c r="FB316" s="33"/>
      <c r="FC316" s="33"/>
      <c r="FD316" s="33"/>
      <c r="FE316" s="33"/>
      <c r="FF316" s="33"/>
      <c r="FG316" s="33"/>
      <c r="FH316" s="33"/>
      <c r="FI316" s="33"/>
      <c r="FJ316" s="33"/>
      <c r="FK316" s="33"/>
      <c r="FL316" s="33"/>
      <c r="FM316" s="33"/>
      <c r="FN316" s="33"/>
      <c r="FO316" s="33"/>
      <c r="FP316" s="33"/>
      <c r="FQ316" s="33"/>
      <c r="FR316" s="33"/>
      <c r="FS316" s="33"/>
      <c r="FT316" s="33"/>
      <c r="FU316" s="33"/>
      <c r="FV316" s="33"/>
      <c r="FW316" s="33"/>
      <c r="FX316" s="33"/>
      <c r="FY316" s="33"/>
      <c r="FZ316" s="33"/>
      <c r="GA316" s="33"/>
      <c r="GB316" s="33"/>
      <c r="GC316" s="33"/>
      <c r="GD316" s="33"/>
      <c r="GE316" s="33"/>
      <c r="GF316" s="33"/>
      <c r="GG316" s="33"/>
      <c r="GH316" s="33"/>
      <c r="GI316" s="33"/>
      <c r="GJ316" s="33"/>
      <c r="GK316" s="33"/>
      <c r="GL316" s="33"/>
      <c r="GM316" s="33"/>
      <c r="GN316" s="33"/>
      <c r="GO316" s="33"/>
      <c r="GP316" s="33"/>
      <c r="GQ316" s="33"/>
      <c r="GR316" s="33"/>
      <c r="GS316" s="33"/>
      <c r="GT316" s="33"/>
      <c r="GU316" s="33"/>
      <c r="GV316" s="33"/>
      <c r="GW316" s="33"/>
      <c r="GX316" s="33"/>
      <c r="GY316" s="33"/>
      <c r="GZ316" s="33"/>
      <c r="HA316" s="33"/>
      <c r="HB316" s="33"/>
      <c r="HC316" s="33"/>
      <c r="HD316" s="33"/>
      <c r="HE316" s="33"/>
      <c r="HF316" s="33"/>
      <c r="HG316" s="33"/>
      <c r="HH316" s="33"/>
      <c r="HI316" s="33"/>
      <c r="HJ316" s="33"/>
      <c r="HK316" s="33"/>
      <c r="HL316" s="33"/>
      <c r="HM316" s="33"/>
      <c r="HN316" s="33"/>
      <c r="HO316" s="33"/>
      <c r="HP316" s="33"/>
      <c r="HQ316" s="33"/>
      <c r="HR316" s="33"/>
      <c r="HS316" s="33"/>
      <c r="HT316" s="33"/>
      <c r="HU316" s="33"/>
      <c r="HV316" s="33"/>
      <c r="HW316" s="33"/>
      <c r="HX316" s="33"/>
      <c r="HY316" s="33"/>
      <c r="HZ316" s="33"/>
      <c r="IA316" s="33"/>
      <c r="IB316" s="33"/>
      <c r="IC316" s="33"/>
      <c r="ID316" s="33"/>
      <c r="IE316" s="33"/>
      <c r="IF316" s="33"/>
      <c r="IG316" s="33"/>
      <c r="IH316" s="33"/>
      <c r="II316" s="33"/>
      <c r="IJ316" s="33"/>
      <c r="IK316" s="33"/>
      <c r="IL316" s="33"/>
      <c r="IM316" s="33"/>
      <c r="IN316" s="33"/>
      <c r="IO316" s="33"/>
      <c r="IP316" s="33"/>
      <c r="IQ316" s="33"/>
      <c r="IR316" s="33"/>
      <c r="IS316" s="33"/>
      <c r="IT316" s="33"/>
      <c r="IU316" s="33"/>
      <c r="IV316" s="33"/>
      <c r="IW316" s="33"/>
      <c r="IX316" s="33"/>
      <c r="IY316" s="33"/>
      <c r="IZ316" s="33"/>
      <c r="JA316" s="33"/>
      <c r="JB316" s="33"/>
      <c r="JC316" s="33"/>
      <c r="JD316" s="33"/>
      <c r="JE316" s="33"/>
      <c r="JF316" s="33"/>
      <c r="JG316" s="33"/>
      <c r="JH316" s="33"/>
      <c r="JI316" s="33"/>
      <c r="JJ316" s="33"/>
      <c r="JK316" s="33"/>
      <c r="JL316" s="33"/>
      <c r="JM316" s="33"/>
      <c r="JN316" s="33"/>
      <c r="JO316" s="33"/>
      <c r="JP316" s="33"/>
      <c r="JQ316" s="33"/>
      <c r="JR316" s="33"/>
      <c r="KZ316" s="33"/>
      <c r="LA316" s="33"/>
      <c r="LB316" s="33"/>
      <c r="LC316" s="33"/>
      <c r="LD316" s="33"/>
      <c r="LE316" s="33"/>
      <c r="LF316" s="33"/>
      <c r="LG316" s="33"/>
      <c r="LH316" s="33"/>
      <c r="LI316" s="33"/>
      <c r="LJ316" s="33"/>
      <c r="LK316" s="33"/>
      <c r="LL316" s="33"/>
      <c r="LM316" s="33"/>
      <c r="LN316" s="33"/>
      <c r="LO316" s="33"/>
      <c r="LP316" s="44"/>
      <c r="LQ316" s="44"/>
      <c r="LR316" s="44"/>
      <c r="LS316" s="44"/>
      <c r="LT316" s="44"/>
      <c r="LU316" s="44"/>
      <c r="LV316" s="44"/>
    </row>
    <row r="317" spans="1:334" x14ac:dyDescent="0.2">
      <c r="A317" s="1" t="s">
        <v>8803</v>
      </c>
      <c r="B317" s="1" t="s">
        <v>8798</v>
      </c>
      <c r="D317" s="1" t="s">
        <v>8640</v>
      </c>
      <c r="E317" s="1" t="s">
        <v>7966</v>
      </c>
      <c r="F317" s="1" t="s">
        <v>8024</v>
      </c>
      <c r="I317" s="1">
        <v>2</v>
      </c>
      <c r="J317" s="1" t="s">
        <v>8801</v>
      </c>
      <c r="K317" s="1">
        <v>1995</v>
      </c>
      <c r="L317" s="1" t="s">
        <v>8802</v>
      </c>
      <c r="M317" s="1" t="s">
        <v>7657</v>
      </c>
      <c r="N317" s="17" t="s">
        <v>7945</v>
      </c>
      <c r="O317" s="33"/>
      <c r="P317" s="33">
        <v>365.24</v>
      </c>
      <c r="Q317" s="33"/>
      <c r="R317" s="33"/>
      <c r="S317" s="33">
        <v>8</v>
      </c>
      <c r="T317" s="33"/>
      <c r="U317" s="33"/>
      <c r="V317" s="33"/>
      <c r="W317" s="33"/>
      <c r="X317" s="33"/>
      <c r="Y317" s="33"/>
      <c r="Z317" s="33">
        <v>20.239999999999998</v>
      </c>
      <c r="AA317" s="33"/>
      <c r="AB317" s="33">
        <v>1.6559999999999999</v>
      </c>
      <c r="AC317" s="33"/>
      <c r="AD317" s="33"/>
      <c r="AE317" s="33"/>
      <c r="AF317" s="33">
        <v>66.515999999999991</v>
      </c>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c r="BC317" s="33"/>
      <c r="BD317" s="33"/>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c r="CA317" s="33"/>
      <c r="CB317" s="33"/>
      <c r="CC317" s="33"/>
      <c r="CD317" s="33"/>
      <c r="CE317" s="33"/>
      <c r="CF317" s="33"/>
      <c r="CG317" s="33"/>
      <c r="CH317" s="33"/>
      <c r="CI317" s="33"/>
      <c r="CJ317" s="33"/>
      <c r="CK317" s="33"/>
      <c r="CL317" s="33"/>
      <c r="CM317" s="33"/>
      <c r="CN317" s="33"/>
      <c r="CO317" s="33">
        <v>2.9440000000000004</v>
      </c>
      <c r="CP317" s="33">
        <v>90.068000000000012</v>
      </c>
      <c r="CQ317" s="33"/>
      <c r="CR317" s="33"/>
      <c r="CS317" s="33"/>
      <c r="CT317" s="33"/>
      <c r="CU317" s="33">
        <v>504.16</v>
      </c>
      <c r="CV317" s="33">
        <v>109.48</v>
      </c>
      <c r="CW317" s="33"/>
      <c r="CX317" s="33">
        <v>27.967999999999996</v>
      </c>
      <c r="CY317" s="33">
        <v>289.8</v>
      </c>
      <c r="CZ317" s="33"/>
      <c r="DA317" s="33"/>
      <c r="DB317" s="33"/>
      <c r="DC317" s="33"/>
      <c r="DD317" s="33"/>
      <c r="DE317" s="33"/>
      <c r="DF317" s="33"/>
      <c r="DG317" s="33"/>
      <c r="DH317" s="33"/>
      <c r="DI317" s="33"/>
      <c r="DJ317" s="33"/>
      <c r="DK317" s="33"/>
      <c r="DL317" s="33"/>
      <c r="DM317" s="33"/>
      <c r="DN317" s="33"/>
      <c r="DO317" s="33"/>
      <c r="DP317" s="33"/>
      <c r="DQ317" s="33"/>
      <c r="DR317" s="33"/>
      <c r="DS317" s="33"/>
      <c r="DT317" s="33"/>
      <c r="DU317" s="33"/>
      <c r="DV317" s="33"/>
      <c r="DW317" s="33"/>
      <c r="DX317" s="33"/>
      <c r="DY317" s="33"/>
      <c r="DZ317" s="33"/>
      <c r="EA317" s="33"/>
      <c r="EB317" s="33"/>
      <c r="EC317" s="33"/>
      <c r="ED317" s="33"/>
      <c r="EE317" s="33"/>
      <c r="EF317" s="33"/>
      <c r="EG317" s="33"/>
      <c r="EH317" s="33"/>
      <c r="EI317" s="33"/>
      <c r="EJ317" s="33"/>
      <c r="EK317" s="33"/>
      <c r="EL317" s="33"/>
      <c r="EM317" s="33"/>
      <c r="EN317" s="33"/>
      <c r="EO317" s="33"/>
      <c r="EP317" s="33"/>
      <c r="EQ317" s="33"/>
      <c r="ER317" s="33"/>
      <c r="ES317" s="33"/>
      <c r="ET317" s="33"/>
      <c r="EU317" s="33"/>
      <c r="EV317" s="33"/>
      <c r="EW317" s="33"/>
      <c r="EX317" s="33"/>
      <c r="EY317" s="33"/>
      <c r="EZ317" s="33"/>
      <c r="FA317" s="33"/>
      <c r="FB317" s="33"/>
      <c r="FC317" s="33"/>
      <c r="FD317" s="33"/>
      <c r="FE317" s="33"/>
      <c r="FF317" s="33"/>
      <c r="FG317" s="33"/>
      <c r="FH317" s="33"/>
      <c r="FI317" s="33"/>
      <c r="FJ317" s="33"/>
      <c r="FK317" s="33"/>
      <c r="FL317" s="33"/>
      <c r="FM317" s="33"/>
      <c r="FN317" s="33"/>
      <c r="FO317" s="33"/>
      <c r="FP317" s="33"/>
      <c r="FQ317" s="33"/>
      <c r="FR317" s="33"/>
      <c r="FS317" s="33"/>
      <c r="FT317" s="33"/>
      <c r="FU317" s="33"/>
      <c r="FV317" s="33"/>
      <c r="FW317" s="33"/>
      <c r="FX317" s="33"/>
      <c r="FY317" s="33"/>
      <c r="FZ317" s="33"/>
      <c r="GA317" s="33"/>
      <c r="GB317" s="33"/>
      <c r="GC317" s="33"/>
      <c r="GD317" s="33"/>
      <c r="GE317" s="33"/>
      <c r="GF317" s="33"/>
      <c r="GG317" s="33"/>
      <c r="GH317" s="33"/>
      <c r="GI317" s="33"/>
      <c r="GJ317" s="33"/>
      <c r="GK317" s="33"/>
      <c r="GL317" s="33"/>
      <c r="GM317" s="33"/>
      <c r="GN317" s="33"/>
      <c r="GO317" s="33"/>
      <c r="GP317" s="33"/>
      <c r="GQ317" s="33"/>
      <c r="GR317" s="33"/>
      <c r="GS317" s="33"/>
      <c r="GT317" s="33"/>
      <c r="GU317" s="33"/>
      <c r="GV317" s="33"/>
      <c r="GW317" s="33"/>
      <c r="GX317" s="33"/>
      <c r="GY317" s="33"/>
      <c r="GZ317" s="33"/>
      <c r="HA317" s="33"/>
      <c r="HB317" s="33"/>
      <c r="HC317" s="33"/>
      <c r="HD317" s="33"/>
      <c r="HE317" s="33"/>
      <c r="HF317" s="33"/>
      <c r="HG317" s="33"/>
      <c r="HH317" s="33"/>
      <c r="HI317" s="33"/>
      <c r="HJ317" s="33"/>
      <c r="HK317" s="33"/>
      <c r="HL317" s="33"/>
      <c r="HM317" s="33"/>
      <c r="HN317" s="33"/>
      <c r="HO317" s="33"/>
      <c r="HP317" s="33"/>
      <c r="HQ317" s="33"/>
      <c r="HR317" s="33"/>
      <c r="HS317" s="33"/>
      <c r="HT317" s="33"/>
      <c r="HU317" s="33"/>
      <c r="HV317" s="33"/>
      <c r="HW317" s="33"/>
      <c r="HX317" s="33"/>
      <c r="HY317" s="33"/>
      <c r="HZ317" s="33"/>
      <c r="IA317" s="33"/>
      <c r="IB317" s="33"/>
      <c r="IC317" s="33"/>
      <c r="ID317" s="33"/>
      <c r="IE317" s="33"/>
      <c r="IF317" s="33"/>
      <c r="IG317" s="33"/>
      <c r="IH317" s="33"/>
      <c r="II317" s="33"/>
      <c r="IJ317" s="33"/>
      <c r="IK317" s="33"/>
      <c r="IL317" s="33"/>
      <c r="IM317" s="33"/>
      <c r="IN317" s="33"/>
      <c r="IO317" s="33"/>
      <c r="IP317" s="33"/>
      <c r="IQ317" s="33"/>
      <c r="IR317" s="33"/>
      <c r="IS317" s="33"/>
      <c r="IT317" s="33"/>
      <c r="IU317" s="33"/>
      <c r="IV317" s="33"/>
      <c r="IW317" s="33"/>
      <c r="IX317" s="33"/>
      <c r="IY317" s="33"/>
      <c r="IZ317" s="33"/>
      <c r="JA317" s="33"/>
      <c r="JB317" s="33"/>
      <c r="JC317" s="33"/>
      <c r="JD317" s="33"/>
      <c r="JE317" s="33"/>
      <c r="JF317" s="33"/>
      <c r="JG317" s="33"/>
      <c r="JH317" s="33"/>
      <c r="JI317" s="33"/>
      <c r="JJ317" s="33"/>
      <c r="JK317" s="33"/>
      <c r="JL317" s="33"/>
      <c r="JM317" s="33"/>
      <c r="JN317" s="33"/>
      <c r="JO317" s="33"/>
      <c r="JP317" s="33"/>
      <c r="JQ317" s="33"/>
      <c r="JR317" s="33"/>
      <c r="KZ317" s="33"/>
      <c r="LA317" s="33"/>
      <c r="LB317" s="33"/>
      <c r="LC317" s="33"/>
      <c r="LD317" s="33"/>
      <c r="LE317" s="33"/>
      <c r="LF317" s="33"/>
      <c r="LG317" s="33"/>
      <c r="LH317" s="33"/>
      <c r="LI317" s="33"/>
      <c r="LJ317" s="33"/>
      <c r="LK317" s="33"/>
      <c r="LL317" s="33"/>
      <c r="LM317" s="33"/>
      <c r="LN317" s="33"/>
      <c r="LO317" s="33"/>
      <c r="LP317" s="44"/>
      <c r="LQ317" s="44"/>
      <c r="LR317" s="44"/>
      <c r="LS317" s="44"/>
      <c r="LT317" s="44"/>
      <c r="LU317" s="44"/>
      <c r="LV317" s="44"/>
    </row>
    <row r="318" spans="1:334" x14ac:dyDescent="0.2">
      <c r="A318" s="1" t="s">
        <v>8804</v>
      </c>
      <c r="B318" s="1" t="s">
        <v>8798</v>
      </c>
      <c r="D318" s="1" t="s">
        <v>8638</v>
      </c>
      <c r="E318" s="1" t="s">
        <v>7966</v>
      </c>
      <c r="F318" s="1" t="s">
        <v>688</v>
      </c>
      <c r="I318" s="1">
        <v>2</v>
      </c>
      <c r="J318" s="1" t="s">
        <v>8801</v>
      </c>
      <c r="K318" s="1">
        <v>1995</v>
      </c>
      <c r="L318" s="1" t="s">
        <v>8802</v>
      </c>
      <c r="M318" s="1" t="s">
        <v>7657</v>
      </c>
      <c r="N318" s="17" t="s">
        <v>7945</v>
      </c>
      <c r="O318" s="33"/>
      <c r="P318" s="33">
        <v>389.846</v>
      </c>
      <c r="Q318" s="33"/>
      <c r="R318" s="33"/>
      <c r="S318" s="33">
        <v>7.4</v>
      </c>
      <c r="T318" s="33"/>
      <c r="U318" s="33"/>
      <c r="V318" s="33"/>
      <c r="W318" s="33"/>
      <c r="X318" s="33"/>
      <c r="Y318" s="33"/>
      <c r="Z318" s="33">
        <v>16.575399999999998</v>
      </c>
      <c r="AA318" s="33"/>
      <c r="AB318" s="33">
        <v>5.2781999999999991</v>
      </c>
      <c r="AC318" s="33"/>
      <c r="AD318" s="33"/>
      <c r="AE318" s="33"/>
      <c r="AF318" s="33">
        <v>67.690599999999989</v>
      </c>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c r="CM318" s="33"/>
      <c r="CN318" s="33"/>
      <c r="CO318" s="33">
        <v>2.5002</v>
      </c>
      <c r="CP318" s="33">
        <v>168.53200000000001</v>
      </c>
      <c r="CQ318" s="33"/>
      <c r="CR318" s="33"/>
      <c r="CS318" s="33"/>
      <c r="CT318" s="33"/>
      <c r="CU318" s="33">
        <v>1036.194</v>
      </c>
      <c r="CV318" s="33">
        <v>139.82599999999999</v>
      </c>
      <c r="CW318" s="33"/>
      <c r="CX318" s="33">
        <v>7.4172599999999989</v>
      </c>
      <c r="CY318" s="33">
        <v>318.54399999999998</v>
      </c>
      <c r="CZ318" s="33"/>
      <c r="DA318" s="33"/>
      <c r="DB318" s="33"/>
      <c r="DC318" s="33"/>
      <c r="DD318" s="33"/>
      <c r="DE318" s="33"/>
      <c r="DF318" s="33"/>
      <c r="DG318" s="33"/>
      <c r="DH318" s="33"/>
      <c r="DI318" s="33"/>
      <c r="DJ318" s="33"/>
      <c r="DK318" s="33"/>
      <c r="DL318" s="33"/>
      <c r="DM318" s="33"/>
      <c r="DN318" s="33"/>
      <c r="DO318" s="33"/>
      <c r="DP318" s="33"/>
      <c r="DQ318" s="33"/>
      <c r="DR318" s="33"/>
      <c r="DS318" s="33"/>
      <c r="DT318" s="33"/>
      <c r="DU318" s="33"/>
      <c r="DV318" s="33"/>
      <c r="DW318" s="33"/>
      <c r="DX318" s="33"/>
      <c r="DY318" s="33"/>
      <c r="DZ318" s="33"/>
      <c r="EA318" s="33"/>
      <c r="EB318" s="33"/>
      <c r="EC318" s="33"/>
      <c r="ED318" s="33"/>
      <c r="EE318" s="33"/>
      <c r="EF318" s="33"/>
      <c r="EG318" s="33"/>
      <c r="EH318" s="33"/>
      <c r="EI318" s="33"/>
      <c r="EJ318" s="33"/>
      <c r="EK318" s="33"/>
      <c r="EL318" s="33"/>
      <c r="EM318" s="33"/>
      <c r="EN318" s="33"/>
      <c r="EO318" s="33"/>
      <c r="EP318" s="33"/>
      <c r="EQ318" s="33"/>
      <c r="ER318" s="33"/>
      <c r="ES318" s="33"/>
      <c r="ET318" s="33"/>
      <c r="EU318" s="33"/>
      <c r="EV318" s="33"/>
      <c r="EW318" s="33"/>
      <c r="EX318" s="33"/>
      <c r="EY318" s="33"/>
      <c r="EZ318" s="33"/>
      <c r="FA318" s="33"/>
      <c r="FB318" s="33"/>
      <c r="FC318" s="33"/>
      <c r="FD318" s="33"/>
      <c r="FE318" s="33"/>
      <c r="FF318" s="33"/>
      <c r="FG318" s="33"/>
      <c r="FH318" s="33"/>
      <c r="FI318" s="33"/>
      <c r="FJ318" s="33"/>
      <c r="FK318" s="33"/>
      <c r="FL318" s="33"/>
      <c r="FM318" s="33"/>
      <c r="FN318" s="33"/>
      <c r="FO318" s="33"/>
      <c r="FP318" s="33"/>
      <c r="FQ318" s="33"/>
      <c r="FR318" s="33"/>
      <c r="FS318" s="33"/>
      <c r="FT318" s="33"/>
      <c r="FU318" s="33"/>
      <c r="FV318" s="33"/>
      <c r="FW318" s="33"/>
      <c r="FX318" s="33"/>
      <c r="FY318" s="33"/>
      <c r="FZ318" s="33"/>
      <c r="GA318" s="33"/>
      <c r="GB318" s="33"/>
      <c r="GC318" s="33"/>
      <c r="GD318" s="33"/>
      <c r="GE318" s="33"/>
      <c r="GF318" s="33"/>
      <c r="GG318" s="33"/>
      <c r="GH318" s="33"/>
      <c r="GI318" s="33"/>
      <c r="GJ318" s="33"/>
      <c r="GK318" s="33"/>
      <c r="GL318" s="33"/>
      <c r="GM318" s="33"/>
      <c r="GN318" s="33"/>
      <c r="GO318" s="33"/>
      <c r="GP318" s="33"/>
      <c r="GQ318" s="33"/>
      <c r="GR318" s="33"/>
      <c r="GS318" s="33"/>
      <c r="GT318" s="33"/>
      <c r="GU318" s="33"/>
      <c r="GV318" s="33"/>
      <c r="GW318" s="33"/>
      <c r="GX318" s="33"/>
      <c r="GY318" s="33"/>
      <c r="GZ318" s="33"/>
      <c r="HA318" s="33"/>
      <c r="HB318" s="33"/>
      <c r="HC318" s="33"/>
      <c r="HD318" s="33"/>
      <c r="HE318" s="33"/>
      <c r="HF318" s="33"/>
      <c r="HG318" s="33"/>
      <c r="HH318" s="33"/>
      <c r="HI318" s="33"/>
      <c r="HJ318" s="33"/>
      <c r="HK318" s="33"/>
      <c r="HL318" s="33"/>
      <c r="HM318" s="33"/>
      <c r="HN318" s="33"/>
      <c r="HO318" s="33"/>
      <c r="HP318" s="33"/>
      <c r="HQ318" s="33"/>
      <c r="HR318" s="33"/>
      <c r="HS318" s="33"/>
      <c r="HT318" s="33"/>
      <c r="HU318" s="33"/>
      <c r="HV318" s="33"/>
      <c r="HW318" s="33"/>
      <c r="HX318" s="33"/>
      <c r="HY318" s="33"/>
      <c r="HZ318" s="33"/>
      <c r="IA318" s="33"/>
      <c r="IB318" s="33"/>
      <c r="IC318" s="33"/>
      <c r="ID318" s="33"/>
      <c r="IE318" s="33"/>
      <c r="IF318" s="33"/>
      <c r="IG318" s="33"/>
      <c r="IH318" s="33"/>
      <c r="II318" s="33"/>
      <c r="IJ318" s="33"/>
      <c r="IK318" s="33"/>
      <c r="IL318" s="33"/>
      <c r="IM318" s="33"/>
      <c r="IN318" s="33"/>
      <c r="IO318" s="33"/>
      <c r="IP318" s="33"/>
      <c r="IQ318" s="33"/>
      <c r="IR318" s="33"/>
      <c r="IS318" s="33"/>
      <c r="IT318" s="33"/>
      <c r="IU318" s="33"/>
      <c r="IV318" s="33"/>
      <c r="IW318" s="33"/>
      <c r="IX318" s="33"/>
      <c r="IY318" s="33"/>
      <c r="IZ318" s="33"/>
      <c r="JA318" s="33"/>
      <c r="JB318" s="33"/>
      <c r="JC318" s="33"/>
      <c r="JD318" s="33"/>
      <c r="JE318" s="33"/>
      <c r="JF318" s="33"/>
      <c r="JG318" s="33"/>
      <c r="JH318" s="33"/>
      <c r="JI318" s="33"/>
      <c r="JJ318" s="33"/>
      <c r="JK318" s="33"/>
      <c r="JL318" s="33"/>
      <c r="JM318" s="33"/>
      <c r="JN318" s="33"/>
      <c r="JO318" s="33"/>
      <c r="JP318" s="33"/>
      <c r="JQ318" s="33"/>
      <c r="JR318" s="33"/>
      <c r="KZ318" s="33"/>
      <c r="LA318" s="33"/>
      <c r="LB318" s="33"/>
      <c r="LC318" s="33"/>
      <c r="LD318" s="33"/>
      <c r="LE318" s="33"/>
      <c r="LF318" s="33"/>
      <c r="LG318" s="33"/>
      <c r="LH318" s="33"/>
      <c r="LI318" s="33"/>
      <c r="LJ318" s="33"/>
      <c r="LK318" s="33"/>
      <c r="LL318" s="33"/>
      <c r="LM318" s="33"/>
      <c r="LN318" s="33"/>
      <c r="LO318" s="33"/>
      <c r="LP318" s="44"/>
      <c r="LQ318" s="44"/>
      <c r="LR318" s="44"/>
      <c r="LS318" s="44"/>
      <c r="LT318" s="44"/>
      <c r="LU318" s="44"/>
      <c r="LV318" s="44"/>
    </row>
    <row r="319" spans="1:334" x14ac:dyDescent="0.2">
      <c r="A319" s="1" t="s">
        <v>8805</v>
      </c>
      <c r="B319" s="1" t="s">
        <v>8798</v>
      </c>
      <c r="D319" s="1" t="s">
        <v>8806</v>
      </c>
      <c r="E319" s="1" t="s">
        <v>7966</v>
      </c>
      <c r="F319" s="1" t="s">
        <v>6263</v>
      </c>
      <c r="I319" s="1">
        <v>2</v>
      </c>
      <c r="J319" s="1" t="s">
        <v>8801</v>
      </c>
      <c r="K319" s="1">
        <v>1995</v>
      </c>
      <c r="L319" s="1" t="s">
        <v>8802</v>
      </c>
      <c r="M319" s="1" t="s">
        <v>7657</v>
      </c>
      <c r="N319" s="17" t="s">
        <v>7945</v>
      </c>
      <c r="O319" s="33"/>
      <c r="P319" s="33">
        <v>354.24599999999998</v>
      </c>
      <c r="Q319" s="33"/>
      <c r="R319" s="33"/>
      <c r="S319" s="33">
        <v>9.4</v>
      </c>
      <c r="T319" s="33"/>
      <c r="U319" s="33"/>
      <c r="V319" s="33"/>
      <c r="W319" s="33"/>
      <c r="X319" s="33"/>
      <c r="Y319" s="33"/>
      <c r="Z319" s="33">
        <v>19.026</v>
      </c>
      <c r="AA319" s="33"/>
      <c r="AB319" s="33">
        <v>1.6307999999999998</v>
      </c>
      <c r="AC319" s="33"/>
      <c r="AD319" s="33"/>
      <c r="AE319" s="33"/>
      <c r="AF319" s="33">
        <v>64.597799999999992</v>
      </c>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33"/>
      <c r="BE319" s="33"/>
      <c r="BF319" s="33"/>
      <c r="BG319" s="33"/>
      <c r="BH319" s="33"/>
      <c r="BI319" s="33"/>
      <c r="BJ319" s="33"/>
      <c r="BK319" s="33"/>
      <c r="BL319" s="33"/>
      <c r="BM319" s="33"/>
      <c r="BN319" s="33"/>
      <c r="BO319" s="33"/>
      <c r="BP319" s="33"/>
      <c r="BQ319" s="33"/>
      <c r="BR319" s="33"/>
      <c r="BS319" s="33"/>
      <c r="BT319" s="33"/>
      <c r="BU319" s="33"/>
      <c r="BV319" s="33"/>
      <c r="BW319" s="33"/>
      <c r="BX319" s="33"/>
      <c r="BY319" s="33"/>
      <c r="BZ319" s="33"/>
      <c r="CA319" s="33"/>
      <c r="CB319" s="33"/>
      <c r="CC319" s="33"/>
      <c r="CD319" s="33"/>
      <c r="CE319" s="33"/>
      <c r="CF319" s="33"/>
      <c r="CG319" s="33"/>
      <c r="CH319" s="33"/>
      <c r="CI319" s="33"/>
      <c r="CJ319" s="33"/>
      <c r="CK319" s="33"/>
      <c r="CL319" s="33"/>
      <c r="CM319" s="33"/>
      <c r="CN319" s="33"/>
      <c r="CO319" s="33">
        <v>4.3487999999999998</v>
      </c>
      <c r="CP319" s="33">
        <v>222.87599999999998</v>
      </c>
      <c r="CQ319" s="33"/>
      <c r="CR319" s="33"/>
      <c r="CS319" s="33"/>
      <c r="CT319" s="33"/>
      <c r="CU319" s="33">
        <v>1700.5619999999999</v>
      </c>
      <c r="CV319" s="33">
        <v>196.60199999999998</v>
      </c>
      <c r="CW319" s="33"/>
      <c r="CX319" s="33">
        <v>0.30804000000000004</v>
      </c>
      <c r="CY319" s="33">
        <v>398.64</v>
      </c>
      <c r="CZ319" s="33"/>
      <c r="DA319" s="33"/>
      <c r="DB319" s="33"/>
      <c r="DC319" s="33"/>
      <c r="DD319" s="33"/>
      <c r="DE319" s="33"/>
      <c r="DF319" s="33"/>
      <c r="DG319" s="33"/>
      <c r="DH319" s="33"/>
      <c r="DI319" s="33"/>
      <c r="DJ319" s="33"/>
      <c r="DK319" s="33"/>
      <c r="DL319" s="33"/>
      <c r="DM319" s="33"/>
      <c r="DN319" s="33"/>
      <c r="DO319" s="33"/>
      <c r="DP319" s="33"/>
      <c r="DQ319" s="33"/>
      <c r="DR319" s="33"/>
      <c r="DS319" s="33"/>
      <c r="DT319" s="33"/>
      <c r="DU319" s="33"/>
      <c r="DV319" s="33"/>
      <c r="DW319" s="33"/>
      <c r="DX319" s="33"/>
      <c r="DY319" s="33"/>
      <c r="DZ319" s="33"/>
      <c r="EA319" s="33"/>
      <c r="EB319" s="33"/>
      <c r="EC319" s="33"/>
      <c r="ED319" s="33"/>
      <c r="EE319" s="33"/>
      <c r="EF319" s="33"/>
      <c r="EG319" s="33"/>
      <c r="EH319" s="33"/>
      <c r="EI319" s="33"/>
      <c r="EJ319" s="33"/>
      <c r="EK319" s="33"/>
      <c r="EL319" s="33"/>
      <c r="EM319" s="33"/>
      <c r="EN319" s="33"/>
      <c r="EO319" s="33"/>
      <c r="EP319" s="33"/>
      <c r="EQ319" s="33"/>
      <c r="ER319" s="33"/>
      <c r="ES319" s="33"/>
      <c r="ET319" s="33"/>
      <c r="EU319" s="33"/>
      <c r="EV319" s="33"/>
      <c r="EW319" s="33"/>
      <c r="EX319" s="33"/>
      <c r="EY319" s="33"/>
      <c r="EZ319" s="33"/>
      <c r="FA319" s="33"/>
      <c r="FB319" s="33"/>
      <c r="FC319" s="33"/>
      <c r="FD319" s="33"/>
      <c r="FE319" s="33"/>
      <c r="FF319" s="33"/>
      <c r="FG319" s="33"/>
      <c r="FH319" s="33"/>
      <c r="FI319" s="33"/>
      <c r="FJ319" s="33"/>
      <c r="FK319" s="33"/>
      <c r="FL319" s="33"/>
      <c r="FM319" s="33"/>
      <c r="FN319" s="33"/>
      <c r="FO319" s="33"/>
      <c r="FP319" s="33"/>
      <c r="FQ319" s="33"/>
      <c r="FR319" s="33"/>
      <c r="FS319" s="33"/>
      <c r="FT319" s="33"/>
      <c r="FU319" s="33"/>
      <c r="FV319" s="33"/>
      <c r="FW319" s="33"/>
      <c r="FX319" s="33"/>
      <c r="FY319" s="33"/>
      <c r="FZ319" s="33"/>
      <c r="GA319" s="33"/>
      <c r="GB319" s="33"/>
      <c r="GC319" s="33"/>
      <c r="GD319" s="33"/>
      <c r="GE319" s="33"/>
      <c r="GF319" s="33"/>
      <c r="GG319" s="33"/>
      <c r="GH319" s="33"/>
      <c r="GI319" s="33"/>
      <c r="GJ319" s="33"/>
      <c r="GK319" s="33"/>
      <c r="GL319" s="33"/>
      <c r="GM319" s="33"/>
      <c r="GN319" s="33"/>
      <c r="GO319" s="33"/>
      <c r="GP319" s="33"/>
      <c r="GQ319" s="33"/>
      <c r="GR319" s="33"/>
      <c r="GS319" s="33"/>
      <c r="GT319" s="33"/>
      <c r="GU319" s="33"/>
      <c r="GV319" s="33"/>
      <c r="GW319" s="33"/>
      <c r="GX319" s="33"/>
      <c r="GY319" s="33"/>
      <c r="GZ319" s="33"/>
      <c r="HA319" s="33"/>
      <c r="HB319" s="33"/>
      <c r="HC319" s="33"/>
      <c r="HD319" s="33"/>
      <c r="HE319" s="33"/>
      <c r="HF319" s="33"/>
      <c r="HG319" s="33"/>
      <c r="HH319" s="33"/>
      <c r="HI319" s="33"/>
      <c r="HJ319" s="33"/>
      <c r="HK319" s="33"/>
      <c r="HL319" s="33"/>
      <c r="HM319" s="33"/>
      <c r="HN319" s="33"/>
      <c r="HO319" s="33"/>
      <c r="HP319" s="33"/>
      <c r="HQ319" s="33"/>
      <c r="HR319" s="33"/>
      <c r="HS319" s="33"/>
      <c r="HT319" s="33"/>
      <c r="HU319" s="33"/>
      <c r="HV319" s="33"/>
      <c r="HW319" s="33"/>
      <c r="HX319" s="33"/>
      <c r="HY319" s="33"/>
      <c r="HZ319" s="33"/>
      <c r="IA319" s="33"/>
      <c r="IB319" s="33"/>
      <c r="IC319" s="33"/>
      <c r="ID319" s="33"/>
      <c r="IE319" s="33"/>
      <c r="IF319" s="33"/>
      <c r="IG319" s="33"/>
      <c r="IH319" s="33"/>
      <c r="II319" s="33"/>
      <c r="IJ319" s="33"/>
      <c r="IK319" s="33"/>
      <c r="IL319" s="33"/>
      <c r="IM319" s="33"/>
      <c r="IN319" s="33"/>
      <c r="IO319" s="33"/>
      <c r="IP319" s="33"/>
      <c r="IQ319" s="33"/>
      <c r="IR319" s="33"/>
      <c r="IS319" s="33"/>
      <c r="IT319" s="33"/>
      <c r="IU319" s="33"/>
      <c r="IV319" s="33"/>
      <c r="IW319" s="33"/>
      <c r="IX319" s="33"/>
      <c r="IY319" s="33"/>
      <c r="IZ319" s="33"/>
      <c r="JA319" s="33"/>
      <c r="JB319" s="33"/>
      <c r="JC319" s="33"/>
      <c r="JD319" s="33"/>
      <c r="JE319" s="33"/>
      <c r="JF319" s="33"/>
      <c r="JG319" s="33"/>
      <c r="JH319" s="33"/>
      <c r="JI319" s="33"/>
      <c r="JJ319" s="33"/>
      <c r="JK319" s="33"/>
      <c r="JL319" s="33"/>
      <c r="JM319" s="33"/>
      <c r="JN319" s="33"/>
      <c r="JO319" s="33"/>
      <c r="JP319" s="33"/>
      <c r="JQ319" s="33"/>
      <c r="JR319" s="33"/>
      <c r="KZ319" s="33"/>
      <c r="LA319" s="33"/>
      <c r="LB319" s="33"/>
      <c r="LC319" s="33"/>
      <c r="LD319" s="33"/>
      <c r="LE319" s="33"/>
      <c r="LF319" s="33"/>
      <c r="LG319" s="33"/>
      <c r="LH319" s="33"/>
      <c r="LI319" s="33"/>
      <c r="LJ319" s="33"/>
      <c r="LK319" s="33"/>
      <c r="LL319" s="33"/>
      <c r="LM319" s="33"/>
      <c r="LN319" s="33"/>
      <c r="LO319" s="33"/>
      <c r="LP319" s="44"/>
      <c r="LQ319" s="44"/>
      <c r="LR319" s="44"/>
      <c r="LS319" s="44"/>
      <c r="LT319" s="44"/>
      <c r="LU319" s="44"/>
      <c r="LV319" s="44"/>
    </row>
    <row r="320" spans="1:334" x14ac:dyDescent="0.2">
      <c r="A320" s="1" t="s">
        <v>8807</v>
      </c>
      <c r="B320" s="1" t="s">
        <v>8798</v>
      </c>
      <c r="D320" s="1" t="s">
        <v>8808</v>
      </c>
      <c r="E320" s="1" t="s">
        <v>7966</v>
      </c>
      <c r="F320" s="1" t="s">
        <v>8021</v>
      </c>
      <c r="I320" s="1">
        <v>2</v>
      </c>
      <c r="J320" s="1" t="s">
        <v>8801</v>
      </c>
      <c r="K320" s="1">
        <v>1995</v>
      </c>
      <c r="L320" s="1" t="s">
        <v>8802</v>
      </c>
      <c r="M320" s="1" t="s">
        <v>7657</v>
      </c>
      <c r="N320" s="17" t="s">
        <v>7945</v>
      </c>
      <c r="O320" s="33"/>
      <c r="P320" s="33">
        <v>370</v>
      </c>
      <c r="Q320" s="33"/>
      <c r="R320" s="33"/>
      <c r="S320" s="33">
        <v>7.5</v>
      </c>
      <c r="T320" s="33"/>
      <c r="U320" s="33"/>
      <c r="V320" s="33"/>
      <c r="W320" s="33"/>
      <c r="X320" s="33"/>
      <c r="Y320" s="33"/>
      <c r="Z320" s="33">
        <v>25.16</v>
      </c>
      <c r="AA320" s="33"/>
      <c r="AB320" s="33">
        <v>2.2200000000000002</v>
      </c>
      <c r="AC320" s="33"/>
      <c r="AD320" s="33"/>
      <c r="AE320" s="33"/>
      <c r="AF320" s="33">
        <v>62.067499999999988</v>
      </c>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33"/>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c r="CD320" s="33"/>
      <c r="CE320" s="33"/>
      <c r="CF320" s="33"/>
      <c r="CG320" s="33"/>
      <c r="CH320" s="33"/>
      <c r="CI320" s="33"/>
      <c r="CJ320" s="33"/>
      <c r="CK320" s="33"/>
      <c r="CL320" s="33"/>
      <c r="CM320" s="33"/>
      <c r="CN320" s="33"/>
      <c r="CO320" s="33">
        <v>2.8675000000000002</v>
      </c>
      <c r="CP320" s="33">
        <v>113.77500000000001</v>
      </c>
      <c r="CQ320" s="33"/>
      <c r="CR320" s="33"/>
      <c r="CS320" s="33"/>
      <c r="CT320" s="33"/>
      <c r="CU320" s="33">
        <v>1200.6500000000001</v>
      </c>
      <c r="CV320" s="33">
        <v>135.05000000000001</v>
      </c>
      <c r="CW320" s="33"/>
      <c r="CX320" s="33">
        <v>26.085000000000001</v>
      </c>
      <c r="CY320" s="33">
        <v>302.47500000000002</v>
      </c>
      <c r="CZ320" s="33"/>
      <c r="DA320" s="33"/>
      <c r="DB320" s="33"/>
      <c r="DC320" s="33"/>
      <c r="DD320" s="33"/>
      <c r="DE320" s="33"/>
      <c r="DF320" s="33"/>
      <c r="DG320" s="33"/>
      <c r="DH320" s="33"/>
      <c r="DI320" s="33"/>
      <c r="DJ320" s="33"/>
      <c r="DK320" s="33"/>
      <c r="DL320" s="33"/>
      <c r="DM320" s="33"/>
      <c r="DN320" s="33"/>
      <c r="DO320" s="33"/>
      <c r="DP320" s="33"/>
      <c r="DQ320" s="33"/>
      <c r="DR320" s="33"/>
      <c r="DS320" s="33"/>
      <c r="DT320" s="33"/>
      <c r="DU320" s="33"/>
      <c r="DV320" s="33"/>
      <c r="DW320" s="33"/>
      <c r="DX320" s="33"/>
      <c r="DY320" s="33"/>
      <c r="DZ320" s="33"/>
      <c r="EA320" s="33"/>
      <c r="EB320" s="33"/>
      <c r="EC320" s="33"/>
      <c r="ED320" s="33"/>
      <c r="EE320" s="33"/>
      <c r="EF320" s="33"/>
      <c r="EG320" s="33"/>
      <c r="EH320" s="33"/>
      <c r="EI320" s="33"/>
      <c r="EJ320" s="33"/>
      <c r="EK320" s="33"/>
      <c r="EL320" s="33"/>
      <c r="EM320" s="33"/>
      <c r="EN320" s="33"/>
      <c r="EO320" s="33"/>
      <c r="EP320" s="33"/>
      <c r="EQ320" s="33"/>
      <c r="ER320" s="33"/>
      <c r="ES320" s="33"/>
      <c r="ET320" s="33"/>
      <c r="EU320" s="33"/>
      <c r="EV320" s="33"/>
      <c r="EW320" s="33"/>
      <c r="EX320" s="33"/>
      <c r="EY320" s="33"/>
      <c r="EZ320" s="33"/>
      <c r="FA320" s="33"/>
      <c r="FB320" s="33"/>
      <c r="FC320" s="33"/>
      <c r="FD320" s="33"/>
      <c r="FE320" s="33"/>
      <c r="FF320" s="33"/>
      <c r="FG320" s="33"/>
      <c r="FH320" s="33"/>
      <c r="FI320" s="33"/>
      <c r="FJ320" s="33"/>
      <c r="FK320" s="33"/>
      <c r="FL320" s="33"/>
      <c r="FM320" s="33"/>
      <c r="FN320" s="33"/>
      <c r="FO320" s="33"/>
      <c r="FP320" s="33"/>
      <c r="FQ320" s="33"/>
      <c r="FR320" s="33"/>
      <c r="FS320" s="33"/>
      <c r="FT320" s="33"/>
      <c r="FU320" s="33"/>
      <c r="FV320" s="33"/>
      <c r="FW320" s="33"/>
      <c r="FX320" s="33"/>
      <c r="FY320" s="33"/>
      <c r="FZ320" s="33"/>
      <c r="GA320" s="33"/>
      <c r="GB320" s="33"/>
      <c r="GC320" s="33"/>
      <c r="GD320" s="33"/>
      <c r="GE320" s="33"/>
      <c r="GF320" s="33"/>
      <c r="GG320" s="33"/>
      <c r="GH320" s="33"/>
      <c r="GI320" s="33"/>
      <c r="GJ320" s="33"/>
      <c r="GK320" s="33"/>
      <c r="GL320" s="33"/>
      <c r="GM320" s="33"/>
      <c r="GN320" s="33"/>
      <c r="GO320" s="33"/>
      <c r="GP320" s="33"/>
      <c r="GQ320" s="33"/>
      <c r="GR320" s="33"/>
      <c r="GS320" s="33"/>
      <c r="GT320" s="33"/>
      <c r="GU320" s="33"/>
      <c r="GV320" s="33"/>
      <c r="GW320" s="33"/>
      <c r="GX320" s="33"/>
      <c r="GY320" s="33"/>
      <c r="GZ320" s="33"/>
      <c r="HA320" s="33"/>
      <c r="HB320" s="33"/>
      <c r="HC320" s="33"/>
      <c r="HD320" s="33"/>
      <c r="HE320" s="33"/>
      <c r="HF320" s="33"/>
      <c r="HG320" s="33"/>
      <c r="HH320" s="33"/>
      <c r="HI320" s="33"/>
      <c r="HJ320" s="33"/>
      <c r="HK320" s="33"/>
      <c r="HL320" s="33"/>
      <c r="HM320" s="33"/>
      <c r="HN320" s="33"/>
      <c r="HO320" s="33"/>
      <c r="HP320" s="33"/>
      <c r="HQ320" s="33"/>
      <c r="HR320" s="33"/>
      <c r="HS320" s="33"/>
      <c r="HT320" s="33"/>
      <c r="HU320" s="33"/>
      <c r="HV320" s="33"/>
      <c r="HW320" s="33"/>
      <c r="HX320" s="33"/>
      <c r="HY320" s="33"/>
      <c r="HZ320" s="33"/>
      <c r="IA320" s="33"/>
      <c r="IB320" s="33"/>
      <c r="IC320" s="33"/>
      <c r="ID320" s="33"/>
      <c r="IE320" s="33"/>
      <c r="IF320" s="33"/>
      <c r="IG320" s="33"/>
      <c r="IH320" s="33"/>
      <c r="II320" s="33"/>
      <c r="IJ320" s="33"/>
      <c r="IK320" s="33"/>
      <c r="IL320" s="33"/>
      <c r="IM320" s="33"/>
      <c r="IN320" s="33"/>
      <c r="IO320" s="33"/>
      <c r="IP320" s="33"/>
      <c r="IQ320" s="33"/>
      <c r="IR320" s="33"/>
      <c r="IS320" s="33"/>
      <c r="IT320" s="33"/>
      <c r="IU320" s="33"/>
      <c r="IV320" s="33"/>
      <c r="IW320" s="33"/>
      <c r="IX320" s="33"/>
      <c r="IY320" s="33"/>
      <c r="IZ320" s="33"/>
      <c r="JA320" s="33"/>
      <c r="JB320" s="33"/>
      <c r="JC320" s="33"/>
      <c r="JD320" s="33"/>
      <c r="JE320" s="33"/>
      <c r="JF320" s="33"/>
      <c r="JG320" s="33"/>
      <c r="JH320" s="33"/>
      <c r="JI320" s="33"/>
      <c r="JJ320" s="33"/>
      <c r="JK320" s="33"/>
      <c r="JL320" s="33"/>
      <c r="JM320" s="33"/>
      <c r="JN320" s="33"/>
      <c r="JO320" s="33"/>
      <c r="JP320" s="33"/>
      <c r="JQ320" s="33"/>
      <c r="JR320" s="33"/>
      <c r="KZ320" s="33"/>
      <c r="LA320" s="33"/>
      <c r="LB320" s="33"/>
      <c r="LC320" s="33"/>
      <c r="LD320" s="33"/>
      <c r="LE320" s="33"/>
      <c r="LF320" s="33"/>
      <c r="LG320" s="33"/>
      <c r="LH320" s="33"/>
      <c r="LI320" s="33"/>
      <c r="LJ320" s="33"/>
      <c r="LK320" s="33"/>
      <c r="LL320" s="33"/>
      <c r="LM320" s="33"/>
      <c r="LN320" s="33"/>
      <c r="LO320" s="33"/>
      <c r="LP320" s="44"/>
      <c r="LQ320" s="44"/>
      <c r="LR320" s="44"/>
      <c r="LS320" s="44"/>
      <c r="LT320" s="44"/>
      <c r="LU320" s="44"/>
      <c r="LV320" s="44"/>
    </row>
    <row r="321" spans="1:334" x14ac:dyDescent="0.2">
      <c r="A321" s="1" t="s">
        <v>8809</v>
      </c>
      <c r="B321" s="1" t="s">
        <v>8810</v>
      </c>
      <c r="C321" s="1" t="s">
        <v>8811</v>
      </c>
      <c r="D321" s="1" t="s">
        <v>8638</v>
      </c>
      <c r="E321" s="1" t="s">
        <v>7966</v>
      </c>
      <c r="F321" s="1" t="s">
        <v>688</v>
      </c>
      <c r="I321" s="1">
        <v>3</v>
      </c>
      <c r="J321" s="1" t="s">
        <v>8812</v>
      </c>
      <c r="K321" s="1">
        <v>2015</v>
      </c>
      <c r="L321" s="1" t="s">
        <v>8813</v>
      </c>
      <c r="M321" s="1" t="s">
        <v>7657</v>
      </c>
      <c r="N321" s="17" t="s">
        <v>7945</v>
      </c>
      <c r="O321" s="33"/>
      <c r="P321" s="33"/>
      <c r="Q321" s="33"/>
      <c r="R321" s="33"/>
      <c r="S321" s="33">
        <v>8.6999999999999993</v>
      </c>
      <c r="T321" s="33"/>
      <c r="U321" s="33">
        <v>5.7</v>
      </c>
      <c r="V321" s="33"/>
      <c r="W321" s="33"/>
      <c r="X321" s="33"/>
      <c r="Y321" s="33"/>
      <c r="Z321" s="33">
        <v>15.4</v>
      </c>
      <c r="AA321" s="33"/>
      <c r="AB321" s="33"/>
      <c r="AC321" s="33">
        <v>6.3</v>
      </c>
      <c r="AD321" s="33"/>
      <c r="AE321" s="33"/>
      <c r="AF321" s="33">
        <v>66.3</v>
      </c>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v>27.2</v>
      </c>
      <c r="BC321" s="33"/>
      <c r="BD321" s="33"/>
      <c r="BE321" s="33"/>
      <c r="BF321" s="33"/>
      <c r="BG321" s="33"/>
      <c r="BH321" s="33"/>
      <c r="BI321" s="33"/>
      <c r="BJ321" s="33"/>
      <c r="BK321" s="33"/>
      <c r="BL321" s="33"/>
      <c r="BM321" s="33"/>
      <c r="BN321" s="33"/>
      <c r="BO321" s="33"/>
      <c r="BP321" s="33"/>
      <c r="BQ321" s="33"/>
      <c r="BR321" s="33"/>
      <c r="BS321" s="33"/>
      <c r="BT321" s="33"/>
      <c r="BU321" s="33"/>
      <c r="BV321" s="33"/>
      <c r="BW321" s="33"/>
      <c r="BX321" s="33"/>
      <c r="BY321" s="33"/>
      <c r="BZ321" s="33"/>
      <c r="CA321" s="33"/>
      <c r="CB321" s="33"/>
      <c r="CC321" s="33"/>
      <c r="CD321" s="33"/>
      <c r="CE321" s="33"/>
      <c r="CF321" s="33"/>
      <c r="CG321" s="33"/>
      <c r="CH321" s="33"/>
      <c r="CI321" s="33"/>
      <c r="CJ321" s="33"/>
      <c r="CK321" s="33"/>
      <c r="CL321" s="33"/>
      <c r="CM321" s="33"/>
      <c r="CN321" s="33"/>
      <c r="CO321" s="33">
        <v>3.4</v>
      </c>
      <c r="CP321" s="33"/>
      <c r="CQ321" s="33"/>
      <c r="CR321" s="33"/>
      <c r="CS321" s="33"/>
      <c r="CT321" s="33"/>
      <c r="CU321" s="33"/>
      <c r="CV321" s="33"/>
      <c r="CW321" s="33"/>
      <c r="CX321" s="33"/>
      <c r="CY321" s="33"/>
      <c r="CZ321" s="33"/>
      <c r="DA321" s="33"/>
      <c r="DB321" s="33"/>
      <c r="DC321" s="33"/>
      <c r="DD321" s="33"/>
      <c r="DE321" s="33"/>
      <c r="DF321" s="33"/>
      <c r="DG321" s="33"/>
      <c r="DH321" s="33"/>
      <c r="DI321" s="33"/>
      <c r="DJ321" s="33"/>
      <c r="DK321" s="33"/>
      <c r="DL321" s="33"/>
      <c r="DM321" s="33"/>
      <c r="DN321" s="33"/>
      <c r="DO321" s="33"/>
      <c r="DP321" s="33"/>
      <c r="DQ321" s="33"/>
      <c r="DR321" s="33"/>
      <c r="DS321" s="33"/>
      <c r="DT321" s="33"/>
      <c r="DU321" s="33"/>
      <c r="DV321" s="33"/>
      <c r="DW321" s="33"/>
      <c r="DX321" s="33"/>
      <c r="DY321" s="33"/>
      <c r="DZ321" s="33"/>
      <c r="EA321" s="33"/>
      <c r="EB321" s="33"/>
      <c r="EC321" s="33"/>
      <c r="ED321" s="33"/>
      <c r="EE321" s="33"/>
      <c r="EF321" s="33"/>
      <c r="EG321" s="33"/>
      <c r="EH321" s="33"/>
      <c r="EI321" s="33"/>
      <c r="EJ321" s="33"/>
      <c r="EK321" s="33"/>
      <c r="EL321" s="33"/>
      <c r="EM321" s="33"/>
      <c r="EN321" s="33"/>
      <c r="EO321" s="33"/>
      <c r="EP321" s="33"/>
      <c r="EQ321" s="33"/>
      <c r="ER321" s="33"/>
      <c r="ES321" s="33"/>
      <c r="ET321" s="33"/>
      <c r="EU321" s="33"/>
      <c r="EV321" s="33"/>
      <c r="EW321" s="33"/>
      <c r="EX321" s="33"/>
      <c r="EY321" s="33"/>
      <c r="EZ321" s="33"/>
      <c r="FA321" s="33"/>
      <c r="FB321" s="33"/>
      <c r="FC321" s="33"/>
      <c r="FD321" s="33"/>
      <c r="FE321" s="33"/>
      <c r="FF321" s="33"/>
      <c r="FG321" s="33"/>
      <c r="FH321" s="33"/>
      <c r="FI321" s="33"/>
      <c r="FJ321" s="33"/>
      <c r="FK321" s="33"/>
      <c r="FL321" s="33"/>
      <c r="FM321" s="33"/>
      <c r="FN321" s="33"/>
      <c r="FO321" s="33"/>
      <c r="FP321" s="33"/>
      <c r="FQ321" s="33"/>
      <c r="FR321" s="33"/>
      <c r="FS321" s="33"/>
      <c r="FT321" s="33"/>
      <c r="FU321" s="33"/>
      <c r="FV321" s="33"/>
      <c r="FW321" s="33"/>
      <c r="FX321" s="33"/>
      <c r="FY321" s="33"/>
      <c r="FZ321" s="33"/>
      <c r="GA321" s="33"/>
      <c r="GB321" s="33"/>
      <c r="GC321" s="33"/>
      <c r="GD321" s="33"/>
      <c r="GE321" s="33"/>
      <c r="GF321" s="33"/>
      <c r="GG321" s="33"/>
      <c r="GH321" s="33"/>
      <c r="GI321" s="33"/>
      <c r="GJ321" s="33"/>
      <c r="GK321" s="33"/>
      <c r="GL321" s="33"/>
      <c r="GM321" s="33"/>
      <c r="GN321" s="33"/>
      <c r="GO321" s="33"/>
      <c r="GP321" s="33"/>
      <c r="GQ321" s="33"/>
      <c r="GR321" s="33"/>
      <c r="GS321" s="33"/>
      <c r="GT321" s="33"/>
      <c r="GU321" s="33"/>
      <c r="GV321" s="33"/>
      <c r="GW321" s="33"/>
      <c r="GX321" s="33"/>
      <c r="GY321" s="33"/>
      <c r="GZ321" s="33"/>
      <c r="HA321" s="33"/>
      <c r="HB321" s="33"/>
      <c r="HC321" s="33"/>
      <c r="HD321" s="33"/>
      <c r="HE321" s="33"/>
      <c r="HF321" s="33"/>
      <c r="HG321" s="33"/>
      <c r="HH321" s="33"/>
      <c r="HI321" s="33"/>
      <c r="HJ321" s="33"/>
      <c r="HK321" s="33"/>
      <c r="HL321" s="33"/>
      <c r="HM321" s="33"/>
      <c r="HN321" s="33"/>
      <c r="HO321" s="33"/>
      <c r="HP321" s="33"/>
      <c r="HQ321" s="33"/>
      <c r="HR321" s="33"/>
      <c r="HS321" s="33"/>
      <c r="HT321" s="33"/>
      <c r="HU321" s="33"/>
      <c r="HV321" s="33"/>
      <c r="HW321" s="33"/>
      <c r="HX321" s="33"/>
      <c r="HY321" s="33"/>
      <c r="HZ321" s="33"/>
      <c r="IA321" s="33"/>
      <c r="IB321" s="33"/>
      <c r="IC321" s="33"/>
      <c r="ID321" s="33"/>
      <c r="IE321" s="33"/>
      <c r="IF321" s="33"/>
      <c r="IG321" s="33"/>
      <c r="IH321" s="33"/>
      <c r="II321" s="33"/>
      <c r="IJ321" s="33"/>
      <c r="IK321" s="33"/>
      <c r="IL321" s="33"/>
      <c r="IM321" s="33"/>
      <c r="IN321" s="33"/>
      <c r="IO321" s="33"/>
      <c r="IP321" s="33"/>
      <c r="IQ321" s="33"/>
      <c r="IR321" s="33"/>
      <c r="IS321" s="33"/>
      <c r="IT321" s="33"/>
      <c r="IU321" s="33"/>
      <c r="IV321" s="33"/>
      <c r="IW321" s="33"/>
      <c r="IX321" s="33"/>
      <c r="IY321" s="33"/>
      <c r="IZ321" s="33"/>
      <c r="JA321" s="33"/>
      <c r="JB321" s="33"/>
      <c r="JC321" s="33"/>
      <c r="JD321" s="33"/>
      <c r="JE321" s="33"/>
      <c r="JF321" s="33"/>
      <c r="JG321" s="33"/>
      <c r="JH321" s="33"/>
      <c r="JI321" s="33"/>
      <c r="JJ321" s="33"/>
      <c r="JK321" s="33"/>
      <c r="JL321" s="33"/>
      <c r="JM321" s="33"/>
      <c r="JN321" s="33"/>
      <c r="JO321" s="33"/>
      <c r="JP321" s="33"/>
      <c r="JQ321" s="33"/>
      <c r="JR321" s="33"/>
      <c r="KZ321" s="33"/>
      <c r="LA321" s="33"/>
      <c r="LB321" s="33"/>
      <c r="LC321" s="33"/>
      <c r="LD321" s="33"/>
      <c r="LE321" s="33"/>
      <c r="LF321" s="33"/>
      <c r="LG321" s="33"/>
      <c r="LH321" s="33"/>
      <c r="LI321" s="33"/>
      <c r="LJ321" s="33"/>
      <c r="LK321" s="33"/>
      <c r="LL321" s="33"/>
      <c r="LM321" s="33"/>
      <c r="LN321" s="33"/>
      <c r="LO321" s="33"/>
      <c r="LP321" s="44"/>
      <c r="LQ321" s="44"/>
      <c r="LR321" s="44"/>
      <c r="LS321" s="44"/>
      <c r="LT321" s="44"/>
      <c r="LU321" s="44"/>
      <c r="LV321" s="44"/>
    </row>
    <row r="322" spans="1:334" x14ac:dyDescent="0.2">
      <c r="A322" s="1" t="s">
        <v>8814</v>
      </c>
      <c r="B322" s="1" t="s">
        <v>8815</v>
      </c>
      <c r="C322" s="1" t="s">
        <v>8816</v>
      </c>
      <c r="D322" s="1" t="s">
        <v>8638</v>
      </c>
      <c r="E322" s="1" t="s">
        <v>7966</v>
      </c>
      <c r="F322" s="1" t="s">
        <v>688</v>
      </c>
      <c r="I322" s="1">
        <v>3</v>
      </c>
      <c r="J322" s="1" t="s">
        <v>8812</v>
      </c>
      <c r="K322" s="1">
        <v>2015</v>
      </c>
      <c r="L322" s="1" t="s">
        <v>8813</v>
      </c>
      <c r="M322" s="1" t="s">
        <v>7657</v>
      </c>
      <c r="N322" s="17" t="s">
        <v>7945</v>
      </c>
      <c r="O322" s="33"/>
      <c r="P322" s="33"/>
      <c r="Q322" s="33"/>
      <c r="R322" s="33"/>
      <c r="S322" s="33">
        <v>8.6</v>
      </c>
      <c r="T322" s="33"/>
      <c r="U322" s="33">
        <v>5.7</v>
      </c>
      <c r="V322" s="33"/>
      <c r="W322" s="33"/>
      <c r="X322" s="33"/>
      <c r="Y322" s="33"/>
      <c r="Z322" s="33">
        <v>19.8</v>
      </c>
      <c r="AA322" s="33"/>
      <c r="AB322" s="33"/>
      <c r="AC322" s="33">
        <v>6.3</v>
      </c>
      <c r="AD322" s="33"/>
      <c r="AE322" s="33"/>
      <c r="AF322" s="33">
        <v>61.4</v>
      </c>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v>26.6</v>
      </c>
      <c r="BC322" s="33"/>
      <c r="BD322" s="33"/>
      <c r="BE322" s="33"/>
      <c r="BF322" s="33"/>
      <c r="BG322" s="33"/>
      <c r="BH322" s="33"/>
      <c r="BI322" s="33"/>
      <c r="BJ322" s="33"/>
      <c r="BK322" s="33"/>
      <c r="BL322" s="33"/>
      <c r="BM322" s="33"/>
      <c r="BN322" s="33"/>
      <c r="BO322" s="33"/>
      <c r="BP322" s="33"/>
      <c r="BQ322" s="33"/>
      <c r="BR322" s="33"/>
      <c r="BS322" s="33"/>
      <c r="BT322" s="33"/>
      <c r="BU322" s="33"/>
      <c r="BV322" s="33"/>
      <c r="BW322" s="33"/>
      <c r="BX322" s="33"/>
      <c r="BY322" s="33"/>
      <c r="BZ322" s="33"/>
      <c r="CA322" s="33"/>
      <c r="CB322" s="33"/>
      <c r="CC322" s="33"/>
      <c r="CD322" s="33"/>
      <c r="CE322" s="33"/>
      <c r="CF322" s="33"/>
      <c r="CG322" s="33"/>
      <c r="CH322" s="33"/>
      <c r="CI322" s="33"/>
      <c r="CJ322" s="33"/>
      <c r="CK322" s="33"/>
      <c r="CL322" s="33"/>
      <c r="CM322" s="33"/>
      <c r="CN322" s="33"/>
      <c r="CO322" s="33">
        <v>3.9</v>
      </c>
      <c r="CP322" s="33"/>
      <c r="CQ322" s="33"/>
      <c r="CR322" s="33"/>
      <c r="CS322" s="33"/>
      <c r="CT322" s="33"/>
      <c r="CU322" s="33"/>
      <c r="CV322" s="33"/>
      <c r="CW322" s="33"/>
      <c r="CX322" s="33"/>
      <c r="CY322" s="33"/>
      <c r="CZ322" s="33"/>
      <c r="DA322" s="33"/>
      <c r="DB322" s="33"/>
      <c r="DC322" s="33"/>
      <c r="DD322" s="33"/>
      <c r="DE322" s="33"/>
      <c r="DF322" s="33"/>
      <c r="DG322" s="33"/>
      <c r="DH322" s="33"/>
      <c r="DI322" s="33"/>
      <c r="DJ322" s="33"/>
      <c r="DK322" s="33"/>
      <c r="DL322" s="33"/>
      <c r="DM322" s="33"/>
      <c r="DN322" s="33"/>
      <c r="DO322" s="33"/>
      <c r="DP322" s="33"/>
      <c r="DQ322" s="33"/>
      <c r="DR322" s="33"/>
      <c r="DS322" s="33"/>
      <c r="DT322" s="33"/>
      <c r="DU322" s="33"/>
      <c r="DV322" s="33"/>
      <c r="DW322" s="33"/>
      <c r="DX322" s="33"/>
      <c r="DY322" s="33"/>
      <c r="DZ322" s="33"/>
      <c r="EA322" s="33"/>
      <c r="EB322" s="33"/>
      <c r="EC322" s="33"/>
      <c r="ED322" s="33"/>
      <c r="EE322" s="33"/>
      <c r="EF322" s="33"/>
      <c r="EG322" s="33"/>
      <c r="EH322" s="33"/>
      <c r="EI322" s="33"/>
      <c r="EJ322" s="33"/>
      <c r="EK322" s="33"/>
      <c r="EL322" s="33"/>
      <c r="EM322" s="33"/>
      <c r="EN322" s="33"/>
      <c r="EO322" s="33"/>
      <c r="EP322" s="33"/>
      <c r="EQ322" s="33"/>
      <c r="ER322" s="33"/>
      <c r="ES322" s="33"/>
      <c r="ET322" s="33"/>
      <c r="EU322" s="33"/>
      <c r="EV322" s="33"/>
      <c r="EW322" s="33"/>
      <c r="EX322" s="33"/>
      <c r="EY322" s="33"/>
      <c r="EZ322" s="33"/>
      <c r="FA322" s="33"/>
      <c r="FB322" s="33"/>
      <c r="FC322" s="33"/>
      <c r="FD322" s="33"/>
      <c r="FE322" s="33"/>
      <c r="FF322" s="33"/>
      <c r="FG322" s="33"/>
      <c r="FH322" s="33"/>
      <c r="FI322" s="33"/>
      <c r="FJ322" s="33"/>
      <c r="FK322" s="33"/>
      <c r="FL322" s="33"/>
      <c r="FM322" s="33"/>
      <c r="FN322" s="33"/>
      <c r="FO322" s="33"/>
      <c r="FP322" s="33"/>
      <c r="FQ322" s="33"/>
      <c r="FR322" s="33"/>
      <c r="FS322" s="33"/>
      <c r="FT322" s="33"/>
      <c r="FU322" s="33"/>
      <c r="FV322" s="33"/>
      <c r="FW322" s="33"/>
      <c r="FX322" s="33"/>
      <c r="FY322" s="33"/>
      <c r="FZ322" s="33"/>
      <c r="GA322" s="33"/>
      <c r="GB322" s="33"/>
      <c r="GC322" s="33"/>
      <c r="GD322" s="33"/>
      <c r="GE322" s="33"/>
      <c r="GF322" s="33"/>
      <c r="GG322" s="33"/>
      <c r="GH322" s="33"/>
      <c r="GI322" s="33"/>
      <c r="GJ322" s="33"/>
      <c r="GK322" s="33"/>
      <c r="GL322" s="33"/>
      <c r="GM322" s="33"/>
      <c r="GN322" s="33"/>
      <c r="GO322" s="33"/>
      <c r="GP322" s="33"/>
      <c r="GQ322" s="33"/>
      <c r="GR322" s="33"/>
      <c r="GS322" s="33"/>
      <c r="GT322" s="33"/>
      <c r="GU322" s="33"/>
      <c r="GV322" s="33"/>
      <c r="GW322" s="33"/>
      <c r="GX322" s="33"/>
      <c r="GY322" s="33"/>
      <c r="GZ322" s="33"/>
      <c r="HA322" s="33"/>
      <c r="HB322" s="33"/>
      <c r="HC322" s="33"/>
      <c r="HD322" s="33"/>
      <c r="HE322" s="33"/>
      <c r="HF322" s="33"/>
      <c r="HG322" s="33"/>
      <c r="HH322" s="33"/>
      <c r="HI322" s="33"/>
      <c r="HJ322" s="33"/>
      <c r="HK322" s="33"/>
      <c r="HL322" s="33"/>
      <c r="HM322" s="33"/>
      <c r="HN322" s="33"/>
      <c r="HO322" s="33"/>
      <c r="HP322" s="33"/>
      <c r="HQ322" s="33"/>
      <c r="HR322" s="33"/>
      <c r="HS322" s="33"/>
      <c r="HT322" s="33"/>
      <c r="HU322" s="33"/>
      <c r="HV322" s="33"/>
      <c r="HW322" s="33"/>
      <c r="HX322" s="33"/>
      <c r="HY322" s="33"/>
      <c r="HZ322" s="33"/>
      <c r="IA322" s="33"/>
      <c r="IB322" s="33"/>
      <c r="IC322" s="33"/>
      <c r="ID322" s="33"/>
      <c r="IE322" s="33"/>
      <c r="IF322" s="33"/>
      <c r="IG322" s="33"/>
      <c r="IH322" s="33"/>
      <c r="II322" s="33"/>
      <c r="IJ322" s="33"/>
      <c r="IK322" s="33"/>
      <c r="IL322" s="33"/>
      <c r="IM322" s="33"/>
      <c r="IN322" s="33"/>
      <c r="IO322" s="33"/>
      <c r="IP322" s="33"/>
      <c r="IQ322" s="33"/>
      <c r="IR322" s="33"/>
      <c r="IS322" s="33"/>
      <c r="IT322" s="33"/>
      <c r="IU322" s="33"/>
      <c r="IV322" s="33"/>
      <c r="IW322" s="33"/>
      <c r="IX322" s="33"/>
      <c r="IY322" s="33"/>
      <c r="IZ322" s="33"/>
      <c r="JA322" s="33"/>
      <c r="JB322" s="33"/>
      <c r="JC322" s="33"/>
      <c r="JD322" s="33"/>
      <c r="JE322" s="33"/>
      <c r="JF322" s="33"/>
      <c r="JG322" s="33"/>
      <c r="JH322" s="33"/>
      <c r="JI322" s="33"/>
      <c r="JJ322" s="33"/>
      <c r="JK322" s="33"/>
      <c r="JL322" s="33"/>
      <c r="JM322" s="33"/>
      <c r="JN322" s="33"/>
      <c r="JO322" s="33"/>
      <c r="JP322" s="33"/>
      <c r="JQ322" s="33"/>
      <c r="JR322" s="33"/>
      <c r="KZ322" s="33"/>
      <c r="LA322" s="33"/>
      <c r="LB322" s="33"/>
      <c r="LC322" s="33"/>
      <c r="LD322" s="33"/>
      <c r="LE322" s="33"/>
      <c r="LF322" s="33"/>
      <c r="LG322" s="33"/>
      <c r="LH322" s="33"/>
      <c r="LI322" s="33"/>
      <c r="LJ322" s="33"/>
      <c r="LK322" s="33"/>
      <c r="LL322" s="33"/>
      <c r="LM322" s="33"/>
      <c r="LN322" s="33"/>
      <c r="LO322" s="33"/>
      <c r="LP322" s="44"/>
      <c r="LQ322" s="44"/>
      <c r="LR322" s="44"/>
      <c r="LS322" s="44"/>
      <c r="LT322" s="44"/>
      <c r="LU322" s="44"/>
      <c r="LV322" s="44"/>
    </row>
    <row r="323" spans="1:334" x14ac:dyDescent="0.2">
      <c r="A323" s="1" t="s">
        <v>8817</v>
      </c>
      <c r="B323" s="1" t="s">
        <v>8815</v>
      </c>
      <c r="C323" s="1" t="s">
        <v>8818</v>
      </c>
      <c r="D323" s="1" t="s">
        <v>8819</v>
      </c>
      <c r="E323" s="1" t="s">
        <v>7966</v>
      </c>
      <c r="F323" s="1" t="s">
        <v>8485</v>
      </c>
      <c r="I323" s="1">
        <v>3</v>
      </c>
      <c r="J323" s="1" t="s">
        <v>8812</v>
      </c>
      <c r="K323" s="1">
        <v>2015</v>
      </c>
      <c r="L323" s="1" t="s">
        <v>8813</v>
      </c>
      <c r="M323" s="1" t="s">
        <v>7657</v>
      </c>
      <c r="N323" s="17" t="s">
        <v>7945</v>
      </c>
      <c r="O323" s="33"/>
      <c r="P323" s="33"/>
      <c r="Q323" s="33"/>
      <c r="R323" s="33"/>
      <c r="S323" s="33">
        <v>9</v>
      </c>
      <c r="T323" s="33"/>
      <c r="U323" s="33">
        <v>5.7</v>
      </c>
      <c r="V323" s="33"/>
      <c r="W323" s="33"/>
      <c r="X323" s="33"/>
      <c r="Y323" s="33"/>
      <c r="Z323" s="33">
        <v>24.1</v>
      </c>
      <c r="AA323" s="33"/>
      <c r="AB323" s="33"/>
      <c r="AC323" s="33">
        <v>1.3</v>
      </c>
      <c r="AD323" s="33"/>
      <c r="AE323" s="33"/>
      <c r="AF323" s="33">
        <v>61.8</v>
      </c>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v>24.8</v>
      </c>
      <c r="BC323" s="33"/>
      <c r="BD323" s="33"/>
      <c r="BE323" s="33"/>
      <c r="BF323" s="33"/>
      <c r="BG323" s="33"/>
      <c r="BH323" s="33"/>
      <c r="BI323" s="33"/>
      <c r="BJ323" s="33"/>
      <c r="BK323" s="33"/>
      <c r="BL323" s="33"/>
      <c r="BM323" s="33"/>
      <c r="BN323" s="33"/>
      <c r="BO323" s="33"/>
      <c r="BP323" s="33"/>
      <c r="BQ323" s="33"/>
      <c r="BR323" s="33"/>
      <c r="BS323" s="33"/>
      <c r="BT323" s="33"/>
      <c r="BU323" s="33"/>
      <c r="BV323" s="33"/>
      <c r="BW323" s="33"/>
      <c r="BX323" s="33"/>
      <c r="BY323" s="33"/>
      <c r="BZ323" s="33"/>
      <c r="CA323" s="33"/>
      <c r="CB323" s="33"/>
      <c r="CC323" s="33"/>
      <c r="CD323" s="33"/>
      <c r="CE323" s="33"/>
      <c r="CF323" s="33"/>
      <c r="CG323" s="33"/>
      <c r="CH323" s="33"/>
      <c r="CI323" s="33"/>
      <c r="CJ323" s="33"/>
      <c r="CK323" s="33"/>
      <c r="CL323" s="33"/>
      <c r="CM323" s="33"/>
      <c r="CN323" s="33"/>
      <c r="CO323" s="33">
        <v>3.8</v>
      </c>
      <c r="CP323" s="33"/>
      <c r="CQ323" s="33"/>
      <c r="CR323" s="33"/>
      <c r="CS323" s="33"/>
      <c r="CT323" s="33"/>
      <c r="CU323" s="33"/>
      <c r="CV323" s="33"/>
      <c r="CW323" s="33"/>
      <c r="CX323" s="33"/>
      <c r="CY323" s="33"/>
      <c r="CZ323" s="33"/>
      <c r="DA323" s="33"/>
      <c r="DB323" s="33"/>
      <c r="DC323" s="33"/>
      <c r="DD323" s="33"/>
      <c r="DE323" s="33"/>
      <c r="DF323" s="33"/>
      <c r="DG323" s="33"/>
      <c r="DH323" s="33"/>
      <c r="DI323" s="33"/>
      <c r="DJ323" s="33"/>
      <c r="DK323" s="33"/>
      <c r="DL323" s="33"/>
      <c r="DM323" s="33"/>
      <c r="DN323" s="33"/>
      <c r="DO323" s="33"/>
      <c r="DP323" s="33"/>
      <c r="DQ323" s="33"/>
      <c r="DR323" s="33"/>
      <c r="DS323" s="33"/>
      <c r="DT323" s="33"/>
      <c r="DU323" s="33"/>
      <c r="DV323" s="33"/>
      <c r="DW323" s="33"/>
      <c r="DX323" s="33"/>
      <c r="DY323" s="33"/>
      <c r="DZ323" s="33"/>
      <c r="EA323" s="33"/>
      <c r="EB323" s="33"/>
      <c r="EC323" s="33"/>
      <c r="ED323" s="33"/>
      <c r="EE323" s="33"/>
      <c r="EF323" s="33"/>
      <c r="EG323" s="33"/>
      <c r="EH323" s="33"/>
      <c r="EI323" s="33"/>
      <c r="EJ323" s="33"/>
      <c r="EK323" s="33"/>
      <c r="EL323" s="33"/>
      <c r="EM323" s="33"/>
      <c r="EN323" s="33"/>
      <c r="EO323" s="33"/>
      <c r="EP323" s="33"/>
      <c r="EQ323" s="33"/>
      <c r="ER323" s="33"/>
      <c r="ES323" s="33"/>
      <c r="ET323" s="33"/>
      <c r="EU323" s="33"/>
      <c r="EV323" s="33"/>
      <c r="EW323" s="33"/>
      <c r="EX323" s="33"/>
      <c r="EY323" s="33"/>
      <c r="EZ323" s="33"/>
      <c r="FA323" s="33"/>
      <c r="FB323" s="33"/>
      <c r="FC323" s="33"/>
      <c r="FD323" s="33"/>
      <c r="FE323" s="33"/>
      <c r="FF323" s="33"/>
      <c r="FG323" s="33"/>
      <c r="FH323" s="33"/>
      <c r="FI323" s="33"/>
      <c r="FJ323" s="33"/>
      <c r="FK323" s="33"/>
      <c r="FL323" s="33"/>
      <c r="FM323" s="33"/>
      <c r="FN323" s="33"/>
      <c r="FO323" s="33"/>
      <c r="FP323" s="33"/>
      <c r="FQ323" s="33"/>
      <c r="FR323" s="33"/>
      <c r="FS323" s="33"/>
      <c r="FT323" s="33"/>
      <c r="FU323" s="33"/>
      <c r="FV323" s="33"/>
      <c r="FW323" s="33"/>
      <c r="FX323" s="33"/>
      <c r="FY323" s="33"/>
      <c r="FZ323" s="33"/>
      <c r="GA323" s="33"/>
      <c r="GB323" s="33"/>
      <c r="GC323" s="33"/>
      <c r="GD323" s="33"/>
      <c r="GE323" s="33"/>
      <c r="GF323" s="33"/>
      <c r="GG323" s="33"/>
      <c r="GH323" s="33"/>
      <c r="GI323" s="33"/>
      <c r="GJ323" s="33"/>
      <c r="GK323" s="33"/>
      <c r="GL323" s="33"/>
      <c r="GM323" s="33"/>
      <c r="GN323" s="33"/>
      <c r="GO323" s="33"/>
      <c r="GP323" s="33"/>
      <c r="GQ323" s="33"/>
      <c r="GR323" s="33"/>
      <c r="GS323" s="33"/>
      <c r="GT323" s="33"/>
      <c r="GU323" s="33"/>
      <c r="GV323" s="33"/>
      <c r="GW323" s="33"/>
      <c r="GX323" s="33"/>
      <c r="GY323" s="33"/>
      <c r="GZ323" s="33"/>
      <c r="HA323" s="33"/>
      <c r="HB323" s="33"/>
      <c r="HC323" s="33"/>
      <c r="HD323" s="33"/>
      <c r="HE323" s="33"/>
      <c r="HF323" s="33"/>
      <c r="HG323" s="33"/>
      <c r="HH323" s="33"/>
      <c r="HI323" s="33"/>
      <c r="HJ323" s="33"/>
      <c r="HK323" s="33"/>
      <c r="HL323" s="33"/>
      <c r="HM323" s="33"/>
      <c r="HN323" s="33"/>
      <c r="HO323" s="33"/>
      <c r="HP323" s="33"/>
      <c r="HQ323" s="33"/>
      <c r="HR323" s="33"/>
      <c r="HS323" s="33"/>
      <c r="HT323" s="33"/>
      <c r="HU323" s="33"/>
      <c r="HV323" s="33"/>
      <c r="HW323" s="33"/>
      <c r="HX323" s="33"/>
      <c r="HY323" s="33"/>
      <c r="HZ323" s="33"/>
      <c r="IA323" s="33"/>
      <c r="IB323" s="33"/>
      <c r="IC323" s="33"/>
      <c r="ID323" s="33"/>
      <c r="IE323" s="33"/>
      <c r="IF323" s="33"/>
      <c r="IG323" s="33"/>
      <c r="IH323" s="33"/>
      <c r="II323" s="33"/>
      <c r="IJ323" s="33"/>
      <c r="IK323" s="33"/>
      <c r="IL323" s="33"/>
      <c r="IM323" s="33"/>
      <c r="IN323" s="33"/>
      <c r="IO323" s="33"/>
      <c r="IP323" s="33"/>
      <c r="IQ323" s="33"/>
      <c r="IR323" s="33"/>
      <c r="IS323" s="33"/>
      <c r="IT323" s="33"/>
      <c r="IU323" s="33"/>
      <c r="IV323" s="33"/>
      <c r="IW323" s="33"/>
      <c r="IX323" s="33"/>
      <c r="IY323" s="33"/>
      <c r="IZ323" s="33"/>
      <c r="JA323" s="33"/>
      <c r="JB323" s="33"/>
      <c r="JC323" s="33"/>
      <c r="JD323" s="33"/>
      <c r="JE323" s="33"/>
      <c r="JF323" s="33"/>
      <c r="JG323" s="33"/>
      <c r="JH323" s="33"/>
      <c r="JI323" s="33"/>
      <c r="JJ323" s="33"/>
      <c r="JK323" s="33"/>
      <c r="JL323" s="33"/>
      <c r="JM323" s="33"/>
      <c r="JN323" s="33"/>
      <c r="JO323" s="33"/>
      <c r="JP323" s="33"/>
      <c r="JQ323" s="33"/>
      <c r="JR323" s="33"/>
      <c r="KZ323" s="33"/>
      <c r="LA323" s="33"/>
      <c r="LB323" s="33"/>
      <c r="LC323" s="33"/>
      <c r="LD323" s="33"/>
      <c r="LE323" s="33"/>
      <c r="LF323" s="33"/>
      <c r="LG323" s="33"/>
      <c r="LH323" s="33"/>
      <c r="LI323" s="33"/>
      <c r="LJ323" s="33"/>
      <c r="LK323" s="33"/>
      <c r="LL323" s="33"/>
      <c r="LM323" s="33"/>
      <c r="LN323" s="33"/>
      <c r="LO323" s="33"/>
      <c r="LP323" s="44"/>
      <c r="LQ323" s="44"/>
      <c r="LR323" s="44"/>
      <c r="LS323" s="44"/>
      <c r="LT323" s="44"/>
      <c r="LU323" s="44"/>
      <c r="LV323" s="44"/>
    </row>
    <row r="324" spans="1:334" x14ac:dyDescent="0.2">
      <c r="A324" s="1" t="s">
        <v>8820</v>
      </c>
      <c r="B324" s="1" t="s">
        <v>8821</v>
      </c>
      <c r="C324" s="1" t="s">
        <v>8822</v>
      </c>
      <c r="D324" s="1" t="s">
        <v>8819</v>
      </c>
      <c r="E324" s="1" t="s">
        <v>7966</v>
      </c>
      <c r="F324" s="1" t="s">
        <v>8485</v>
      </c>
      <c r="I324" s="1">
        <v>3</v>
      </c>
      <c r="J324" s="1" t="s">
        <v>8812</v>
      </c>
      <c r="K324" s="1">
        <v>2015</v>
      </c>
      <c r="L324" s="1" t="s">
        <v>8813</v>
      </c>
      <c r="M324" s="1" t="s">
        <v>7657</v>
      </c>
      <c r="N324" s="17" t="s">
        <v>7945</v>
      </c>
      <c r="O324" s="33"/>
      <c r="P324" s="33"/>
      <c r="Q324" s="33"/>
      <c r="R324" s="33"/>
      <c r="S324" s="33">
        <v>9.1</v>
      </c>
      <c r="T324" s="33"/>
      <c r="U324" s="33">
        <v>5.7</v>
      </c>
      <c r="V324" s="33"/>
      <c r="W324" s="33"/>
      <c r="X324" s="33"/>
      <c r="Y324" s="33"/>
      <c r="Z324" s="33">
        <v>24.3</v>
      </c>
      <c r="AA324" s="33"/>
      <c r="AB324" s="33"/>
      <c r="AC324" s="33">
        <v>2.2999999999999998</v>
      </c>
      <c r="AD324" s="33"/>
      <c r="AE324" s="33"/>
      <c r="AF324" s="33">
        <v>60.5</v>
      </c>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v>31.7</v>
      </c>
      <c r="BC324" s="33"/>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v>3.8</v>
      </c>
      <c r="CP324" s="33"/>
      <c r="CQ324" s="33"/>
      <c r="CR324" s="33"/>
      <c r="CS324" s="33"/>
      <c r="CT324" s="33"/>
      <c r="CU324" s="33"/>
      <c r="CV324" s="33"/>
      <c r="CW324" s="33"/>
      <c r="CX324" s="33"/>
      <c r="CY324" s="33"/>
      <c r="CZ324" s="33"/>
      <c r="DA324" s="33"/>
      <c r="DB324" s="33"/>
      <c r="DC324" s="33"/>
      <c r="DD324" s="33"/>
      <c r="DE324" s="33"/>
      <c r="DF324" s="33"/>
      <c r="DG324" s="33"/>
      <c r="DH324" s="33"/>
      <c r="DI324" s="33"/>
      <c r="DJ324" s="33"/>
      <c r="DK324" s="33"/>
      <c r="DL324" s="33"/>
      <c r="DM324" s="33"/>
      <c r="DN324" s="33"/>
      <c r="DO324" s="33"/>
      <c r="DP324" s="33"/>
      <c r="DQ324" s="33"/>
      <c r="DR324" s="33"/>
      <c r="DS324" s="33"/>
      <c r="DT324" s="33"/>
      <c r="DU324" s="33"/>
      <c r="DV324" s="33"/>
      <c r="DW324" s="33"/>
      <c r="DX324" s="33"/>
      <c r="DY324" s="33"/>
      <c r="DZ324" s="33"/>
      <c r="EA324" s="33"/>
      <c r="EB324" s="33"/>
      <c r="EC324" s="33"/>
      <c r="ED324" s="33"/>
      <c r="EE324" s="33"/>
      <c r="EF324" s="33"/>
      <c r="EG324" s="33"/>
      <c r="EH324" s="33"/>
      <c r="EI324" s="33"/>
      <c r="EJ324" s="33"/>
      <c r="EK324" s="33"/>
      <c r="EL324" s="33"/>
      <c r="EM324" s="33"/>
      <c r="EN324" s="33"/>
      <c r="EO324" s="33"/>
      <c r="EP324" s="33"/>
      <c r="EQ324" s="33"/>
      <c r="ER324" s="33"/>
      <c r="ES324" s="33"/>
      <c r="ET324" s="33"/>
      <c r="EU324" s="33"/>
      <c r="EV324" s="33"/>
      <c r="EW324" s="33"/>
      <c r="EX324" s="33"/>
      <c r="EY324" s="33"/>
      <c r="EZ324" s="33"/>
      <c r="FA324" s="33"/>
      <c r="FB324" s="33"/>
      <c r="FC324" s="33"/>
      <c r="FD324" s="33"/>
      <c r="FE324" s="33"/>
      <c r="FF324" s="33"/>
      <c r="FG324" s="33"/>
      <c r="FH324" s="33"/>
      <c r="FI324" s="33"/>
      <c r="FJ324" s="33"/>
      <c r="FK324" s="33"/>
      <c r="FL324" s="33"/>
      <c r="FM324" s="33"/>
      <c r="FN324" s="33"/>
      <c r="FO324" s="33"/>
      <c r="FP324" s="33"/>
      <c r="FQ324" s="33"/>
      <c r="FR324" s="33"/>
      <c r="FS324" s="33"/>
      <c r="FT324" s="33"/>
      <c r="FU324" s="33"/>
      <c r="FV324" s="33"/>
      <c r="FW324" s="33"/>
      <c r="FX324" s="33"/>
      <c r="FY324" s="33"/>
      <c r="FZ324" s="33"/>
      <c r="GA324" s="33"/>
      <c r="GB324" s="33"/>
      <c r="GC324" s="33"/>
      <c r="GD324" s="33"/>
      <c r="GE324" s="33"/>
      <c r="GF324" s="33"/>
      <c r="GG324" s="33"/>
      <c r="GH324" s="33"/>
      <c r="GI324" s="33"/>
      <c r="GJ324" s="33"/>
      <c r="GK324" s="33"/>
      <c r="GL324" s="33"/>
      <c r="GM324" s="33"/>
      <c r="GN324" s="33"/>
      <c r="GO324" s="33"/>
      <c r="GP324" s="33"/>
      <c r="GQ324" s="33"/>
      <c r="GR324" s="33"/>
      <c r="GS324" s="33"/>
      <c r="GT324" s="33"/>
      <c r="GU324" s="33"/>
      <c r="GV324" s="33"/>
      <c r="GW324" s="33"/>
      <c r="GX324" s="33"/>
      <c r="GY324" s="33"/>
      <c r="GZ324" s="33"/>
      <c r="HA324" s="33"/>
      <c r="HB324" s="33"/>
      <c r="HC324" s="33"/>
      <c r="HD324" s="33"/>
      <c r="HE324" s="33"/>
      <c r="HF324" s="33"/>
      <c r="HG324" s="33"/>
      <c r="HH324" s="33"/>
      <c r="HI324" s="33"/>
      <c r="HJ324" s="33"/>
      <c r="HK324" s="33"/>
      <c r="HL324" s="33"/>
      <c r="HM324" s="33"/>
      <c r="HN324" s="33"/>
      <c r="HO324" s="33"/>
      <c r="HP324" s="33"/>
      <c r="HQ324" s="33"/>
      <c r="HR324" s="33"/>
      <c r="HS324" s="33"/>
      <c r="HT324" s="33"/>
      <c r="HU324" s="33"/>
      <c r="HV324" s="33"/>
      <c r="HW324" s="33"/>
      <c r="HX324" s="33"/>
      <c r="HY324" s="33"/>
      <c r="HZ324" s="33"/>
      <c r="IA324" s="33"/>
      <c r="IB324" s="33"/>
      <c r="IC324" s="33"/>
      <c r="ID324" s="33"/>
      <c r="IE324" s="33"/>
      <c r="IF324" s="33"/>
      <c r="IG324" s="33"/>
      <c r="IH324" s="33"/>
      <c r="II324" s="33"/>
      <c r="IJ324" s="33"/>
      <c r="IK324" s="33"/>
      <c r="IL324" s="33"/>
      <c r="IM324" s="33"/>
      <c r="IN324" s="33"/>
      <c r="IO324" s="33"/>
      <c r="IP324" s="33"/>
      <c r="IQ324" s="33"/>
      <c r="IR324" s="33"/>
      <c r="IS324" s="33"/>
      <c r="IT324" s="33"/>
      <c r="IU324" s="33"/>
      <c r="IV324" s="33"/>
      <c r="IW324" s="33"/>
      <c r="IX324" s="33"/>
      <c r="IY324" s="33"/>
      <c r="IZ324" s="33"/>
      <c r="JA324" s="33"/>
      <c r="JB324" s="33"/>
      <c r="JC324" s="33"/>
      <c r="JD324" s="33"/>
      <c r="JE324" s="33"/>
      <c r="JF324" s="33"/>
      <c r="JG324" s="33"/>
      <c r="JH324" s="33"/>
      <c r="JI324" s="33"/>
      <c r="JJ324" s="33"/>
      <c r="JK324" s="33"/>
      <c r="JL324" s="33"/>
      <c r="JM324" s="33"/>
      <c r="JN324" s="33"/>
      <c r="JO324" s="33"/>
      <c r="JP324" s="33"/>
      <c r="JQ324" s="33"/>
      <c r="JR324" s="33"/>
      <c r="KZ324" s="33"/>
      <c r="LA324" s="33"/>
      <c r="LB324" s="33"/>
      <c r="LC324" s="33"/>
      <c r="LD324" s="33"/>
      <c r="LE324" s="33"/>
      <c r="LF324" s="33"/>
      <c r="LG324" s="33"/>
      <c r="LH324" s="33"/>
      <c r="LI324" s="33"/>
      <c r="LJ324" s="33"/>
      <c r="LK324" s="33"/>
      <c r="LL324" s="33"/>
      <c r="LM324" s="33"/>
      <c r="LN324" s="33"/>
      <c r="LO324" s="33"/>
      <c r="LP324" s="44"/>
      <c r="LQ324" s="44"/>
      <c r="LR324" s="44"/>
      <c r="LS324" s="44"/>
      <c r="LT324" s="44"/>
      <c r="LU324" s="44"/>
      <c r="LV324" s="44"/>
    </row>
    <row r="325" spans="1:334" x14ac:dyDescent="0.2">
      <c r="A325" s="1" t="s">
        <v>8823</v>
      </c>
      <c r="B325" s="1" t="s">
        <v>8824</v>
      </c>
      <c r="C325" s="1" t="s">
        <v>8825</v>
      </c>
      <c r="D325" s="1" t="s">
        <v>8640</v>
      </c>
      <c r="E325" s="1" t="s">
        <v>7966</v>
      </c>
      <c r="F325" s="1" t="s">
        <v>8024</v>
      </c>
      <c r="I325" s="1">
        <v>3</v>
      </c>
      <c r="J325" s="1" t="s">
        <v>8812</v>
      </c>
      <c r="K325" s="1">
        <v>2015</v>
      </c>
      <c r="L325" s="1" t="s">
        <v>8813</v>
      </c>
      <c r="M325" s="1" t="s">
        <v>7657</v>
      </c>
      <c r="N325" s="17" t="s">
        <v>7945</v>
      </c>
      <c r="O325" s="33"/>
      <c r="P325" s="33"/>
      <c r="Q325" s="33"/>
      <c r="R325" s="33"/>
      <c r="S325" s="33">
        <v>8.3000000000000007</v>
      </c>
      <c r="T325" s="33"/>
      <c r="U325" s="33">
        <v>5.7</v>
      </c>
      <c r="V325" s="33"/>
      <c r="W325" s="33"/>
      <c r="X325" s="33"/>
      <c r="Y325" s="33"/>
      <c r="Z325" s="33">
        <v>23.2</v>
      </c>
      <c r="AA325" s="33"/>
      <c r="AB325" s="33"/>
      <c r="AC325" s="33">
        <v>3.1</v>
      </c>
      <c r="AD325" s="33"/>
      <c r="AE325" s="33"/>
      <c r="AF325" s="33">
        <v>62.9</v>
      </c>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v>18</v>
      </c>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c r="CD325" s="33"/>
      <c r="CE325" s="33"/>
      <c r="CF325" s="33"/>
      <c r="CG325" s="33"/>
      <c r="CH325" s="33"/>
      <c r="CI325" s="33"/>
      <c r="CJ325" s="33"/>
      <c r="CK325" s="33"/>
      <c r="CL325" s="33"/>
      <c r="CM325" s="33"/>
      <c r="CN325" s="33"/>
      <c r="CO325" s="33">
        <v>2.5</v>
      </c>
      <c r="CP325" s="33"/>
      <c r="CQ325" s="33"/>
      <c r="CR325" s="33"/>
      <c r="CS325" s="33"/>
      <c r="CT325" s="33"/>
      <c r="CU325" s="33"/>
      <c r="CV325" s="33"/>
      <c r="CW325" s="33"/>
      <c r="CX325" s="33"/>
      <c r="CY325" s="33"/>
      <c r="CZ325" s="33"/>
      <c r="DA325" s="33"/>
      <c r="DB325" s="33"/>
      <c r="DC325" s="33"/>
      <c r="DD325" s="33"/>
      <c r="DE325" s="33"/>
      <c r="DF325" s="33"/>
      <c r="DG325" s="33"/>
      <c r="DH325" s="33"/>
      <c r="DI325" s="33"/>
      <c r="DJ325" s="33"/>
      <c r="DK325" s="33"/>
      <c r="DL325" s="33"/>
      <c r="DM325" s="33"/>
      <c r="DN325" s="33"/>
      <c r="DO325" s="33"/>
      <c r="DP325" s="33"/>
      <c r="DQ325" s="33"/>
      <c r="DR325" s="33"/>
      <c r="DS325" s="33"/>
      <c r="DT325" s="33"/>
      <c r="DU325" s="33"/>
      <c r="DV325" s="33"/>
      <c r="DW325" s="33"/>
      <c r="DX325" s="33"/>
      <c r="DY325" s="33"/>
      <c r="DZ325" s="33"/>
      <c r="EA325" s="33"/>
      <c r="EB325" s="33"/>
      <c r="EC325" s="33"/>
      <c r="ED325" s="33"/>
      <c r="EE325" s="33"/>
      <c r="EF325" s="33"/>
      <c r="EG325" s="33"/>
      <c r="EH325" s="33"/>
      <c r="EI325" s="33"/>
      <c r="EJ325" s="33"/>
      <c r="EK325" s="33"/>
      <c r="EL325" s="33"/>
      <c r="EM325" s="33"/>
      <c r="EN325" s="33"/>
      <c r="EO325" s="33"/>
      <c r="EP325" s="33"/>
      <c r="EQ325" s="33"/>
      <c r="ER325" s="33"/>
      <c r="ES325" s="33"/>
      <c r="ET325" s="33"/>
      <c r="EU325" s="33"/>
      <c r="EV325" s="33"/>
      <c r="EW325" s="33"/>
      <c r="EX325" s="33"/>
      <c r="EY325" s="33"/>
      <c r="EZ325" s="33"/>
      <c r="FA325" s="33"/>
      <c r="FB325" s="33"/>
      <c r="FC325" s="33"/>
      <c r="FD325" s="33"/>
      <c r="FE325" s="33"/>
      <c r="FF325" s="33"/>
      <c r="FG325" s="33"/>
      <c r="FH325" s="33"/>
      <c r="FI325" s="33"/>
      <c r="FJ325" s="33"/>
      <c r="FK325" s="33"/>
      <c r="FL325" s="33"/>
      <c r="FM325" s="33"/>
      <c r="FN325" s="33"/>
      <c r="FO325" s="33"/>
      <c r="FP325" s="33"/>
      <c r="FQ325" s="33"/>
      <c r="FR325" s="33"/>
      <c r="FS325" s="33"/>
      <c r="FT325" s="33"/>
      <c r="FU325" s="33"/>
      <c r="FV325" s="33"/>
      <c r="FW325" s="33"/>
      <c r="FX325" s="33"/>
      <c r="FY325" s="33"/>
      <c r="FZ325" s="33"/>
      <c r="GA325" s="33"/>
      <c r="GB325" s="33"/>
      <c r="GC325" s="33"/>
      <c r="GD325" s="33"/>
      <c r="GE325" s="33"/>
      <c r="GF325" s="33"/>
      <c r="GG325" s="33"/>
      <c r="GH325" s="33"/>
      <c r="GI325" s="33"/>
      <c r="GJ325" s="33"/>
      <c r="GK325" s="33"/>
      <c r="GL325" s="33"/>
      <c r="GM325" s="33"/>
      <c r="GN325" s="33"/>
      <c r="GO325" s="33"/>
      <c r="GP325" s="33"/>
      <c r="GQ325" s="33"/>
      <c r="GR325" s="33"/>
      <c r="GS325" s="33"/>
      <c r="GT325" s="33"/>
      <c r="GU325" s="33"/>
      <c r="GV325" s="33"/>
      <c r="GW325" s="33"/>
      <c r="GX325" s="33"/>
      <c r="GY325" s="33"/>
      <c r="GZ325" s="33"/>
      <c r="HA325" s="33"/>
      <c r="HB325" s="33"/>
      <c r="HC325" s="33"/>
      <c r="HD325" s="33"/>
      <c r="HE325" s="33"/>
      <c r="HF325" s="33"/>
      <c r="HG325" s="33"/>
      <c r="HH325" s="33"/>
      <c r="HI325" s="33"/>
      <c r="HJ325" s="33"/>
      <c r="HK325" s="33"/>
      <c r="HL325" s="33"/>
      <c r="HM325" s="33"/>
      <c r="HN325" s="33"/>
      <c r="HO325" s="33"/>
      <c r="HP325" s="33"/>
      <c r="HQ325" s="33"/>
      <c r="HR325" s="33"/>
      <c r="HS325" s="33"/>
      <c r="HT325" s="33"/>
      <c r="HU325" s="33"/>
      <c r="HV325" s="33"/>
      <c r="HW325" s="33"/>
      <c r="HX325" s="33"/>
      <c r="HY325" s="33"/>
      <c r="HZ325" s="33"/>
      <c r="IA325" s="33"/>
      <c r="IB325" s="33"/>
      <c r="IC325" s="33"/>
      <c r="ID325" s="33"/>
      <c r="IE325" s="33"/>
      <c r="IF325" s="33"/>
      <c r="IG325" s="33"/>
      <c r="IH325" s="33"/>
      <c r="II325" s="33"/>
      <c r="IJ325" s="33"/>
      <c r="IK325" s="33"/>
      <c r="IL325" s="33"/>
      <c r="IM325" s="33"/>
      <c r="IN325" s="33"/>
      <c r="IO325" s="33"/>
      <c r="IP325" s="33"/>
      <c r="IQ325" s="33"/>
      <c r="IR325" s="33"/>
      <c r="IS325" s="33"/>
      <c r="IT325" s="33"/>
      <c r="IU325" s="33"/>
      <c r="IV325" s="33"/>
      <c r="IW325" s="33"/>
      <c r="IX325" s="33"/>
      <c r="IY325" s="33"/>
      <c r="IZ325" s="33"/>
      <c r="JA325" s="33"/>
      <c r="JB325" s="33"/>
      <c r="JC325" s="33"/>
      <c r="JD325" s="33"/>
      <c r="JE325" s="33"/>
      <c r="JF325" s="33"/>
      <c r="JG325" s="33"/>
      <c r="JH325" s="33"/>
      <c r="JI325" s="33"/>
      <c r="JJ325" s="33"/>
      <c r="JK325" s="33"/>
      <c r="JL325" s="33"/>
      <c r="JM325" s="33"/>
      <c r="JN325" s="33"/>
      <c r="JO325" s="33"/>
      <c r="JP325" s="33"/>
      <c r="JQ325" s="33"/>
      <c r="JR325" s="33"/>
      <c r="KZ325" s="33"/>
      <c r="LA325" s="33"/>
      <c r="LB325" s="33"/>
      <c r="LC325" s="33"/>
      <c r="LD325" s="33"/>
      <c r="LE325" s="33"/>
      <c r="LF325" s="33"/>
      <c r="LG325" s="33"/>
      <c r="LH325" s="33"/>
      <c r="LI325" s="33"/>
      <c r="LJ325" s="33"/>
      <c r="LK325" s="33"/>
      <c r="LL325" s="33"/>
      <c r="LM325" s="33"/>
      <c r="LN325" s="33"/>
      <c r="LO325" s="33"/>
      <c r="LP325" s="44"/>
      <c r="LQ325" s="44"/>
      <c r="LR325" s="44"/>
      <c r="LS325" s="44"/>
      <c r="LT325" s="44"/>
      <c r="LU325" s="44"/>
      <c r="LV325" s="44"/>
    </row>
    <row r="326" spans="1:334" x14ac:dyDescent="0.2">
      <c r="A326" s="1" t="s">
        <v>8826</v>
      </c>
      <c r="B326" s="1" t="s">
        <v>8827</v>
      </c>
      <c r="C326" s="1" t="s">
        <v>8828</v>
      </c>
      <c r="D326" s="1" t="s">
        <v>8640</v>
      </c>
      <c r="E326" s="1" t="s">
        <v>7966</v>
      </c>
      <c r="F326" s="1" t="s">
        <v>8024</v>
      </c>
      <c r="I326" s="1">
        <v>3</v>
      </c>
      <c r="J326" s="1" t="s">
        <v>8812</v>
      </c>
      <c r="K326" s="1">
        <v>2015</v>
      </c>
      <c r="L326" s="1" t="s">
        <v>8813</v>
      </c>
      <c r="M326" s="1" t="s">
        <v>7657</v>
      </c>
      <c r="N326" s="17" t="s">
        <v>7945</v>
      </c>
      <c r="O326" s="33"/>
      <c r="P326" s="33"/>
      <c r="Q326" s="33"/>
      <c r="R326" s="33"/>
      <c r="S326" s="33">
        <v>8.9</v>
      </c>
      <c r="T326" s="33"/>
      <c r="U326" s="33">
        <v>5.7</v>
      </c>
      <c r="V326" s="33"/>
      <c r="W326" s="33"/>
      <c r="X326" s="33"/>
      <c r="Y326" s="33"/>
      <c r="Z326" s="33">
        <v>23.2</v>
      </c>
      <c r="AA326" s="33"/>
      <c r="AB326" s="33"/>
      <c r="AC326" s="33">
        <v>3.5</v>
      </c>
      <c r="AD326" s="33"/>
      <c r="AE326" s="33"/>
      <c r="AF326" s="33">
        <v>63.3</v>
      </c>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v>17.399999999999999</v>
      </c>
      <c r="BC326" s="33"/>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c r="CA326" s="33"/>
      <c r="CB326" s="33"/>
      <c r="CC326" s="33"/>
      <c r="CD326" s="33"/>
      <c r="CE326" s="33"/>
      <c r="CF326" s="33"/>
      <c r="CG326" s="33"/>
      <c r="CH326" s="33"/>
      <c r="CI326" s="33"/>
      <c r="CJ326" s="33"/>
      <c r="CK326" s="33"/>
      <c r="CL326" s="33"/>
      <c r="CM326" s="33"/>
      <c r="CN326" s="33"/>
      <c r="CO326" s="33">
        <v>2.2000000000000002</v>
      </c>
      <c r="CP326" s="33"/>
      <c r="CQ326" s="33"/>
      <c r="CR326" s="33"/>
      <c r="CS326" s="33"/>
      <c r="CT326" s="33"/>
      <c r="CU326" s="33"/>
      <c r="CV326" s="33"/>
      <c r="CW326" s="33"/>
      <c r="CX326" s="33"/>
      <c r="CY326" s="33"/>
      <c r="CZ326" s="33"/>
      <c r="DA326" s="33"/>
      <c r="DB326" s="33"/>
      <c r="DC326" s="33"/>
      <c r="DD326" s="33"/>
      <c r="DE326" s="33"/>
      <c r="DF326" s="33"/>
      <c r="DG326" s="33"/>
      <c r="DH326" s="33"/>
      <c r="DI326" s="33"/>
      <c r="DJ326" s="33"/>
      <c r="DK326" s="33"/>
      <c r="DL326" s="33"/>
      <c r="DM326" s="33"/>
      <c r="DN326" s="33"/>
      <c r="DO326" s="33"/>
      <c r="DP326" s="33"/>
      <c r="DQ326" s="33"/>
      <c r="DR326" s="33"/>
      <c r="DS326" s="33"/>
      <c r="DT326" s="33"/>
      <c r="DU326" s="33"/>
      <c r="DV326" s="33"/>
      <c r="DW326" s="33"/>
      <c r="DX326" s="33"/>
      <c r="DY326" s="33"/>
      <c r="DZ326" s="33"/>
      <c r="EA326" s="33"/>
      <c r="EB326" s="33"/>
      <c r="EC326" s="33"/>
      <c r="ED326" s="33"/>
      <c r="EE326" s="33"/>
      <c r="EF326" s="33"/>
      <c r="EG326" s="33"/>
      <c r="EH326" s="33"/>
      <c r="EI326" s="33"/>
      <c r="EJ326" s="33"/>
      <c r="EK326" s="33"/>
      <c r="EL326" s="33"/>
      <c r="EM326" s="33"/>
      <c r="EN326" s="33"/>
      <c r="EO326" s="33"/>
      <c r="EP326" s="33"/>
      <c r="EQ326" s="33"/>
      <c r="ER326" s="33"/>
      <c r="ES326" s="33"/>
      <c r="ET326" s="33"/>
      <c r="EU326" s="33"/>
      <c r="EV326" s="33"/>
      <c r="EW326" s="33"/>
      <c r="EX326" s="33"/>
      <c r="EY326" s="33"/>
      <c r="EZ326" s="33"/>
      <c r="FA326" s="33"/>
      <c r="FB326" s="33"/>
      <c r="FC326" s="33"/>
      <c r="FD326" s="33"/>
      <c r="FE326" s="33"/>
      <c r="FF326" s="33"/>
      <c r="FG326" s="33"/>
      <c r="FH326" s="33"/>
      <c r="FI326" s="33"/>
      <c r="FJ326" s="33"/>
      <c r="FK326" s="33"/>
      <c r="FL326" s="33"/>
      <c r="FM326" s="33"/>
      <c r="FN326" s="33"/>
      <c r="FO326" s="33"/>
      <c r="FP326" s="33"/>
      <c r="FQ326" s="33"/>
      <c r="FR326" s="33"/>
      <c r="FS326" s="33"/>
      <c r="FT326" s="33"/>
      <c r="FU326" s="33"/>
      <c r="FV326" s="33"/>
      <c r="FW326" s="33"/>
      <c r="FX326" s="33"/>
      <c r="FY326" s="33"/>
      <c r="FZ326" s="33"/>
      <c r="GA326" s="33"/>
      <c r="GB326" s="33"/>
      <c r="GC326" s="33"/>
      <c r="GD326" s="33"/>
      <c r="GE326" s="33"/>
      <c r="GF326" s="33"/>
      <c r="GG326" s="33"/>
      <c r="GH326" s="33"/>
      <c r="GI326" s="33"/>
      <c r="GJ326" s="33"/>
      <c r="GK326" s="33"/>
      <c r="GL326" s="33"/>
      <c r="GM326" s="33"/>
      <c r="GN326" s="33"/>
      <c r="GO326" s="33"/>
      <c r="GP326" s="33"/>
      <c r="GQ326" s="33"/>
      <c r="GR326" s="33"/>
      <c r="GS326" s="33"/>
      <c r="GT326" s="33"/>
      <c r="GU326" s="33"/>
      <c r="GV326" s="33"/>
      <c r="GW326" s="33"/>
      <c r="GX326" s="33"/>
      <c r="GY326" s="33"/>
      <c r="GZ326" s="33"/>
      <c r="HA326" s="33"/>
      <c r="HB326" s="33"/>
      <c r="HC326" s="33"/>
      <c r="HD326" s="33"/>
      <c r="HE326" s="33"/>
      <c r="HF326" s="33"/>
      <c r="HG326" s="33"/>
      <c r="HH326" s="33"/>
      <c r="HI326" s="33"/>
      <c r="HJ326" s="33"/>
      <c r="HK326" s="33"/>
      <c r="HL326" s="33"/>
      <c r="HM326" s="33"/>
      <c r="HN326" s="33"/>
      <c r="HO326" s="33"/>
      <c r="HP326" s="33"/>
      <c r="HQ326" s="33"/>
      <c r="HR326" s="33"/>
      <c r="HS326" s="33"/>
      <c r="HT326" s="33"/>
      <c r="HU326" s="33"/>
      <c r="HV326" s="33"/>
      <c r="HW326" s="33"/>
      <c r="HX326" s="33"/>
      <c r="HY326" s="33"/>
      <c r="HZ326" s="33"/>
      <c r="IA326" s="33"/>
      <c r="IB326" s="33"/>
      <c r="IC326" s="33"/>
      <c r="ID326" s="33"/>
      <c r="IE326" s="33"/>
      <c r="IF326" s="33"/>
      <c r="IG326" s="33"/>
      <c r="IH326" s="33"/>
      <c r="II326" s="33"/>
      <c r="IJ326" s="33"/>
      <c r="IK326" s="33"/>
      <c r="IL326" s="33"/>
      <c r="IM326" s="33"/>
      <c r="IN326" s="33"/>
      <c r="IO326" s="33"/>
      <c r="IP326" s="33"/>
      <c r="IQ326" s="33"/>
      <c r="IR326" s="33"/>
      <c r="IS326" s="33"/>
      <c r="IT326" s="33"/>
      <c r="IU326" s="33"/>
      <c r="IV326" s="33"/>
      <c r="IW326" s="33"/>
      <c r="IX326" s="33"/>
      <c r="IY326" s="33"/>
      <c r="IZ326" s="33"/>
      <c r="JA326" s="33"/>
      <c r="JB326" s="33"/>
      <c r="JC326" s="33"/>
      <c r="JD326" s="33"/>
      <c r="JE326" s="33"/>
      <c r="JF326" s="33"/>
      <c r="JG326" s="33"/>
      <c r="JH326" s="33"/>
      <c r="JI326" s="33"/>
      <c r="JJ326" s="33"/>
      <c r="JK326" s="33"/>
      <c r="JL326" s="33"/>
      <c r="JM326" s="33"/>
      <c r="JN326" s="33"/>
      <c r="JO326" s="33"/>
      <c r="JP326" s="33"/>
      <c r="JQ326" s="33"/>
      <c r="JR326" s="33"/>
      <c r="KZ326" s="33"/>
      <c r="LA326" s="33"/>
      <c r="LB326" s="33"/>
      <c r="LC326" s="33"/>
      <c r="LD326" s="33"/>
      <c r="LE326" s="33"/>
      <c r="LF326" s="33"/>
      <c r="LG326" s="33"/>
      <c r="LH326" s="33"/>
      <c r="LI326" s="33"/>
      <c r="LJ326" s="33"/>
      <c r="LK326" s="33"/>
      <c r="LL326" s="33"/>
      <c r="LM326" s="33"/>
      <c r="LN326" s="33"/>
      <c r="LO326" s="33"/>
      <c r="LP326" s="44"/>
      <c r="LQ326" s="44"/>
      <c r="LR326" s="44"/>
      <c r="LS326" s="44"/>
      <c r="LT326" s="44"/>
      <c r="LU326" s="44"/>
      <c r="LV326" s="44"/>
    </row>
    <row r="327" spans="1:334" x14ac:dyDescent="0.2">
      <c r="A327" s="1" t="s">
        <v>8829</v>
      </c>
      <c r="B327" s="1" t="s">
        <v>8830</v>
      </c>
      <c r="C327" s="1" t="s">
        <v>8831</v>
      </c>
      <c r="D327" s="1" t="s">
        <v>8640</v>
      </c>
      <c r="E327" s="1" t="s">
        <v>7966</v>
      </c>
      <c r="F327" s="1" t="s">
        <v>8024</v>
      </c>
      <c r="I327" s="1">
        <v>3</v>
      </c>
      <c r="J327" s="1" t="s">
        <v>8812</v>
      </c>
      <c r="K327" s="1">
        <v>2015</v>
      </c>
      <c r="L327" s="1" t="s">
        <v>8813</v>
      </c>
      <c r="M327" s="1" t="s">
        <v>7657</v>
      </c>
      <c r="N327" s="17" t="s">
        <v>7945</v>
      </c>
      <c r="O327" s="33"/>
      <c r="P327" s="33"/>
      <c r="Q327" s="33"/>
      <c r="R327" s="33"/>
      <c r="S327" s="33">
        <v>8.9</v>
      </c>
      <c r="T327" s="33"/>
      <c r="U327" s="33">
        <v>5.7</v>
      </c>
      <c r="V327" s="33"/>
      <c r="W327" s="33"/>
      <c r="X327" s="33"/>
      <c r="Y327" s="33"/>
      <c r="Z327" s="33">
        <v>21.8</v>
      </c>
      <c r="AA327" s="33"/>
      <c r="AB327" s="33"/>
      <c r="AC327" s="33">
        <v>3.1</v>
      </c>
      <c r="AD327" s="33"/>
      <c r="AE327" s="33"/>
      <c r="AF327" s="33">
        <v>63.4</v>
      </c>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v>24.7</v>
      </c>
      <c r="BC327" s="33"/>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c r="CA327" s="33"/>
      <c r="CB327" s="33"/>
      <c r="CC327" s="33"/>
      <c r="CD327" s="33"/>
      <c r="CE327" s="33"/>
      <c r="CF327" s="33"/>
      <c r="CG327" s="33"/>
      <c r="CH327" s="33"/>
      <c r="CI327" s="33"/>
      <c r="CJ327" s="33"/>
      <c r="CK327" s="33"/>
      <c r="CL327" s="33"/>
      <c r="CM327" s="33"/>
      <c r="CN327" s="33"/>
      <c r="CO327" s="33">
        <v>2.9</v>
      </c>
      <c r="CP327" s="33"/>
      <c r="CQ327" s="33"/>
      <c r="CR327" s="33"/>
      <c r="CS327" s="33"/>
      <c r="CT327" s="33"/>
      <c r="CU327" s="33"/>
      <c r="CV327" s="33"/>
      <c r="CW327" s="33"/>
      <c r="CX327" s="33"/>
      <c r="CY327" s="33"/>
      <c r="CZ327" s="33"/>
      <c r="DA327" s="33"/>
      <c r="DB327" s="33"/>
      <c r="DC327" s="33"/>
      <c r="DD327" s="33"/>
      <c r="DE327" s="33"/>
      <c r="DF327" s="33"/>
      <c r="DG327" s="33"/>
      <c r="DH327" s="33"/>
      <c r="DI327" s="33"/>
      <c r="DJ327" s="33"/>
      <c r="DK327" s="33"/>
      <c r="DL327" s="33"/>
      <c r="DM327" s="33"/>
      <c r="DN327" s="33"/>
      <c r="DO327" s="33"/>
      <c r="DP327" s="33"/>
      <c r="DQ327" s="33"/>
      <c r="DR327" s="33"/>
      <c r="DS327" s="33"/>
      <c r="DT327" s="33"/>
      <c r="DU327" s="33"/>
      <c r="DV327" s="33"/>
      <c r="DW327" s="33"/>
      <c r="DX327" s="33"/>
      <c r="DY327" s="33"/>
      <c r="DZ327" s="33"/>
      <c r="EA327" s="33"/>
      <c r="EB327" s="33"/>
      <c r="EC327" s="33"/>
      <c r="ED327" s="33"/>
      <c r="EE327" s="33"/>
      <c r="EF327" s="33"/>
      <c r="EG327" s="33"/>
      <c r="EH327" s="33"/>
      <c r="EI327" s="33"/>
      <c r="EJ327" s="33"/>
      <c r="EK327" s="33"/>
      <c r="EL327" s="33"/>
      <c r="EM327" s="33"/>
      <c r="EN327" s="33"/>
      <c r="EO327" s="33"/>
      <c r="EP327" s="33"/>
      <c r="EQ327" s="33"/>
      <c r="ER327" s="33"/>
      <c r="ES327" s="33"/>
      <c r="ET327" s="33"/>
      <c r="EU327" s="33"/>
      <c r="EV327" s="33"/>
      <c r="EW327" s="33"/>
      <c r="EX327" s="33"/>
      <c r="EY327" s="33"/>
      <c r="EZ327" s="33"/>
      <c r="FA327" s="33"/>
      <c r="FB327" s="33"/>
      <c r="FC327" s="33"/>
      <c r="FD327" s="33"/>
      <c r="FE327" s="33"/>
      <c r="FF327" s="33"/>
      <c r="FG327" s="33"/>
      <c r="FH327" s="33"/>
      <c r="FI327" s="33"/>
      <c r="FJ327" s="33"/>
      <c r="FK327" s="33"/>
      <c r="FL327" s="33"/>
      <c r="FM327" s="33"/>
      <c r="FN327" s="33"/>
      <c r="FO327" s="33"/>
      <c r="FP327" s="33"/>
      <c r="FQ327" s="33"/>
      <c r="FR327" s="33"/>
      <c r="FS327" s="33"/>
      <c r="FT327" s="33"/>
      <c r="FU327" s="33"/>
      <c r="FV327" s="33"/>
      <c r="FW327" s="33"/>
      <c r="FX327" s="33"/>
      <c r="FY327" s="33"/>
      <c r="FZ327" s="33"/>
      <c r="GA327" s="33"/>
      <c r="GB327" s="33"/>
      <c r="GC327" s="33"/>
      <c r="GD327" s="33"/>
      <c r="GE327" s="33"/>
      <c r="GF327" s="33"/>
      <c r="GG327" s="33"/>
      <c r="GH327" s="33"/>
      <c r="GI327" s="33"/>
      <c r="GJ327" s="33"/>
      <c r="GK327" s="33"/>
      <c r="GL327" s="33"/>
      <c r="GM327" s="33"/>
      <c r="GN327" s="33"/>
      <c r="GO327" s="33"/>
      <c r="GP327" s="33"/>
      <c r="GQ327" s="33"/>
      <c r="GR327" s="33"/>
      <c r="GS327" s="33"/>
      <c r="GT327" s="33"/>
      <c r="GU327" s="33"/>
      <c r="GV327" s="33"/>
      <c r="GW327" s="33"/>
      <c r="GX327" s="33"/>
      <c r="GY327" s="33"/>
      <c r="GZ327" s="33"/>
      <c r="HA327" s="33"/>
      <c r="HB327" s="33"/>
      <c r="HC327" s="33"/>
      <c r="HD327" s="33"/>
      <c r="HE327" s="33"/>
      <c r="HF327" s="33"/>
      <c r="HG327" s="33"/>
      <c r="HH327" s="33"/>
      <c r="HI327" s="33"/>
      <c r="HJ327" s="33"/>
      <c r="HK327" s="33"/>
      <c r="HL327" s="33"/>
      <c r="HM327" s="33"/>
      <c r="HN327" s="33"/>
      <c r="HO327" s="33"/>
      <c r="HP327" s="33"/>
      <c r="HQ327" s="33"/>
      <c r="HR327" s="33"/>
      <c r="HS327" s="33"/>
      <c r="HT327" s="33"/>
      <c r="HU327" s="33"/>
      <c r="HV327" s="33"/>
      <c r="HW327" s="33"/>
      <c r="HX327" s="33"/>
      <c r="HY327" s="33"/>
      <c r="HZ327" s="33"/>
      <c r="IA327" s="33"/>
      <c r="IB327" s="33"/>
      <c r="IC327" s="33"/>
      <c r="ID327" s="33"/>
      <c r="IE327" s="33"/>
      <c r="IF327" s="33"/>
      <c r="IG327" s="33"/>
      <c r="IH327" s="33"/>
      <c r="II327" s="33"/>
      <c r="IJ327" s="33"/>
      <c r="IK327" s="33"/>
      <c r="IL327" s="33"/>
      <c r="IM327" s="33"/>
      <c r="IN327" s="33"/>
      <c r="IO327" s="33"/>
      <c r="IP327" s="33"/>
      <c r="IQ327" s="33"/>
      <c r="IR327" s="33"/>
      <c r="IS327" s="33"/>
      <c r="IT327" s="33"/>
      <c r="IU327" s="33"/>
      <c r="IV327" s="33"/>
      <c r="IW327" s="33"/>
      <c r="IX327" s="33"/>
      <c r="IY327" s="33"/>
      <c r="IZ327" s="33"/>
      <c r="JA327" s="33"/>
      <c r="JB327" s="33"/>
      <c r="JC327" s="33"/>
      <c r="JD327" s="33"/>
      <c r="JE327" s="33"/>
      <c r="JF327" s="33"/>
      <c r="JG327" s="33"/>
      <c r="JH327" s="33"/>
      <c r="JI327" s="33"/>
      <c r="JJ327" s="33"/>
      <c r="JK327" s="33"/>
      <c r="JL327" s="33"/>
      <c r="JM327" s="33"/>
      <c r="JN327" s="33"/>
      <c r="JO327" s="33"/>
      <c r="JP327" s="33"/>
      <c r="JQ327" s="33"/>
      <c r="JR327" s="33"/>
      <c r="KZ327" s="33"/>
      <c r="LA327" s="33"/>
      <c r="LB327" s="33"/>
      <c r="LC327" s="33"/>
      <c r="LD327" s="33"/>
      <c r="LE327" s="33"/>
      <c r="LF327" s="33"/>
      <c r="LG327" s="33"/>
      <c r="LH327" s="33"/>
      <c r="LI327" s="33"/>
      <c r="LJ327" s="33"/>
      <c r="LK327" s="33"/>
      <c r="LL327" s="33"/>
      <c r="LM327" s="33"/>
      <c r="LN327" s="33"/>
      <c r="LO327" s="33"/>
      <c r="LP327" s="44"/>
      <c r="LQ327" s="44"/>
      <c r="LR327" s="44"/>
      <c r="LS327" s="44"/>
      <c r="LT327" s="44"/>
      <c r="LU327" s="44"/>
      <c r="LV327" s="44"/>
    </row>
    <row r="328" spans="1:334" x14ac:dyDescent="0.2">
      <c r="A328" s="1" t="s">
        <v>8832</v>
      </c>
      <c r="B328" s="1" t="s">
        <v>8827</v>
      </c>
      <c r="C328" s="1" t="s">
        <v>8833</v>
      </c>
      <c r="D328" s="1" t="s">
        <v>8640</v>
      </c>
      <c r="E328" s="1" t="s">
        <v>7966</v>
      </c>
      <c r="F328" s="1" t="s">
        <v>8024</v>
      </c>
      <c r="I328" s="1">
        <v>3</v>
      </c>
      <c r="J328" s="1" t="s">
        <v>8812</v>
      </c>
      <c r="K328" s="1">
        <v>2015</v>
      </c>
      <c r="L328" s="1" t="s">
        <v>8813</v>
      </c>
      <c r="M328" s="1" t="s">
        <v>7657</v>
      </c>
      <c r="N328" s="17" t="s">
        <v>7945</v>
      </c>
      <c r="O328" s="33"/>
      <c r="P328" s="33"/>
      <c r="Q328" s="33"/>
      <c r="R328" s="33"/>
      <c r="S328" s="33">
        <v>8</v>
      </c>
      <c r="T328" s="33"/>
      <c r="U328" s="33">
        <v>5.7</v>
      </c>
      <c r="V328" s="33"/>
      <c r="W328" s="33"/>
      <c r="X328" s="33"/>
      <c r="Y328" s="33"/>
      <c r="Z328" s="33">
        <v>21.4</v>
      </c>
      <c r="AA328" s="33"/>
      <c r="AB328" s="33"/>
      <c r="AC328" s="33">
        <v>2.6</v>
      </c>
      <c r="AD328" s="33"/>
      <c r="AE328" s="33"/>
      <c r="AF328" s="33">
        <v>65.8</v>
      </c>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v>20</v>
      </c>
      <c r="BC328" s="33"/>
      <c r="BD328" s="33"/>
      <c r="BE328" s="33"/>
      <c r="BF328" s="33"/>
      <c r="BG328" s="33"/>
      <c r="BH328" s="33"/>
      <c r="BI328" s="33"/>
      <c r="BJ328" s="33"/>
      <c r="BK328" s="33"/>
      <c r="BL328" s="33"/>
      <c r="BM328" s="33"/>
      <c r="BN328" s="33"/>
      <c r="BO328" s="33"/>
      <c r="BP328" s="33"/>
      <c r="BQ328" s="33"/>
      <c r="BR328" s="33"/>
      <c r="BS328" s="33"/>
      <c r="BT328" s="33"/>
      <c r="BU328" s="33"/>
      <c r="BV328" s="33"/>
      <c r="BW328" s="33"/>
      <c r="BX328" s="33"/>
      <c r="BY328" s="33"/>
      <c r="BZ328" s="33"/>
      <c r="CA328" s="33"/>
      <c r="CB328" s="33"/>
      <c r="CC328" s="33"/>
      <c r="CD328" s="33"/>
      <c r="CE328" s="33"/>
      <c r="CF328" s="33"/>
      <c r="CG328" s="33"/>
      <c r="CH328" s="33"/>
      <c r="CI328" s="33"/>
      <c r="CJ328" s="33"/>
      <c r="CK328" s="33"/>
      <c r="CL328" s="33"/>
      <c r="CM328" s="33"/>
      <c r="CN328" s="33"/>
      <c r="CO328" s="33">
        <v>2.2999999999999998</v>
      </c>
      <c r="CP328" s="33"/>
      <c r="CQ328" s="33"/>
      <c r="CR328" s="33"/>
      <c r="CS328" s="33"/>
      <c r="CT328" s="33"/>
      <c r="CU328" s="33"/>
      <c r="CV328" s="33"/>
      <c r="CW328" s="33"/>
      <c r="CX328" s="33"/>
      <c r="CY328" s="33"/>
      <c r="CZ328" s="33"/>
      <c r="DA328" s="33"/>
      <c r="DB328" s="33"/>
      <c r="DC328" s="33"/>
      <c r="DD328" s="33"/>
      <c r="DE328" s="33"/>
      <c r="DF328" s="33"/>
      <c r="DG328" s="33"/>
      <c r="DH328" s="33"/>
      <c r="DI328" s="33"/>
      <c r="DJ328" s="33"/>
      <c r="DK328" s="33"/>
      <c r="DL328" s="33"/>
      <c r="DM328" s="33"/>
      <c r="DN328" s="33"/>
      <c r="DO328" s="33"/>
      <c r="DP328" s="33"/>
      <c r="DQ328" s="33"/>
      <c r="DR328" s="33"/>
      <c r="DS328" s="33"/>
      <c r="DT328" s="33"/>
      <c r="DU328" s="33"/>
      <c r="DV328" s="33"/>
      <c r="DW328" s="33"/>
      <c r="DX328" s="33"/>
      <c r="DY328" s="33"/>
      <c r="DZ328" s="33"/>
      <c r="EA328" s="33"/>
      <c r="EB328" s="33"/>
      <c r="EC328" s="33"/>
      <c r="ED328" s="33"/>
      <c r="EE328" s="33"/>
      <c r="EF328" s="33"/>
      <c r="EG328" s="33"/>
      <c r="EH328" s="33"/>
      <c r="EI328" s="33"/>
      <c r="EJ328" s="33"/>
      <c r="EK328" s="33"/>
      <c r="EL328" s="33"/>
      <c r="EM328" s="33"/>
      <c r="EN328" s="33"/>
      <c r="EO328" s="33"/>
      <c r="EP328" s="33"/>
      <c r="EQ328" s="33"/>
      <c r="ER328" s="33"/>
      <c r="ES328" s="33"/>
      <c r="ET328" s="33"/>
      <c r="EU328" s="33"/>
      <c r="EV328" s="33"/>
      <c r="EW328" s="33"/>
      <c r="EX328" s="33"/>
      <c r="EY328" s="33"/>
      <c r="EZ328" s="33"/>
      <c r="FA328" s="33"/>
      <c r="FB328" s="33"/>
      <c r="FC328" s="33"/>
      <c r="FD328" s="33"/>
      <c r="FE328" s="33"/>
      <c r="FF328" s="33"/>
      <c r="FG328" s="33"/>
      <c r="FH328" s="33"/>
      <c r="FI328" s="33"/>
      <c r="FJ328" s="33"/>
      <c r="FK328" s="33"/>
      <c r="FL328" s="33"/>
      <c r="FM328" s="33"/>
      <c r="FN328" s="33"/>
      <c r="FO328" s="33"/>
      <c r="FP328" s="33"/>
      <c r="FQ328" s="33"/>
      <c r="FR328" s="33"/>
      <c r="FS328" s="33"/>
      <c r="FT328" s="33"/>
      <c r="FU328" s="33"/>
      <c r="FV328" s="33"/>
      <c r="FW328" s="33"/>
      <c r="FX328" s="33"/>
      <c r="FY328" s="33"/>
      <c r="FZ328" s="33"/>
      <c r="GA328" s="33"/>
      <c r="GB328" s="33"/>
      <c r="GC328" s="33"/>
      <c r="GD328" s="33"/>
      <c r="GE328" s="33"/>
      <c r="GF328" s="33"/>
      <c r="GG328" s="33"/>
      <c r="GH328" s="33"/>
      <c r="GI328" s="33"/>
      <c r="GJ328" s="33"/>
      <c r="GK328" s="33"/>
      <c r="GL328" s="33"/>
      <c r="GM328" s="33"/>
      <c r="GN328" s="33"/>
      <c r="GO328" s="33"/>
      <c r="GP328" s="33"/>
      <c r="GQ328" s="33"/>
      <c r="GR328" s="33"/>
      <c r="GS328" s="33"/>
      <c r="GT328" s="33"/>
      <c r="GU328" s="33"/>
      <c r="GV328" s="33"/>
      <c r="GW328" s="33"/>
      <c r="GX328" s="33"/>
      <c r="GY328" s="33"/>
      <c r="GZ328" s="33"/>
      <c r="HA328" s="33"/>
      <c r="HB328" s="33"/>
      <c r="HC328" s="33"/>
      <c r="HD328" s="33"/>
      <c r="HE328" s="33"/>
      <c r="HF328" s="33"/>
      <c r="HG328" s="33"/>
      <c r="HH328" s="33"/>
      <c r="HI328" s="33"/>
      <c r="HJ328" s="33"/>
      <c r="HK328" s="33"/>
      <c r="HL328" s="33"/>
      <c r="HM328" s="33"/>
      <c r="HN328" s="33"/>
      <c r="HO328" s="33"/>
      <c r="HP328" s="33"/>
      <c r="HQ328" s="33"/>
      <c r="HR328" s="33"/>
      <c r="HS328" s="33"/>
      <c r="HT328" s="33"/>
      <c r="HU328" s="33"/>
      <c r="HV328" s="33"/>
      <c r="HW328" s="33"/>
      <c r="HX328" s="33"/>
      <c r="HY328" s="33"/>
      <c r="HZ328" s="33"/>
      <c r="IA328" s="33"/>
      <c r="IB328" s="33"/>
      <c r="IC328" s="33"/>
      <c r="ID328" s="33"/>
      <c r="IE328" s="33"/>
      <c r="IF328" s="33"/>
      <c r="IG328" s="33"/>
      <c r="IH328" s="33"/>
      <c r="II328" s="33"/>
      <c r="IJ328" s="33"/>
      <c r="IK328" s="33"/>
      <c r="IL328" s="33"/>
      <c r="IM328" s="33"/>
      <c r="IN328" s="33"/>
      <c r="IO328" s="33"/>
      <c r="IP328" s="33"/>
      <c r="IQ328" s="33"/>
      <c r="IR328" s="33"/>
      <c r="IS328" s="33"/>
      <c r="IT328" s="33"/>
      <c r="IU328" s="33"/>
      <c r="IV328" s="33"/>
      <c r="IW328" s="33"/>
      <c r="IX328" s="33"/>
      <c r="IY328" s="33"/>
      <c r="IZ328" s="33"/>
      <c r="JA328" s="33"/>
      <c r="JB328" s="33"/>
      <c r="JC328" s="33"/>
      <c r="JD328" s="33"/>
      <c r="JE328" s="33"/>
      <c r="JF328" s="33"/>
      <c r="JG328" s="33"/>
      <c r="JH328" s="33"/>
      <c r="JI328" s="33"/>
      <c r="JJ328" s="33"/>
      <c r="JK328" s="33"/>
      <c r="JL328" s="33"/>
      <c r="JM328" s="33"/>
      <c r="JN328" s="33"/>
      <c r="JO328" s="33"/>
      <c r="JP328" s="33"/>
      <c r="JQ328" s="33"/>
      <c r="JR328" s="33"/>
      <c r="KZ328" s="33"/>
      <c r="LA328" s="33"/>
      <c r="LB328" s="33"/>
      <c r="LC328" s="33"/>
      <c r="LD328" s="33"/>
      <c r="LE328" s="33"/>
      <c r="LF328" s="33"/>
      <c r="LG328" s="33"/>
      <c r="LH328" s="33"/>
      <c r="LI328" s="33"/>
      <c r="LJ328" s="33"/>
      <c r="LK328" s="33"/>
      <c r="LL328" s="33"/>
      <c r="LM328" s="33"/>
      <c r="LN328" s="33"/>
      <c r="LO328" s="33"/>
      <c r="LP328" s="44"/>
      <c r="LQ328" s="44"/>
      <c r="LR328" s="44"/>
      <c r="LS328" s="44"/>
      <c r="LT328" s="44"/>
      <c r="LU328" s="44"/>
      <c r="LV328" s="44"/>
    </row>
    <row r="329" spans="1:334" x14ac:dyDescent="0.2">
      <c r="A329" s="1" t="s">
        <v>8834</v>
      </c>
      <c r="B329" s="1" t="s">
        <v>8835</v>
      </c>
      <c r="C329" s="1" t="s">
        <v>8836</v>
      </c>
      <c r="D329" s="1" t="s">
        <v>8640</v>
      </c>
      <c r="E329" s="1" t="s">
        <v>7966</v>
      </c>
      <c r="F329" s="1" t="s">
        <v>8024</v>
      </c>
      <c r="I329" s="1">
        <v>3</v>
      </c>
      <c r="J329" s="1" t="s">
        <v>8812</v>
      </c>
      <c r="K329" s="1">
        <v>2015</v>
      </c>
      <c r="L329" s="1" t="s">
        <v>8813</v>
      </c>
      <c r="M329" s="1" t="s">
        <v>7657</v>
      </c>
      <c r="N329" s="17" t="s">
        <v>7945</v>
      </c>
      <c r="O329" s="33"/>
      <c r="P329" s="33"/>
      <c r="Q329" s="33"/>
      <c r="R329" s="33"/>
      <c r="S329" s="33">
        <v>7.1</v>
      </c>
      <c r="T329" s="33"/>
      <c r="U329" s="33">
        <v>5.7</v>
      </c>
      <c r="V329" s="33"/>
      <c r="W329" s="33"/>
      <c r="X329" s="33"/>
      <c r="Y329" s="33"/>
      <c r="Z329" s="33">
        <v>18.8</v>
      </c>
      <c r="AA329" s="33"/>
      <c r="AB329" s="33"/>
      <c r="AC329" s="33">
        <v>2.2999999999999998</v>
      </c>
      <c r="AD329" s="33"/>
      <c r="AE329" s="33"/>
      <c r="AF329" s="33">
        <v>69</v>
      </c>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v>22.7</v>
      </c>
      <c r="BC329" s="33"/>
      <c r="BD329" s="33"/>
      <c r="BE329" s="33"/>
      <c r="BF329" s="33"/>
      <c r="BG329" s="33"/>
      <c r="BH329" s="33"/>
      <c r="BI329" s="33"/>
      <c r="BJ329" s="33"/>
      <c r="BK329" s="33"/>
      <c r="BL329" s="33"/>
      <c r="BM329" s="33"/>
      <c r="BN329" s="33"/>
      <c r="BO329" s="33"/>
      <c r="BP329" s="33"/>
      <c r="BQ329" s="33"/>
      <c r="BR329" s="33"/>
      <c r="BS329" s="33"/>
      <c r="BT329" s="33"/>
      <c r="BU329" s="33"/>
      <c r="BV329" s="33"/>
      <c r="BW329" s="33"/>
      <c r="BX329" s="33"/>
      <c r="BY329" s="33"/>
      <c r="BZ329" s="33"/>
      <c r="CA329" s="33"/>
      <c r="CB329" s="33"/>
      <c r="CC329" s="33"/>
      <c r="CD329" s="33"/>
      <c r="CE329" s="33"/>
      <c r="CF329" s="33"/>
      <c r="CG329" s="33"/>
      <c r="CH329" s="33"/>
      <c r="CI329" s="33"/>
      <c r="CJ329" s="33"/>
      <c r="CK329" s="33"/>
      <c r="CL329" s="33"/>
      <c r="CM329" s="33"/>
      <c r="CN329" s="33"/>
      <c r="CO329" s="33">
        <v>2.7</v>
      </c>
      <c r="CP329" s="33"/>
      <c r="CQ329" s="33"/>
      <c r="CR329" s="33"/>
      <c r="CS329" s="33"/>
      <c r="CT329" s="33"/>
      <c r="CU329" s="33"/>
      <c r="CV329" s="33"/>
      <c r="CW329" s="33"/>
      <c r="CX329" s="33"/>
      <c r="CY329" s="33"/>
      <c r="CZ329" s="33"/>
      <c r="DA329" s="33"/>
      <c r="DB329" s="33"/>
      <c r="DC329" s="33"/>
      <c r="DD329" s="33"/>
      <c r="DE329" s="33"/>
      <c r="DF329" s="33"/>
      <c r="DG329" s="33"/>
      <c r="DH329" s="33"/>
      <c r="DI329" s="33"/>
      <c r="DJ329" s="33"/>
      <c r="DK329" s="33"/>
      <c r="DL329" s="33"/>
      <c r="DM329" s="33"/>
      <c r="DN329" s="33"/>
      <c r="DO329" s="33"/>
      <c r="DP329" s="33"/>
      <c r="DQ329" s="33"/>
      <c r="DR329" s="33"/>
      <c r="DS329" s="33"/>
      <c r="DT329" s="33"/>
      <c r="DU329" s="33"/>
      <c r="DV329" s="33"/>
      <c r="DW329" s="33"/>
      <c r="DX329" s="33"/>
      <c r="DY329" s="33"/>
      <c r="DZ329" s="33"/>
      <c r="EA329" s="33"/>
      <c r="EB329" s="33"/>
      <c r="EC329" s="33"/>
      <c r="ED329" s="33"/>
      <c r="EE329" s="33"/>
      <c r="EF329" s="33"/>
      <c r="EG329" s="33"/>
      <c r="EH329" s="33"/>
      <c r="EI329" s="33"/>
      <c r="EJ329" s="33"/>
      <c r="EK329" s="33"/>
      <c r="EL329" s="33"/>
      <c r="EM329" s="33"/>
      <c r="EN329" s="33"/>
      <c r="EO329" s="33"/>
      <c r="EP329" s="33"/>
      <c r="EQ329" s="33"/>
      <c r="ER329" s="33"/>
      <c r="ES329" s="33"/>
      <c r="ET329" s="33"/>
      <c r="EU329" s="33"/>
      <c r="EV329" s="33"/>
      <c r="EW329" s="33"/>
      <c r="EX329" s="33"/>
      <c r="EY329" s="33"/>
      <c r="EZ329" s="33"/>
      <c r="FA329" s="33"/>
      <c r="FB329" s="33"/>
      <c r="FC329" s="33"/>
      <c r="FD329" s="33"/>
      <c r="FE329" s="33"/>
      <c r="FF329" s="33"/>
      <c r="FG329" s="33"/>
      <c r="FH329" s="33"/>
      <c r="FI329" s="33"/>
      <c r="FJ329" s="33"/>
      <c r="FK329" s="33"/>
      <c r="FL329" s="33"/>
      <c r="FM329" s="33"/>
      <c r="FN329" s="33"/>
      <c r="FO329" s="33"/>
      <c r="FP329" s="33"/>
      <c r="FQ329" s="33"/>
      <c r="FR329" s="33"/>
      <c r="FS329" s="33"/>
      <c r="FT329" s="33"/>
      <c r="FU329" s="33"/>
      <c r="FV329" s="33"/>
      <c r="FW329" s="33"/>
      <c r="FX329" s="33"/>
      <c r="FY329" s="33"/>
      <c r="FZ329" s="33"/>
      <c r="GA329" s="33"/>
      <c r="GB329" s="33"/>
      <c r="GC329" s="33"/>
      <c r="GD329" s="33"/>
      <c r="GE329" s="33"/>
      <c r="GF329" s="33"/>
      <c r="GG329" s="33"/>
      <c r="GH329" s="33"/>
      <c r="GI329" s="33"/>
      <c r="GJ329" s="33"/>
      <c r="GK329" s="33"/>
      <c r="GL329" s="33"/>
      <c r="GM329" s="33"/>
      <c r="GN329" s="33"/>
      <c r="GO329" s="33"/>
      <c r="GP329" s="33"/>
      <c r="GQ329" s="33"/>
      <c r="GR329" s="33"/>
      <c r="GS329" s="33"/>
      <c r="GT329" s="33"/>
      <c r="GU329" s="33"/>
      <c r="GV329" s="33"/>
      <c r="GW329" s="33"/>
      <c r="GX329" s="33"/>
      <c r="GY329" s="33"/>
      <c r="GZ329" s="33"/>
      <c r="HA329" s="33"/>
      <c r="HB329" s="33"/>
      <c r="HC329" s="33"/>
      <c r="HD329" s="33"/>
      <c r="HE329" s="33"/>
      <c r="HF329" s="33"/>
      <c r="HG329" s="33"/>
      <c r="HH329" s="33"/>
      <c r="HI329" s="33"/>
      <c r="HJ329" s="33"/>
      <c r="HK329" s="33"/>
      <c r="HL329" s="33"/>
      <c r="HM329" s="33"/>
      <c r="HN329" s="33"/>
      <c r="HO329" s="33"/>
      <c r="HP329" s="33"/>
      <c r="HQ329" s="33"/>
      <c r="HR329" s="33"/>
      <c r="HS329" s="33"/>
      <c r="HT329" s="33"/>
      <c r="HU329" s="33"/>
      <c r="HV329" s="33"/>
      <c r="HW329" s="33"/>
      <c r="HX329" s="33"/>
      <c r="HY329" s="33"/>
      <c r="HZ329" s="33"/>
      <c r="IA329" s="33"/>
      <c r="IB329" s="33"/>
      <c r="IC329" s="33"/>
      <c r="ID329" s="33"/>
      <c r="IE329" s="33"/>
      <c r="IF329" s="33"/>
      <c r="IG329" s="33"/>
      <c r="IH329" s="33"/>
      <c r="II329" s="33"/>
      <c r="IJ329" s="33"/>
      <c r="IK329" s="33"/>
      <c r="IL329" s="33"/>
      <c r="IM329" s="33"/>
      <c r="IN329" s="33"/>
      <c r="IO329" s="33"/>
      <c r="IP329" s="33"/>
      <c r="IQ329" s="33"/>
      <c r="IR329" s="33"/>
      <c r="IS329" s="33"/>
      <c r="IT329" s="33"/>
      <c r="IU329" s="33"/>
      <c r="IV329" s="33"/>
      <c r="IW329" s="33"/>
      <c r="IX329" s="33"/>
      <c r="IY329" s="33"/>
      <c r="IZ329" s="33"/>
      <c r="JA329" s="33"/>
      <c r="JB329" s="33"/>
      <c r="JC329" s="33"/>
      <c r="JD329" s="33"/>
      <c r="JE329" s="33"/>
      <c r="JF329" s="33"/>
      <c r="JG329" s="33"/>
      <c r="JH329" s="33"/>
      <c r="JI329" s="33"/>
      <c r="JJ329" s="33"/>
      <c r="JK329" s="33"/>
      <c r="JL329" s="33"/>
      <c r="JM329" s="33"/>
      <c r="JN329" s="33"/>
      <c r="JO329" s="33"/>
      <c r="JP329" s="33"/>
      <c r="JQ329" s="33"/>
      <c r="JR329" s="33"/>
      <c r="KZ329" s="33"/>
      <c r="LA329" s="33"/>
      <c r="LB329" s="33"/>
      <c r="LC329" s="33"/>
      <c r="LD329" s="33"/>
      <c r="LE329" s="33"/>
      <c r="LF329" s="33"/>
      <c r="LG329" s="33"/>
      <c r="LH329" s="33"/>
      <c r="LI329" s="33"/>
      <c r="LJ329" s="33"/>
      <c r="LK329" s="33"/>
      <c r="LL329" s="33"/>
      <c r="LM329" s="33"/>
      <c r="LN329" s="33"/>
      <c r="LO329" s="33"/>
      <c r="LP329" s="44"/>
      <c r="LQ329" s="44"/>
      <c r="LR329" s="44"/>
      <c r="LS329" s="44"/>
      <c r="LT329" s="44"/>
      <c r="LU329" s="44"/>
      <c r="LV329" s="44"/>
    </row>
    <row r="330" spans="1:334" x14ac:dyDescent="0.2">
      <c r="A330" s="1" t="s">
        <v>8837</v>
      </c>
      <c r="B330" s="1" t="s">
        <v>8827</v>
      </c>
      <c r="C330" s="1" t="s">
        <v>8838</v>
      </c>
      <c r="D330" s="1" t="s">
        <v>8640</v>
      </c>
      <c r="E330" s="1" t="s">
        <v>7966</v>
      </c>
      <c r="F330" s="1" t="s">
        <v>8024</v>
      </c>
      <c r="I330" s="1">
        <v>3</v>
      </c>
      <c r="J330" s="1" t="s">
        <v>8812</v>
      </c>
      <c r="K330" s="1">
        <v>2015</v>
      </c>
      <c r="L330" s="1" t="s">
        <v>8813</v>
      </c>
      <c r="M330" s="1" t="s">
        <v>7657</v>
      </c>
      <c r="N330" s="17" t="s">
        <v>7945</v>
      </c>
      <c r="O330" s="33"/>
      <c r="P330" s="33"/>
      <c r="Q330" s="33"/>
      <c r="R330" s="33"/>
      <c r="S330" s="33">
        <v>8.6999999999999993</v>
      </c>
      <c r="T330" s="33"/>
      <c r="U330" s="33">
        <v>5.7</v>
      </c>
      <c r="V330" s="33"/>
      <c r="W330" s="33"/>
      <c r="X330" s="33"/>
      <c r="Y330" s="33"/>
      <c r="Z330" s="33">
        <v>20.9</v>
      </c>
      <c r="AA330" s="33"/>
      <c r="AB330" s="33"/>
      <c r="AC330" s="33">
        <v>2</v>
      </c>
      <c r="AD330" s="33"/>
      <c r="AE330" s="33"/>
      <c r="AF330" s="33">
        <v>66.3</v>
      </c>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v>17.100000000000001</v>
      </c>
      <c r="BC330" s="33"/>
      <c r="BD330" s="33"/>
      <c r="BE330" s="33"/>
      <c r="BF330" s="33"/>
      <c r="BG330" s="33"/>
      <c r="BH330" s="33"/>
      <c r="BI330" s="33"/>
      <c r="BJ330" s="33"/>
      <c r="BK330" s="33"/>
      <c r="BL330" s="33"/>
      <c r="BM330" s="33"/>
      <c r="BN330" s="33"/>
      <c r="BO330" s="33"/>
      <c r="BP330" s="33"/>
      <c r="BQ330" s="33"/>
      <c r="BR330" s="33"/>
      <c r="BS330" s="33"/>
      <c r="BT330" s="33"/>
      <c r="BU330" s="33"/>
      <c r="BV330" s="33"/>
      <c r="BW330" s="33"/>
      <c r="BX330" s="33"/>
      <c r="BY330" s="33"/>
      <c r="BZ330" s="33"/>
      <c r="CA330" s="33"/>
      <c r="CB330" s="33"/>
      <c r="CC330" s="33"/>
      <c r="CD330" s="33"/>
      <c r="CE330" s="33"/>
      <c r="CF330" s="33"/>
      <c r="CG330" s="33"/>
      <c r="CH330" s="33"/>
      <c r="CI330" s="33"/>
      <c r="CJ330" s="33"/>
      <c r="CK330" s="33"/>
      <c r="CL330" s="33"/>
      <c r="CM330" s="33"/>
      <c r="CN330" s="33"/>
      <c r="CO330" s="33">
        <v>2</v>
      </c>
      <c r="CP330" s="33"/>
      <c r="CQ330" s="33"/>
      <c r="CR330" s="33"/>
      <c r="CS330" s="33"/>
      <c r="CT330" s="33"/>
      <c r="CU330" s="33"/>
      <c r="CV330" s="33"/>
      <c r="CW330" s="33"/>
      <c r="CX330" s="33"/>
      <c r="CY330" s="33"/>
      <c r="CZ330" s="33"/>
      <c r="DA330" s="33"/>
      <c r="DB330" s="33"/>
      <c r="DC330" s="33"/>
      <c r="DD330" s="33"/>
      <c r="DE330" s="33"/>
      <c r="DF330" s="33"/>
      <c r="DG330" s="33"/>
      <c r="DH330" s="33"/>
      <c r="DI330" s="33"/>
      <c r="DJ330" s="33"/>
      <c r="DK330" s="33"/>
      <c r="DL330" s="33"/>
      <c r="DM330" s="33"/>
      <c r="DN330" s="33"/>
      <c r="DO330" s="33"/>
      <c r="DP330" s="33"/>
      <c r="DQ330" s="33"/>
      <c r="DR330" s="33"/>
      <c r="DS330" s="33"/>
      <c r="DT330" s="33"/>
      <c r="DU330" s="33"/>
      <c r="DV330" s="33"/>
      <c r="DW330" s="33"/>
      <c r="DX330" s="33"/>
      <c r="DY330" s="33"/>
      <c r="DZ330" s="33"/>
      <c r="EA330" s="33"/>
      <c r="EB330" s="33"/>
      <c r="EC330" s="33"/>
      <c r="ED330" s="33"/>
      <c r="EE330" s="33"/>
      <c r="EF330" s="33"/>
      <c r="EG330" s="33"/>
      <c r="EH330" s="33"/>
      <c r="EI330" s="33"/>
      <c r="EJ330" s="33"/>
      <c r="EK330" s="33"/>
      <c r="EL330" s="33"/>
      <c r="EM330" s="33"/>
      <c r="EN330" s="33"/>
      <c r="EO330" s="33"/>
      <c r="EP330" s="33"/>
      <c r="EQ330" s="33"/>
      <c r="ER330" s="33"/>
      <c r="ES330" s="33"/>
      <c r="ET330" s="33"/>
      <c r="EU330" s="33"/>
      <c r="EV330" s="33"/>
      <c r="EW330" s="33"/>
      <c r="EX330" s="33"/>
      <c r="EY330" s="33"/>
      <c r="EZ330" s="33"/>
      <c r="FA330" s="33"/>
      <c r="FB330" s="33"/>
      <c r="FC330" s="33"/>
      <c r="FD330" s="33"/>
      <c r="FE330" s="33"/>
      <c r="FF330" s="33"/>
      <c r="FG330" s="33"/>
      <c r="FH330" s="33"/>
      <c r="FI330" s="33"/>
      <c r="FJ330" s="33"/>
      <c r="FK330" s="33"/>
      <c r="FL330" s="33"/>
      <c r="FM330" s="33"/>
      <c r="FN330" s="33"/>
      <c r="FO330" s="33"/>
      <c r="FP330" s="33"/>
      <c r="FQ330" s="33"/>
      <c r="FR330" s="33"/>
      <c r="FS330" s="33"/>
      <c r="FT330" s="33"/>
      <c r="FU330" s="33"/>
      <c r="FV330" s="33"/>
      <c r="FW330" s="33"/>
      <c r="FX330" s="33"/>
      <c r="FY330" s="33"/>
      <c r="FZ330" s="33"/>
      <c r="GA330" s="33"/>
      <c r="GB330" s="33"/>
      <c r="GC330" s="33"/>
      <c r="GD330" s="33"/>
      <c r="GE330" s="33"/>
      <c r="GF330" s="33"/>
      <c r="GG330" s="33"/>
      <c r="GH330" s="33"/>
      <c r="GI330" s="33"/>
      <c r="GJ330" s="33"/>
      <c r="GK330" s="33"/>
      <c r="GL330" s="33"/>
      <c r="GM330" s="33"/>
      <c r="GN330" s="33"/>
      <c r="GO330" s="33"/>
      <c r="GP330" s="33"/>
      <c r="GQ330" s="33"/>
      <c r="GR330" s="33"/>
      <c r="GS330" s="33"/>
      <c r="GT330" s="33"/>
      <c r="GU330" s="33"/>
      <c r="GV330" s="33"/>
      <c r="GW330" s="33"/>
      <c r="GX330" s="33"/>
      <c r="GY330" s="33"/>
      <c r="GZ330" s="33"/>
      <c r="HA330" s="33"/>
      <c r="HB330" s="33"/>
      <c r="HC330" s="33"/>
      <c r="HD330" s="33"/>
      <c r="HE330" s="33"/>
      <c r="HF330" s="33"/>
      <c r="HG330" s="33"/>
      <c r="HH330" s="33"/>
      <c r="HI330" s="33"/>
      <c r="HJ330" s="33"/>
      <c r="HK330" s="33"/>
      <c r="HL330" s="33"/>
      <c r="HM330" s="33"/>
      <c r="HN330" s="33"/>
      <c r="HO330" s="33"/>
      <c r="HP330" s="33"/>
      <c r="HQ330" s="33"/>
      <c r="HR330" s="33"/>
      <c r="HS330" s="33"/>
      <c r="HT330" s="33"/>
      <c r="HU330" s="33"/>
      <c r="HV330" s="33"/>
      <c r="HW330" s="33"/>
      <c r="HX330" s="33"/>
      <c r="HY330" s="33"/>
      <c r="HZ330" s="33"/>
      <c r="IA330" s="33"/>
      <c r="IB330" s="33"/>
      <c r="IC330" s="33"/>
      <c r="ID330" s="33"/>
      <c r="IE330" s="33"/>
      <c r="IF330" s="33"/>
      <c r="IG330" s="33"/>
      <c r="IH330" s="33"/>
      <c r="II330" s="33"/>
      <c r="IJ330" s="33"/>
      <c r="IK330" s="33"/>
      <c r="IL330" s="33"/>
      <c r="IM330" s="33"/>
      <c r="IN330" s="33"/>
      <c r="IO330" s="33"/>
      <c r="IP330" s="33"/>
      <c r="IQ330" s="33"/>
      <c r="IR330" s="33"/>
      <c r="IS330" s="33"/>
      <c r="IT330" s="33"/>
      <c r="IU330" s="33"/>
      <c r="IV330" s="33"/>
      <c r="IW330" s="33"/>
      <c r="IX330" s="33"/>
      <c r="IY330" s="33"/>
      <c r="IZ330" s="33"/>
      <c r="JA330" s="33"/>
      <c r="JB330" s="33"/>
      <c r="JC330" s="33"/>
      <c r="JD330" s="33"/>
      <c r="JE330" s="33"/>
      <c r="JF330" s="33"/>
      <c r="JG330" s="33"/>
      <c r="JH330" s="33"/>
      <c r="JI330" s="33"/>
      <c r="JJ330" s="33"/>
      <c r="JK330" s="33"/>
      <c r="JL330" s="33"/>
      <c r="JM330" s="33"/>
      <c r="JN330" s="33"/>
      <c r="JO330" s="33"/>
      <c r="JP330" s="33"/>
      <c r="JQ330" s="33"/>
      <c r="JR330" s="33"/>
      <c r="KZ330" s="33"/>
      <c r="LA330" s="33"/>
      <c r="LB330" s="33"/>
      <c r="LC330" s="33"/>
      <c r="LD330" s="33"/>
      <c r="LE330" s="33"/>
      <c r="LF330" s="33"/>
      <c r="LG330" s="33"/>
      <c r="LH330" s="33"/>
      <c r="LI330" s="33"/>
      <c r="LJ330" s="33"/>
      <c r="LK330" s="33"/>
      <c r="LL330" s="33"/>
      <c r="LM330" s="33"/>
      <c r="LN330" s="33"/>
      <c r="LO330" s="33"/>
      <c r="LP330" s="44"/>
      <c r="LQ330" s="44"/>
      <c r="LR330" s="44"/>
      <c r="LS330" s="44"/>
      <c r="LT330" s="44"/>
      <c r="LU330" s="44"/>
      <c r="LV330" s="44"/>
    </row>
    <row r="331" spans="1:334" x14ac:dyDescent="0.2">
      <c r="A331" s="1" t="s">
        <v>8839</v>
      </c>
      <c r="B331" s="1" t="s">
        <v>8835</v>
      </c>
      <c r="C331" s="1" t="s">
        <v>8840</v>
      </c>
      <c r="D331" s="1" t="s">
        <v>8633</v>
      </c>
      <c r="E331" s="1" t="s">
        <v>7966</v>
      </c>
      <c r="F331" s="1" t="s">
        <v>8110</v>
      </c>
      <c r="I331" s="1">
        <v>3</v>
      </c>
      <c r="J331" s="1" t="s">
        <v>8812</v>
      </c>
      <c r="K331" s="1">
        <v>2015</v>
      </c>
      <c r="L331" s="1" t="s">
        <v>8813</v>
      </c>
      <c r="M331" s="1" t="s">
        <v>7657</v>
      </c>
      <c r="N331" s="17" t="s">
        <v>7945</v>
      </c>
      <c r="O331" s="33"/>
      <c r="P331" s="33"/>
      <c r="Q331" s="33"/>
      <c r="R331" s="33"/>
      <c r="S331" s="33">
        <v>9.1</v>
      </c>
      <c r="T331" s="33"/>
      <c r="U331" s="33">
        <v>5.7</v>
      </c>
      <c r="V331" s="33"/>
      <c r="W331" s="33"/>
      <c r="X331" s="33"/>
      <c r="Y331" s="33"/>
      <c r="Z331" s="33">
        <v>19.399999999999999</v>
      </c>
      <c r="AA331" s="33"/>
      <c r="AB331" s="33"/>
      <c r="AC331" s="33">
        <v>2.1</v>
      </c>
      <c r="AD331" s="33"/>
      <c r="AE331" s="33"/>
      <c r="AF331" s="33">
        <v>64.900000000000006</v>
      </c>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v>35.299999999999997</v>
      </c>
      <c r="BC331" s="33"/>
      <c r="BD331" s="33"/>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c r="CD331" s="33"/>
      <c r="CE331" s="33"/>
      <c r="CF331" s="33"/>
      <c r="CG331" s="33"/>
      <c r="CH331" s="33"/>
      <c r="CI331" s="33"/>
      <c r="CJ331" s="33"/>
      <c r="CK331" s="33"/>
      <c r="CL331" s="33"/>
      <c r="CM331" s="33"/>
      <c r="CN331" s="33"/>
      <c r="CO331" s="33">
        <v>4.5999999999999996</v>
      </c>
      <c r="CP331" s="33"/>
      <c r="CQ331" s="33"/>
      <c r="CR331" s="33"/>
      <c r="CS331" s="33"/>
      <c r="CT331" s="33"/>
      <c r="CU331" s="33"/>
      <c r="CV331" s="33"/>
      <c r="CW331" s="33"/>
      <c r="CX331" s="33"/>
      <c r="CY331" s="33"/>
      <c r="CZ331" s="33"/>
      <c r="DA331" s="33"/>
      <c r="DB331" s="33"/>
      <c r="DC331" s="33"/>
      <c r="DD331" s="33"/>
      <c r="DE331" s="33"/>
      <c r="DF331" s="33"/>
      <c r="DG331" s="33"/>
      <c r="DH331" s="33"/>
      <c r="DI331" s="33"/>
      <c r="DJ331" s="33"/>
      <c r="DK331" s="33"/>
      <c r="DL331" s="33"/>
      <c r="DM331" s="33"/>
      <c r="DN331" s="33"/>
      <c r="DO331" s="33"/>
      <c r="DP331" s="33"/>
      <c r="DQ331" s="33"/>
      <c r="DR331" s="33"/>
      <c r="DS331" s="33"/>
      <c r="DT331" s="33"/>
      <c r="DU331" s="33"/>
      <c r="DV331" s="33"/>
      <c r="DW331" s="33"/>
      <c r="DX331" s="33"/>
      <c r="DY331" s="33"/>
      <c r="DZ331" s="33"/>
      <c r="EA331" s="33"/>
      <c r="EB331" s="33"/>
      <c r="EC331" s="33"/>
      <c r="ED331" s="33"/>
      <c r="EE331" s="33"/>
      <c r="EF331" s="33"/>
      <c r="EG331" s="33"/>
      <c r="EH331" s="33"/>
      <c r="EI331" s="33"/>
      <c r="EJ331" s="33"/>
      <c r="EK331" s="33"/>
      <c r="EL331" s="33"/>
      <c r="EM331" s="33"/>
      <c r="EN331" s="33"/>
      <c r="EO331" s="33"/>
      <c r="EP331" s="33"/>
      <c r="EQ331" s="33"/>
      <c r="ER331" s="33"/>
      <c r="ES331" s="33"/>
      <c r="ET331" s="33"/>
      <c r="EU331" s="33"/>
      <c r="EV331" s="33"/>
      <c r="EW331" s="33"/>
      <c r="EX331" s="33"/>
      <c r="EY331" s="33"/>
      <c r="EZ331" s="33"/>
      <c r="FA331" s="33"/>
      <c r="FB331" s="33"/>
      <c r="FC331" s="33"/>
      <c r="FD331" s="33"/>
      <c r="FE331" s="33"/>
      <c r="FF331" s="33"/>
      <c r="FG331" s="33"/>
      <c r="FH331" s="33"/>
      <c r="FI331" s="33"/>
      <c r="FJ331" s="33"/>
      <c r="FK331" s="33"/>
      <c r="FL331" s="33"/>
      <c r="FM331" s="33"/>
      <c r="FN331" s="33"/>
      <c r="FO331" s="33"/>
      <c r="FP331" s="33"/>
      <c r="FQ331" s="33"/>
      <c r="FR331" s="33"/>
      <c r="FS331" s="33"/>
      <c r="FT331" s="33"/>
      <c r="FU331" s="33"/>
      <c r="FV331" s="33"/>
      <c r="FW331" s="33"/>
      <c r="FX331" s="33"/>
      <c r="FY331" s="33"/>
      <c r="FZ331" s="33"/>
      <c r="GA331" s="33"/>
      <c r="GB331" s="33"/>
      <c r="GC331" s="33"/>
      <c r="GD331" s="33"/>
      <c r="GE331" s="33"/>
      <c r="GF331" s="33"/>
      <c r="GG331" s="33"/>
      <c r="GH331" s="33"/>
      <c r="GI331" s="33"/>
      <c r="GJ331" s="33"/>
      <c r="GK331" s="33"/>
      <c r="GL331" s="33"/>
      <c r="GM331" s="33"/>
      <c r="GN331" s="33"/>
      <c r="GO331" s="33"/>
      <c r="GP331" s="33"/>
      <c r="GQ331" s="33"/>
      <c r="GR331" s="33"/>
      <c r="GS331" s="33"/>
      <c r="GT331" s="33"/>
      <c r="GU331" s="33"/>
      <c r="GV331" s="33"/>
      <c r="GW331" s="33"/>
      <c r="GX331" s="33"/>
      <c r="GY331" s="33"/>
      <c r="GZ331" s="33"/>
      <c r="HA331" s="33"/>
      <c r="HB331" s="33"/>
      <c r="HC331" s="33"/>
      <c r="HD331" s="33"/>
      <c r="HE331" s="33"/>
      <c r="HF331" s="33"/>
      <c r="HG331" s="33"/>
      <c r="HH331" s="33"/>
      <c r="HI331" s="33"/>
      <c r="HJ331" s="33"/>
      <c r="HK331" s="33"/>
      <c r="HL331" s="33"/>
      <c r="HM331" s="33"/>
      <c r="HN331" s="33"/>
      <c r="HO331" s="33"/>
      <c r="HP331" s="33"/>
      <c r="HQ331" s="33"/>
      <c r="HR331" s="33"/>
      <c r="HS331" s="33"/>
      <c r="HT331" s="33"/>
      <c r="HU331" s="33"/>
      <c r="HV331" s="33"/>
      <c r="HW331" s="33"/>
      <c r="HX331" s="33"/>
      <c r="HY331" s="33"/>
      <c r="HZ331" s="33"/>
      <c r="IA331" s="33"/>
      <c r="IB331" s="33"/>
      <c r="IC331" s="33"/>
      <c r="ID331" s="33"/>
      <c r="IE331" s="33"/>
      <c r="IF331" s="33"/>
      <c r="IG331" s="33"/>
      <c r="IH331" s="33"/>
      <c r="II331" s="33"/>
      <c r="IJ331" s="33"/>
      <c r="IK331" s="33"/>
      <c r="IL331" s="33"/>
      <c r="IM331" s="33"/>
      <c r="IN331" s="33"/>
      <c r="IO331" s="33"/>
      <c r="IP331" s="33"/>
      <c r="IQ331" s="33"/>
      <c r="IR331" s="33"/>
      <c r="IS331" s="33"/>
      <c r="IT331" s="33"/>
      <c r="IU331" s="33"/>
      <c r="IV331" s="33"/>
      <c r="IW331" s="33"/>
      <c r="IX331" s="33"/>
      <c r="IY331" s="33"/>
      <c r="IZ331" s="33"/>
      <c r="JA331" s="33"/>
      <c r="JB331" s="33"/>
      <c r="JC331" s="33"/>
      <c r="JD331" s="33"/>
      <c r="JE331" s="33"/>
      <c r="JF331" s="33"/>
      <c r="JG331" s="33"/>
      <c r="JH331" s="33"/>
      <c r="JI331" s="33"/>
      <c r="JJ331" s="33"/>
      <c r="JK331" s="33"/>
      <c r="JL331" s="33"/>
      <c r="JM331" s="33"/>
      <c r="JN331" s="33"/>
      <c r="JO331" s="33"/>
      <c r="JP331" s="33"/>
      <c r="JQ331" s="33"/>
      <c r="JR331" s="33"/>
      <c r="KZ331" s="33"/>
      <c r="LA331" s="33"/>
      <c r="LB331" s="33"/>
      <c r="LC331" s="33"/>
      <c r="LD331" s="33"/>
      <c r="LE331" s="33"/>
      <c r="LF331" s="33"/>
      <c r="LG331" s="33"/>
      <c r="LH331" s="33"/>
      <c r="LI331" s="33"/>
      <c r="LJ331" s="33"/>
      <c r="LK331" s="33"/>
      <c r="LL331" s="33"/>
      <c r="LM331" s="33"/>
      <c r="LN331" s="33"/>
      <c r="LO331" s="33"/>
      <c r="LP331" s="44"/>
      <c r="LQ331" s="44"/>
      <c r="LR331" s="44"/>
      <c r="LS331" s="44"/>
      <c r="LT331" s="44"/>
      <c r="LU331" s="44"/>
      <c r="LV331" s="44"/>
    </row>
    <row r="332" spans="1:334" x14ac:dyDescent="0.2">
      <c r="A332" s="1" t="s">
        <v>8841</v>
      </c>
      <c r="B332" s="1" t="s">
        <v>8842</v>
      </c>
      <c r="D332" s="1" t="s">
        <v>8318</v>
      </c>
      <c r="E332" s="1" t="s">
        <v>7</v>
      </c>
      <c r="F332" s="1" t="s">
        <v>8843</v>
      </c>
      <c r="J332" s="1" t="s">
        <v>8844</v>
      </c>
      <c r="K332" s="1">
        <v>2009</v>
      </c>
      <c r="L332" s="1" t="s">
        <v>8845</v>
      </c>
      <c r="M332" s="1" t="s">
        <v>7657</v>
      </c>
      <c r="N332" s="17" t="s">
        <v>7945</v>
      </c>
      <c r="O332" s="33"/>
      <c r="P332" s="33">
        <v>336.50119000000001</v>
      </c>
      <c r="Q332" s="33"/>
      <c r="R332" s="33"/>
      <c r="S332" s="33">
        <v>11.3</v>
      </c>
      <c r="T332" s="33"/>
      <c r="U332" s="33"/>
      <c r="V332" s="33"/>
      <c r="W332" s="33"/>
      <c r="X332" s="33"/>
      <c r="Y332" s="33"/>
      <c r="Z332" s="33">
        <v>23.345840000000003</v>
      </c>
      <c r="AA332" s="33"/>
      <c r="AB332" s="33"/>
      <c r="AC332" s="33">
        <v>1.2063200000000003</v>
      </c>
      <c r="AD332" s="33"/>
      <c r="AE332" s="33">
        <v>58.444430000000004</v>
      </c>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33"/>
      <c r="BE332" s="33">
        <v>2.9714500000000004</v>
      </c>
      <c r="BF332" s="33"/>
      <c r="BG332" s="33"/>
      <c r="BH332" s="33"/>
      <c r="BI332" s="33"/>
      <c r="BJ332" s="33"/>
      <c r="BK332" s="33"/>
      <c r="BL332" s="33"/>
      <c r="BM332" s="33"/>
      <c r="BN332" s="33"/>
      <c r="BO332" s="33"/>
      <c r="BP332" s="33"/>
      <c r="BQ332" s="33"/>
      <c r="BR332" s="33"/>
      <c r="BS332" s="33"/>
      <c r="BT332" s="33"/>
      <c r="BU332" s="33"/>
      <c r="BV332" s="33"/>
      <c r="BW332" s="33"/>
      <c r="BX332" s="33"/>
      <c r="BY332" s="33"/>
      <c r="BZ332" s="33"/>
      <c r="CA332" s="33"/>
      <c r="CB332" s="33"/>
      <c r="CC332" s="33"/>
      <c r="CD332" s="33"/>
      <c r="CE332" s="33"/>
      <c r="CF332" s="33"/>
      <c r="CG332" s="33"/>
      <c r="CH332" s="33"/>
      <c r="CI332" s="33"/>
      <c r="CJ332" s="33"/>
      <c r="CK332" s="33"/>
      <c r="CL332" s="33"/>
      <c r="CM332" s="33"/>
      <c r="CN332" s="33"/>
      <c r="CO332" s="33">
        <v>2.9004900000000005</v>
      </c>
      <c r="CP332" s="33"/>
      <c r="CQ332" s="33"/>
      <c r="CR332" s="33"/>
      <c r="CS332" s="33"/>
      <c r="CT332" s="33"/>
      <c r="CU332" s="33"/>
      <c r="CV332" s="33"/>
      <c r="CW332" s="33"/>
      <c r="CX332" s="33"/>
      <c r="CY332" s="33"/>
      <c r="CZ332" s="33"/>
      <c r="DA332" s="33"/>
      <c r="DB332" s="33"/>
      <c r="DC332" s="33"/>
      <c r="DD332" s="33"/>
      <c r="DE332" s="33"/>
      <c r="DF332" s="33"/>
      <c r="DG332" s="33"/>
      <c r="DH332" s="33"/>
      <c r="DI332" s="33"/>
      <c r="DJ332" s="33"/>
      <c r="DK332" s="33"/>
      <c r="DL332" s="33"/>
      <c r="DM332" s="33"/>
      <c r="DN332" s="33"/>
      <c r="DO332" s="33"/>
      <c r="DP332" s="33"/>
      <c r="DQ332" s="33"/>
      <c r="DR332" s="33"/>
      <c r="DS332" s="33"/>
      <c r="DT332" s="33"/>
      <c r="DU332" s="33"/>
      <c r="DV332" s="33"/>
      <c r="DW332" s="33"/>
      <c r="DX332" s="33"/>
      <c r="DY332" s="33"/>
      <c r="DZ332" s="33"/>
      <c r="EA332" s="33"/>
      <c r="EB332" s="33"/>
      <c r="EC332" s="33"/>
      <c r="ED332" s="33"/>
      <c r="EE332" s="33"/>
      <c r="EF332" s="33"/>
      <c r="EG332" s="33"/>
      <c r="EH332" s="33"/>
      <c r="EI332" s="33"/>
      <c r="EJ332" s="33"/>
      <c r="EK332" s="33"/>
      <c r="EL332" s="33"/>
      <c r="EM332" s="33"/>
      <c r="EN332" s="33"/>
      <c r="EO332" s="33"/>
      <c r="EP332" s="33"/>
      <c r="EQ332" s="33"/>
      <c r="ER332" s="33"/>
      <c r="ES332" s="33"/>
      <c r="ET332" s="33"/>
      <c r="EU332" s="33"/>
      <c r="EV332" s="33"/>
      <c r="EW332" s="33"/>
      <c r="EX332" s="33"/>
      <c r="EY332" s="33"/>
      <c r="EZ332" s="33"/>
      <c r="FA332" s="33"/>
      <c r="FB332" s="33"/>
      <c r="FC332" s="33"/>
      <c r="FD332" s="33"/>
      <c r="FE332" s="33"/>
      <c r="FF332" s="33"/>
      <c r="FG332" s="33"/>
      <c r="FH332" s="33"/>
      <c r="FI332" s="33"/>
      <c r="FJ332" s="33"/>
      <c r="FK332" s="33"/>
      <c r="FL332" s="33"/>
      <c r="FM332" s="33"/>
      <c r="FN332" s="33"/>
      <c r="FO332" s="33"/>
      <c r="FP332" s="33"/>
      <c r="FQ332" s="33"/>
      <c r="FR332" s="33"/>
      <c r="FS332" s="33"/>
      <c r="FT332" s="33"/>
      <c r="FU332" s="33"/>
      <c r="FV332" s="33"/>
      <c r="FW332" s="33"/>
      <c r="FX332" s="33"/>
      <c r="FY332" s="33"/>
      <c r="FZ332" s="33"/>
      <c r="GA332" s="33"/>
      <c r="GB332" s="33"/>
      <c r="GC332" s="33"/>
      <c r="GD332" s="33"/>
      <c r="GE332" s="33"/>
      <c r="GF332" s="33"/>
      <c r="GG332" s="33"/>
      <c r="GH332" s="33"/>
      <c r="GI332" s="33"/>
      <c r="GJ332" s="33"/>
      <c r="GK332" s="33"/>
      <c r="GL332" s="33"/>
      <c r="GM332" s="33"/>
      <c r="GN332" s="33"/>
      <c r="GO332" s="33"/>
      <c r="GP332" s="33"/>
      <c r="GQ332" s="33"/>
      <c r="GR332" s="33"/>
      <c r="GS332" s="33"/>
      <c r="GT332" s="33"/>
      <c r="GU332" s="33"/>
      <c r="GV332" s="33"/>
      <c r="GW332" s="33"/>
      <c r="GX332" s="33"/>
      <c r="GY332" s="33"/>
      <c r="GZ332" s="33"/>
      <c r="HA332" s="33"/>
      <c r="HB332" s="33"/>
      <c r="HC332" s="33"/>
      <c r="HD332" s="33"/>
      <c r="HE332" s="33"/>
      <c r="HF332" s="33"/>
      <c r="HG332" s="33"/>
      <c r="HH332" s="33"/>
      <c r="HI332" s="33"/>
      <c r="HJ332" s="33"/>
      <c r="HK332" s="33"/>
      <c r="HL332" s="33"/>
      <c r="HM332" s="33"/>
      <c r="HN332" s="33"/>
      <c r="HO332" s="33"/>
      <c r="HP332" s="33"/>
      <c r="HQ332" s="33"/>
      <c r="HR332" s="33"/>
      <c r="HS332" s="33"/>
      <c r="HT332" s="33"/>
      <c r="HU332" s="33"/>
      <c r="HV332" s="33"/>
      <c r="HW332" s="33"/>
      <c r="HX332" s="33"/>
      <c r="HY332" s="33"/>
      <c r="HZ332" s="33"/>
      <c r="IA332" s="33"/>
      <c r="IB332" s="33"/>
      <c r="IC332" s="33"/>
      <c r="ID332" s="33"/>
      <c r="IE332" s="33"/>
      <c r="IF332" s="33"/>
      <c r="IG332" s="33"/>
      <c r="IH332" s="33"/>
      <c r="II332" s="33"/>
      <c r="IJ332" s="33"/>
      <c r="IK332" s="33"/>
      <c r="IL332" s="33"/>
      <c r="IM332" s="33"/>
      <c r="IN332" s="33"/>
      <c r="IO332" s="33"/>
      <c r="IP332" s="33"/>
      <c r="IQ332" s="33"/>
      <c r="IR332" s="33"/>
      <c r="IS332" s="33"/>
      <c r="IT332" s="33"/>
      <c r="IU332" s="33"/>
      <c r="IV332" s="33"/>
      <c r="IW332" s="33"/>
      <c r="IX332" s="33"/>
      <c r="IY332" s="33"/>
      <c r="IZ332" s="33"/>
      <c r="JA332" s="33"/>
      <c r="JB332" s="33"/>
      <c r="JC332" s="33"/>
      <c r="JD332" s="33"/>
      <c r="JE332" s="33"/>
      <c r="JF332" s="33"/>
      <c r="JG332" s="33"/>
      <c r="JH332" s="33"/>
      <c r="JI332" s="33"/>
      <c r="JJ332" s="33"/>
      <c r="JK332" s="33"/>
      <c r="JL332" s="33"/>
      <c r="JM332" s="33"/>
      <c r="JN332" s="33"/>
      <c r="JO332" s="33"/>
      <c r="JP332" s="33"/>
      <c r="JQ332" s="33"/>
      <c r="JR332" s="33"/>
      <c r="JU332" s="42">
        <v>1041.2244640000001</v>
      </c>
      <c r="JV332" s="42">
        <v>1795.2950960000005</v>
      </c>
      <c r="JX332" s="42">
        <v>2586.7190720000003</v>
      </c>
      <c r="JY332" s="42">
        <v>65.368352000000016</v>
      </c>
      <c r="KB332" s="42">
        <v>4206.9203680000001</v>
      </c>
      <c r="KC332" s="42">
        <v>964.18319200000019</v>
      </c>
      <c r="KD332" s="42">
        <v>744.73229600000013</v>
      </c>
      <c r="KE332" s="42">
        <v>896.48025600000017</v>
      </c>
      <c r="KF332" s="42">
        <v>1785.9567600000003</v>
      </c>
      <c r="KG332" s="42">
        <v>1340.0512160000003</v>
      </c>
      <c r="KH332" s="42">
        <v>492.59722399999998</v>
      </c>
      <c r="KJ332" s="42">
        <v>1286.3557840000001</v>
      </c>
      <c r="KK332" s="42">
        <v>1300.3632880000005</v>
      </c>
      <c r="KL332" s="42">
        <v>1260.6753600000002</v>
      </c>
      <c r="KN332" s="42">
        <v>943.17193600000019</v>
      </c>
      <c r="KO332" s="42">
        <v>235.79298400000005</v>
      </c>
      <c r="KP332" s="42">
        <v>943.17193600000019</v>
      </c>
      <c r="KQ332" s="42">
        <v>1092.5853119999999</v>
      </c>
      <c r="KZ332" s="33"/>
      <c r="LA332" s="33"/>
      <c r="LB332" s="33"/>
      <c r="LC332" s="33"/>
      <c r="LD332" s="33"/>
      <c r="LE332" s="33"/>
      <c r="LF332" s="33"/>
      <c r="LG332" s="33"/>
      <c r="LH332" s="33"/>
      <c r="LI332" s="33"/>
      <c r="LJ332" s="33"/>
      <c r="LK332" s="33"/>
      <c r="LL332" s="33"/>
      <c r="LM332" s="33"/>
      <c r="LN332" s="33"/>
      <c r="LO332" s="33"/>
      <c r="LP332" s="44"/>
      <c r="LQ332" s="44"/>
      <c r="LR332" s="44"/>
      <c r="LS332" s="44"/>
      <c r="LT332" s="44"/>
      <c r="LU332" s="44"/>
      <c r="LV332" s="44"/>
    </row>
    <row r="333" spans="1:334" x14ac:dyDescent="0.2">
      <c r="A333" s="1" t="s">
        <v>8846</v>
      </c>
      <c r="B333" s="1" t="s">
        <v>8842</v>
      </c>
      <c r="D333" s="1" t="s">
        <v>8847</v>
      </c>
      <c r="E333" s="1" t="s">
        <v>7</v>
      </c>
      <c r="F333" s="1" t="s">
        <v>8848</v>
      </c>
      <c r="J333" s="1" t="s">
        <v>8844</v>
      </c>
      <c r="K333" s="1">
        <v>2009</v>
      </c>
      <c r="L333" s="1" t="s">
        <v>8845</v>
      </c>
      <c r="M333" s="1" t="s">
        <v>7657</v>
      </c>
      <c r="N333" s="17" t="s">
        <v>7945</v>
      </c>
      <c r="O333" s="33"/>
      <c r="P333" s="33">
        <v>353.574207</v>
      </c>
      <c r="Q333" s="33"/>
      <c r="R333" s="33"/>
      <c r="S333" s="33">
        <v>7.03</v>
      </c>
      <c r="T333" s="33"/>
      <c r="U333" s="33"/>
      <c r="V333" s="33"/>
      <c r="W333" s="33"/>
      <c r="X333" s="33"/>
      <c r="Y333" s="33"/>
      <c r="Z333" s="33">
        <v>21.457475999999996</v>
      </c>
      <c r="AA333" s="33"/>
      <c r="AB333" s="33"/>
      <c r="AC333" s="33">
        <v>2.0732309999999998</v>
      </c>
      <c r="AD333" s="33"/>
      <c r="AE333" s="33">
        <v>62.271306000000003</v>
      </c>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33"/>
      <c r="BE333" s="33">
        <v>3.7745819999999997</v>
      </c>
      <c r="BF333" s="33"/>
      <c r="BG333" s="33"/>
      <c r="BH333" s="33"/>
      <c r="BI333" s="33"/>
      <c r="BJ333" s="33"/>
      <c r="BK333" s="33"/>
      <c r="BL333" s="33"/>
      <c r="BM333" s="33"/>
      <c r="BN333" s="33"/>
      <c r="BO333" s="33"/>
      <c r="BP333" s="33"/>
      <c r="BQ333" s="33"/>
      <c r="BR333" s="33"/>
      <c r="BS333" s="33"/>
      <c r="BT333" s="33"/>
      <c r="BU333" s="33"/>
      <c r="BV333" s="33"/>
      <c r="BW333" s="33"/>
      <c r="BX333" s="33"/>
      <c r="BY333" s="33"/>
      <c r="BZ333" s="33"/>
      <c r="CA333" s="33"/>
      <c r="CB333" s="33"/>
      <c r="CC333" s="33"/>
      <c r="CD333" s="33"/>
      <c r="CE333" s="33"/>
      <c r="CF333" s="33"/>
      <c r="CG333" s="33"/>
      <c r="CH333" s="33"/>
      <c r="CI333" s="33"/>
      <c r="CJ333" s="33"/>
      <c r="CK333" s="33"/>
      <c r="CL333" s="33"/>
      <c r="CM333" s="33"/>
      <c r="CN333" s="33"/>
      <c r="CO333" s="33">
        <v>3.3934049999999996</v>
      </c>
      <c r="CP333" s="33"/>
      <c r="CQ333" s="33"/>
      <c r="CR333" s="33"/>
      <c r="CS333" s="33"/>
      <c r="CT333" s="33"/>
      <c r="CU333" s="33"/>
      <c r="CV333" s="33"/>
      <c r="CW333" s="33"/>
      <c r="CX333" s="33"/>
      <c r="CY333" s="33"/>
      <c r="CZ333" s="33"/>
      <c r="DA333" s="33"/>
      <c r="DB333" s="33"/>
      <c r="DC333" s="33"/>
      <c r="DD333" s="33"/>
      <c r="DE333" s="33"/>
      <c r="DF333" s="33"/>
      <c r="DG333" s="33"/>
      <c r="DH333" s="33"/>
      <c r="DI333" s="33"/>
      <c r="DJ333" s="33"/>
      <c r="DK333" s="33"/>
      <c r="DL333" s="33"/>
      <c r="DM333" s="33"/>
      <c r="DN333" s="33"/>
      <c r="DO333" s="33"/>
      <c r="DP333" s="33"/>
      <c r="DQ333" s="33"/>
      <c r="DR333" s="33"/>
      <c r="DS333" s="33"/>
      <c r="DT333" s="33"/>
      <c r="DU333" s="33"/>
      <c r="DV333" s="33"/>
      <c r="DW333" s="33"/>
      <c r="DX333" s="33"/>
      <c r="DY333" s="33"/>
      <c r="DZ333" s="33"/>
      <c r="EA333" s="33"/>
      <c r="EB333" s="33"/>
      <c r="EC333" s="33"/>
      <c r="ED333" s="33"/>
      <c r="EE333" s="33"/>
      <c r="EF333" s="33"/>
      <c r="EG333" s="33"/>
      <c r="EH333" s="33"/>
      <c r="EI333" s="33"/>
      <c r="EJ333" s="33"/>
      <c r="EK333" s="33"/>
      <c r="EL333" s="33"/>
      <c r="EM333" s="33"/>
      <c r="EN333" s="33"/>
      <c r="EO333" s="33"/>
      <c r="EP333" s="33"/>
      <c r="EQ333" s="33"/>
      <c r="ER333" s="33"/>
      <c r="ES333" s="33"/>
      <c r="ET333" s="33"/>
      <c r="EU333" s="33"/>
      <c r="EV333" s="33"/>
      <c r="EW333" s="33"/>
      <c r="EX333" s="33"/>
      <c r="EY333" s="33"/>
      <c r="EZ333" s="33"/>
      <c r="FA333" s="33"/>
      <c r="FB333" s="33"/>
      <c r="FC333" s="33"/>
      <c r="FD333" s="33"/>
      <c r="FE333" s="33"/>
      <c r="FF333" s="33"/>
      <c r="FG333" s="33"/>
      <c r="FH333" s="33"/>
      <c r="FI333" s="33"/>
      <c r="FJ333" s="33"/>
      <c r="FK333" s="33"/>
      <c r="FL333" s="33"/>
      <c r="FM333" s="33"/>
      <c r="FN333" s="33"/>
      <c r="FO333" s="33"/>
      <c r="FP333" s="33"/>
      <c r="FQ333" s="33"/>
      <c r="FR333" s="33"/>
      <c r="FS333" s="33"/>
      <c r="FT333" s="33"/>
      <c r="FU333" s="33"/>
      <c r="FV333" s="33"/>
      <c r="FW333" s="33"/>
      <c r="FX333" s="33"/>
      <c r="FY333" s="33"/>
      <c r="FZ333" s="33"/>
      <c r="GA333" s="33"/>
      <c r="GB333" s="33"/>
      <c r="GC333" s="33"/>
      <c r="GD333" s="33"/>
      <c r="GE333" s="33"/>
      <c r="GF333" s="33"/>
      <c r="GG333" s="33"/>
      <c r="GH333" s="33"/>
      <c r="GI333" s="33"/>
      <c r="GJ333" s="33"/>
      <c r="GK333" s="33"/>
      <c r="GL333" s="33"/>
      <c r="GM333" s="33"/>
      <c r="GN333" s="33"/>
      <c r="GO333" s="33"/>
      <c r="GP333" s="33"/>
      <c r="GQ333" s="33"/>
      <c r="GR333" s="33"/>
      <c r="GS333" s="33"/>
      <c r="GT333" s="33"/>
      <c r="GU333" s="33"/>
      <c r="GV333" s="33"/>
      <c r="GW333" s="33"/>
      <c r="GX333" s="33"/>
      <c r="GY333" s="33"/>
      <c r="GZ333" s="33"/>
      <c r="HA333" s="33"/>
      <c r="HB333" s="33"/>
      <c r="HC333" s="33"/>
      <c r="HD333" s="33"/>
      <c r="HE333" s="33"/>
      <c r="HF333" s="33"/>
      <c r="HG333" s="33"/>
      <c r="HH333" s="33"/>
      <c r="HI333" s="33"/>
      <c r="HJ333" s="33"/>
      <c r="HK333" s="33"/>
      <c r="HL333" s="33"/>
      <c r="HM333" s="33"/>
      <c r="HN333" s="33"/>
      <c r="HO333" s="33"/>
      <c r="HP333" s="33"/>
      <c r="HQ333" s="33"/>
      <c r="HR333" s="33"/>
      <c r="HS333" s="33"/>
      <c r="HT333" s="33"/>
      <c r="HU333" s="33"/>
      <c r="HV333" s="33"/>
      <c r="HW333" s="33"/>
      <c r="HX333" s="33"/>
      <c r="HY333" s="33"/>
      <c r="HZ333" s="33"/>
      <c r="IA333" s="33"/>
      <c r="IB333" s="33"/>
      <c r="IC333" s="33"/>
      <c r="ID333" s="33"/>
      <c r="IE333" s="33"/>
      <c r="IF333" s="33"/>
      <c r="IG333" s="33"/>
      <c r="IH333" s="33"/>
      <c r="II333" s="33"/>
      <c r="IJ333" s="33"/>
      <c r="IK333" s="33"/>
      <c r="IL333" s="33"/>
      <c r="IM333" s="33"/>
      <c r="IN333" s="33"/>
      <c r="IO333" s="33"/>
      <c r="IP333" s="33"/>
      <c r="IQ333" s="33"/>
      <c r="IR333" s="33"/>
      <c r="IS333" s="33"/>
      <c r="IT333" s="33"/>
      <c r="IU333" s="33"/>
      <c r="IV333" s="33"/>
      <c r="IW333" s="33"/>
      <c r="IX333" s="33"/>
      <c r="IY333" s="33"/>
      <c r="IZ333" s="33"/>
      <c r="JA333" s="33"/>
      <c r="JB333" s="33"/>
      <c r="JC333" s="33"/>
      <c r="JD333" s="33"/>
      <c r="JE333" s="33"/>
      <c r="JF333" s="33"/>
      <c r="JG333" s="33"/>
      <c r="JH333" s="33"/>
      <c r="JI333" s="33"/>
      <c r="JJ333" s="33"/>
      <c r="JK333" s="33"/>
      <c r="JL333" s="33"/>
      <c r="JM333" s="33"/>
      <c r="JN333" s="33"/>
      <c r="JO333" s="33"/>
      <c r="JP333" s="33"/>
      <c r="JQ333" s="33"/>
      <c r="JR333" s="33"/>
      <c r="JU333" s="42">
        <v>1115.7887519999999</v>
      </c>
      <c r="JV333" s="42">
        <v>1783.1162555999997</v>
      </c>
      <c r="JX333" s="42">
        <v>2654.2897811999997</v>
      </c>
      <c r="JY333" s="42">
        <v>126.59910839999996</v>
      </c>
      <c r="KB333" s="42">
        <v>4160.6045963999986</v>
      </c>
      <c r="KC333" s="42">
        <v>1130.8089851999998</v>
      </c>
      <c r="KD333" s="42">
        <v>523.56241439999997</v>
      </c>
      <c r="KE333" s="42">
        <v>663.0360083999999</v>
      </c>
      <c r="KF333" s="42">
        <v>1529.9180387999995</v>
      </c>
      <c r="KG333" s="42">
        <v>1371.1327163999995</v>
      </c>
      <c r="KH333" s="42">
        <v>193.11728399999998</v>
      </c>
      <c r="KJ333" s="42">
        <v>1014.9386147999999</v>
      </c>
      <c r="KK333" s="42">
        <v>903.3597395999999</v>
      </c>
      <c r="KL333" s="42">
        <v>1212.3473939999999</v>
      </c>
      <c r="KN333" s="42">
        <v>890.48525399999994</v>
      </c>
      <c r="KO333" s="42">
        <v>184.53429359999998</v>
      </c>
      <c r="KP333" s="42">
        <v>680.20198919999984</v>
      </c>
      <c r="KQ333" s="42">
        <v>1004.2098767999998</v>
      </c>
      <c r="KZ333" s="33"/>
      <c r="LA333" s="33"/>
      <c r="LB333" s="33"/>
      <c r="LC333" s="33"/>
      <c r="LD333" s="33"/>
      <c r="LE333" s="33"/>
      <c r="LF333" s="33"/>
      <c r="LG333" s="33"/>
      <c r="LH333" s="33"/>
      <c r="LI333" s="33"/>
      <c r="LJ333" s="33"/>
      <c r="LK333" s="33"/>
      <c r="LL333" s="33"/>
      <c r="LM333" s="33"/>
      <c r="LN333" s="33"/>
      <c r="LO333" s="33"/>
      <c r="LP333" s="44"/>
      <c r="LQ333" s="44"/>
      <c r="LR333" s="44"/>
      <c r="LS333" s="44"/>
      <c r="LT333" s="44"/>
      <c r="LU333" s="44"/>
      <c r="LV333" s="44"/>
    </row>
    <row r="334" spans="1:334" x14ac:dyDescent="0.2">
      <c r="A334" s="1" t="s">
        <v>8849</v>
      </c>
      <c r="B334" s="1" t="s">
        <v>8850</v>
      </c>
      <c r="D334" s="1" t="s">
        <v>8851</v>
      </c>
      <c r="E334" s="1" t="s">
        <v>7966</v>
      </c>
      <c r="F334" s="1" t="s">
        <v>6263</v>
      </c>
      <c r="I334" s="1">
        <v>12</v>
      </c>
      <c r="K334" s="1">
        <v>1976</v>
      </c>
      <c r="L334" s="1" t="s">
        <v>8852</v>
      </c>
      <c r="M334" s="1" t="s">
        <v>7657</v>
      </c>
      <c r="N334" s="17" t="s">
        <v>7945</v>
      </c>
      <c r="O334" s="33"/>
      <c r="P334" s="33"/>
      <c r="Q334" s="33"/>
      <c r="R334" s="33"/>
      <c r="S334" s="33">
        <v>13.3</v>
      </c>
      <c r="T334" s="33"/>
      <c r="U334" s="33">
        <v>6.25</v>
      </c>
      <c r="V334" s="33"/>
      <c r="W334" s="33"/>
      <c r="X334" s="33"/>
      <c r="Y334" s="33"/>
      <c r="Z334" s="33"/>
      <c r="AA334" s="33">
        <v>21</v>
      </c>
      <c r="AB334" s="33"/>
      <c r="AC334" s="33"/>
      <c r="AD334" s="33">
        <v>1</v>
      </c>
      <c r="AE334" s="33"/>
      <c r="AF334" s="33">
        <v>61.2</v>
      </c>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33"/>
      <c r="BE334" s="33">
        <v>6.7</v>
      </c>
      <c r="BF334" s="33"/>
      <c r="BG334" s="33"/>
      <c r="BH334" s="33"/>
      <c r="BI334" s="33"/>
      <c r="BJ334" s="33"/>
      <c r="BK334" s="33"/>
      <c r="BL334" s="33"/>
      <c r="BM334" s="33"/>
      <c r="BN334" s="33"/>
      <c r="BO334" s="33"/>
      <c r="BP334" s="33"/>
      <c r="BQ334" s="33"/>
      <c r="BR334" s="33"/>
      <c r="BS334" s="33"/>
      <c r="BT334" s="33"/>
      <c r="BU334" s="33"/>
      <c r="BV334" s="33"/>
      <c r="BW334" s="33"/>
      <c r="BX334" s="33"/>
      <c r="BY334" s="33"/>
      <c r="BZ334" s="33"/>
      <c r="CA334" s="33"/>
      <c r="CB334" s="33"/>
      <c r="CC334" s="33"/>
      <c r="CD334" s="33"/>
      <c r="CE334" s="33"/>
      <c r="CF334" s="33"/>
      <c r="CG334" s="33"/>
      <c r="CH334" s="33"/>
      <c r="CI334" s="33"/>
      <c r="CJ334" s="33"/>
      <c r="CK334" s="33"/>
      <c r="CL334" s="33"/>
      <c r="CM334" s="33"/>
      <c r="CN334" s="33"/>
      <c r="CO334" s="33">
        <v>3.5</v>
      </c>
      <c r="CP334" s="33">
        <v>181.2</v>
      </c>
      <c r="CQ334" s="33"/>
      <c r="CR334" s="33">
        <v>0.82</v>
      </c>
      <c r="CS334" s="33">
        <v>6.87</v>
      </c>
      <c r="CT334" s="33"/>
      <c r="CU334" s="33">
        <v>1087.3</v>
      </c>
      <c r="CV334" s="33">
        <v>178.3</v>
      </c>
      <c r="CW334" s="33">
        <v>1.52</v>
      </c>
      <c r="CX334" s="33">
        <v>3.6</v>
      </c>
      <c r="CY334" s="33">
        <v>458</v>
      </c>
      <c r="CZ334" s="33"/>
      <c r="DA334" s="33"/>
      <c r="DB334" s="33"/>
      <c r="DC334" s="33"/>
      <c r="DD334" s="33"/>
      <c r="DE334" s="33"/>
      <c r="DF334" s="33"/>
      <c r="DG334" s="33"/>
      <c r="DH334" s="33"/>
      <c r="DI334" s="33"/>
      <c r="DJ334" s="33"/>
      <c r="DK334" s="33"/>
      <c r="DL334" s="33"/>
      <c r="DM334" s="33"/>
      <c r="DN334" s="33"/>
      <c r="DO334" s="33"/>
      <c r="DP334" s="33"/>
      <c r="DQ334" s="33"/>
      <c r="DR334" s="33"/>
      <c r="DS334" s="33"/>
      <c r="DT334" s="33"/>
      <c r="DU334" s="33"/>
      <c r="DV334" s="33"/>
      <c r="DW334" s="33"/>
      <c r="DX334" s="33"/>
      <c r="DY334" s="33"/>
      <c r="DZ334" s="33"/>
      <c r="EA334" s="33"/>
      <c r="EB334" s="33"/>
      <c r="EC334" s="33"/>
      <c r="ED334" s="33"/>
      <c r="EE334" s="33"/>
      <c r="EF334" s="33"/>
      <c r="EG334" s="33"/>
      <c r="EH334" s="33"/>
      <c r="EI334" s="33"/>
      <c r="EJ334" s="33"/>
      <c r="EK334" s="33"/>
      <c r="EL334" s="33"/>
      <c r="EM334" s="33"/>
      <c r="EN334" s="33"/>
      <c r="EO334" s="33"/>
      <c r="EP334" s="33"/>
      <c r="EQ334" s="33"/>
      <c r="ER334" s="33"/>
      <c r="ES334" s="33"/>
      <c r="ET334" s="33"/>
      <c r="EU334" s="33"/>
      <c r="EV334" s="33"/>
      <c r="EW334" s="33"/>
      <c r="EX334" s="33"/>
      <c r="EY334" s="33"/>
      <c r="EZ334" s="33"/>
      <c r="FA334" s="33"/>
      <c r="FB334" s="33"/>
      <c r="FC334" s="33"/>
      <c r="FD334" s="33"/>
      <c r="FE334" s="33"/>
      <c r="FF334" s="33"/>
      <c r="FG334" s="33"/>
      <c r="FH334" s="33"/>
      <c r="FI334" s="33"/>
      <c r="FJ334" s="33"/>
      <c r="FK334" s="33"/>
      <c r="FL334" s="33"/>
      <c r="FM334" s="33"/>
      <c r="FN334" s="33"/>
      <c r="FO334" s="33"/>
      <c r="FP334" s="33"/>
      <c r="FQ334" s="33"/>
      <c r="FR334" s="33"/>
      <c r="FS334" s="33"/>
      <c r="FT334" s="33"/>
      <c r="FU334" s="33"/>
      <c r="FV334" s="33"/>
      <c r="FW334" s="33"/>
      <c r="FX334" s="33"/>
      <c r="FY334" s="33"/>
      <c r="FZ334" s="33"/>
      <c r="GA334" s="33"/>
      <c r="GB334" s="33"/>
      <c r="GC334" s="33"/>
      <c r="GD334" s="33"/>
      <c r="GE334" s="33"/>
      <c r="GF334" s="33"/>
      <c r="GG334" s="33"/>
      <c r="GH334" s="33"/>
      <c r="GI334" s="33"/>
      <c r="GJ334" s="33"/>
      <c r="GK334" s="33"/>
      <c r="GL334" s="33"/>
      <c r="GM334" s="33"/>
      <c r="GN334" s="33"/>
      <c r="GO334" s="33"/>
      <c r="GP334" s="33"/>
      <c r="GQ334" s="33"/>
      <c r="GR334" s="33"/>
      <c r="GS334" s="33"/>
      <c r="GT334" s="33"/>
      <c r="GU334" s="33"/>
      <c r="GV334" s="33"/>
      <c r="GW334" s="33"/>
      <c r="GX334" s="33"/>
      <c r="GY334" s="33"/>
      <c r="GZ334" s="33"/>
      <c r="HA334" s="33"/>
      <c r="HB334" s="33"/>
      <c r="HC334" s="33"/>
      <c r="HD334" s="33"/>
      <c r="HE334" s="33"/>
      <c r="HF334" s="33"/>
      <c r="HG334" s="33"/>
      <c r="HH334" s="33"/>
      <c r="HI334" s="33"/>
      <c r="HJ334" s="33"/>
      <c r="HK334" s="33"/>
      <c r="HL334" s="33"/>
      <c r="HM334" s="33"/>
      <c r="HN334" s="33"/>
      <c r="HO334" s="33"/>
      <c r="HP334" s="33"/>
      <c r="HQ334" s="33"/>
      <c r="HR334" s="33"/>
      <c r="HS334" s="33"/>
      <c r="HT334" s="33"/>
      <c r="HU334" s="33"/>
      <c r="HV334" s="33"/>
      <c r="HW334" s="33"/>
      <c r="HX334" s="33"/>
      <c r="HY334" s="33"/>
      <c r="HZ334" s="33"/>
      <c r="IA334" s="33"/>
      <c r="IB334" s="33"/>
      <c r="IC334" s="33"/>
      <c r="ID334" s="33"/>
      <c r="IE334" s="33"/>
      <c r="IF334" s="33"/>
      <c r="IG334" s="33"/>
      <c r="IH334" s="33"/>
      <c r="II334" s="33"/>
      <c r="IJ334" s="33"/>
      <c r="IK334" s="33"/>
      <c r="IL334" s="33"/>
      <c r="IM334" s="33"/>
      <c r="IN334" s="33"/>
      <c r="IO334" s="33"/>
      <c r="IP334" s="33"/>
      <c r="IQ334" s="33"/>
      <c r="IR334" s="33"/>
      <c r="IS334" s="33"/>
      <c r="IT334" s="33"/>
      <c r="IU334" s="33"/>
      <c r="IV334" s="33"/>
      <c r="IW334" s="33"/>
      <c r="IX334" s="33"/>
      <c r="IY334" s="33"/>
      <c r="IZ334" s="33"/>
      <c r="JA334" s="33"/>
      <c r="JB334" s="33"/>
      <c r="JC334" s="33"/>
      <c r="JD334" s="33"/>
      <c r="JE334" s="33"/>
      <c r="JF334" s="33"/>
      <c r="JG334" s="33"/>
      <c r="JH334" s="33"/>
      <c r="JI334" s="33"/>
      <c r="JJ334" s="33"/>
      <c r="JK334" s="33"/>
      <c r="JL334" s="33"/>
      <c r="JM334" s="33"/>
      <c r="JN334" s="33"/>
      <c r="JO334" s="33"/>
      <c r="JP334" s="33"/>
      <c r="JQ334" s="33"/>
      <c r="JR334" s="33"/>
      <c r="KZ334" s="33"/>
      <c r="LA334" s="33"/>
      <c r="LB334" s="33"/>
      <c r="LC334" s="33"/>
      <c r="LD334" s="33"/>
      <c r="LE334" s="33"/>
      <c r="LF334" s="33"/>
      <c r="LG334" s="33"/>
      <c r="LH334" s="33"/>
      <c r="LI334" s="33"/>
      <c r="LJ334" s="33"/>
      <c r="LK334" s="33"/>
      <c r="LL334" s="33"/>
      <c r="LM334" s="33"/>
      <c r="LN334" s="33"/>
      <c r="LO334" s="33"/>
      <c r="LP334" s="44"/>
      <c r="LQ334" s="44"/>
      <c r="LR334" s="44"/>
      <c r="LS334" s="44"/>
      <c r="LT334" s="44"/>
      <c r="LU334" s="44"/>
      <c r="LV334" s="44"/>
    </row>
    <row r="335" spans="1:334" x14ac:dyDescent="0.2">
      <c r="A335" s="1" t="s">
        <v>8853</v>
      </c>
      <c r="B335" s="1" t="s">
        <v>8850</v>
      </c>
      <c r="D335" s="1" t="s">
        <v>8854</v>
      </c>
      <c r="E335" s="1" t="s">
        <v>7966</v>
      </c>
      <c r="F335" s="1" t="s">
        <v>8855</v>
      </c>
      <c r="I335" s="1">
        <v>12</v>
      </c>
      <c r="K335" s="1">
        <v>1976</v>
      </c>
      <c r="L335" s="1" t="s">
        <v>8852</v>
      </c>
      <c r="M335" s="1" t="s">
        <v>7657</v>
      </c>
      <c r="N335" s="17" t="s">
        <v>7945</v>
      </c>
      <c r="O335" s="33"/>
      <c r="P335" s="33"/>
      <c r="Q335" s="33"/>
      <c r="R335" s="33"/>
      <c r="S335" s="33">
        <v>13.3</v>
      </c>
      <c r="T335" s="33"/>
      <c r="U335" s="33">
        <v>6.25</v>
      </c>
      <c r="V335" s="33"/>
      <c r="W335" s="33"/>
      <c r="X335" s="33"/>
      <c r="Y335" s="33"/>
      <c r="Z335" s="33"/>
      <c r="AA335" s="33">
        <v>20.399999999999999</v>
      </c>
      <c r="AB335" s="33"/>
      <c r="AC335" s="33"/>
      <c r="AD335" s="33">
        <v>0.8</v>
      </c>
      <c r="AE335" s="33"/>
      <c r="AF335" s="33">
        <v>62.1</v>
      </c>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33"/>
      <c r="BE335" s="33">
        <v>6</v>
      </c>
      <c r="BF335" s="33"/>
      <c r="BG335" s="33"/>
      <c r="BH335" s="33"/>
      <c r="BI335" s="33"/>
      <c r="BJ335" s="33"/>
      <c r="BK335" s="33"/>
      <c r="BL335" s="33"/>
      <c r="BM335" s="33"/>
      <c r="BN335" s="33"/>
      <c r="BO335" s="33"/>
      <c r="BP335" s="33"/>
      <c r="BQ335" s="33"/>
      <c r="BR335" s="33"/>
      <c r="BS335" s="33"/>
      <c r="BT335" s="33"/>
      <c r="BU335" s="33"/>
      <c r="BV335" s="33"/>
      <c r="BW335" s="33"/>
      <c r="BX335" s="33"/>
      <c r="BY335" s="33"/>
      <c r="BZ335" s="33"/>
      <c r="CA335" s="33"/>
      <c r="CB335" s="33"/>
      <c r="CC335" s="33"/>
      <c r="CD335" s="33"/>
      <c r="CE335" s="33"/>
      <c r="CF335" s="33"/>
      <c r="CG335" s="33"/>
      <c r="CH335" s="33"/>
      <c r="CI335" s="33"/>
      <c r="CJ335" s="33"/>
      <c r="CK335" s="33"/>
      <c r="CL335" s="33"/>
      <c r="CM335" s="33"/>
      <c r="CN335" s="33"/>
      <c r="CO335" s="33">
        <v>3.4</v>
      </c>
      <c r="CP335" s="33">
        <v>76.099999999999994</v>
      </c>
      <c r="CQ335" s="33"/>
      <c r="CR335" s="33">
        <v>0.64</v>
      </c>
      <c r="CS335" s="33">
        <v>6.79</v>
      </c>
      <c r="CT335" s="33"/>
      <c r="CU335" s="33">
        <v>1157.7</v>
      </c>
      <c r="CV335" s="33">
        <v>163.6</v>
      </c>
      <c r="CW335" s="33">
        <v>1.64</v>
      </c>
      <c r="CX335" s="33">
        <v>3.76</v>
      </c>
      <c r="CY335" s="33">
        <v>397</v>
      </c>
      <c r="CZ335" s="33"/>
      <c r="DA335" s="33"/>
      <c r="DB335" s="33"/>
      <c r="DC335" s="33"/>
      <c r="DD335" s="33"/>
      <c r="DE335" s="33"/>
      <c r="DF335" s="33"/>
      <c r="DG335" s="33"/>
      <c r="DH335" s="33"/>
      <c r="DI335" s="33"/>
      <c r="DJ335" s="33"/>
      <c r="DK335" s="33"/>
      <c r="DL335" s="33"/>
      <c r="DM335" s="33"/>
      <c r="DN335" s="33"/>
      <c r="DO335" s="33"/>
      <c r="DP335" s="33"/>
      <c r="DQ335" s="33"/>
      <c r="DR335" s="33"/>
      <c r="DS335" s="33"/>
      <c r="DT335" s="33"/>
      <c r="DU335" s="33"/>
      <c r="DV335" s="33"/>
      <c r="DW335" s="33"/>
      <c r="DX335" s="33"/>
      <c r="DY335" s="33"/>
      <c r="DZ335" s="33"/>
      <c r="EA335" s="33"/>
      <c r="EB335" s="33"/>
      <c r="EC335" s="33"/>
      <c r="ED335" s="33"/>
      <c r="EE335" s="33"/>
      <c r="EF335" s="33"/>
      <c r="EG335" s="33"/>
      <c r="EH335" s="33"/>
      <c r="EI335" s="33"/>
      <c r="EJ335" s="33"/>
      <c r="EK335" s="33"/>
      <c r="EL335" s="33"/>
      <c r="EM335" s="33"/>
      <c r="EN335" s="33"/>
      <c r="EO335" s="33"/>
      <c r="EP335" s="33"/>
      <c r="EQ335" s="33"/>
      <c r="ER335" s="33"/>
      <c r="ES335" s="33"/>
      <c r="ET335" s="33"/>
      <c r="EU335" s="33"/>
      <c r="EV335" s="33"/>
      <c r="EW335" s="33"/>
      <c r="EX335" s="33"/>
      <c r="EY335" s="33"/>
      <c r="EZ335" s="33"/>
      <c r="FA335" s="33"/>
      <c r="FB335" s="33"/>
      <c r="FC335" s="33"/>
      <c r="FD335" s="33"/>
      <c r="FE335" s="33"/>
      <c r="FF335" s="33"/>
      <c r="FG335" s="33"/>
      <c r="FH335" s="33"/>
      <c r="FI335" s="33"/>
      <c r="FJ335" s="33"/>
      <c r="FK335" s="33"/>
      <c r="FL335" s="33"/>
      <c r="FM335" s="33"/>
      <c r="FN335" s="33"/>
      <c r="FO335" s="33"/>
      <c r="FP335" s="33"/>
      <c r="FQ335" s="33"/>
      <c r="FR335" s="33"/>
      <c r="FS335" s="33"/>
      <c r="FT335" s="33"/>
      <c r="FU335" s="33"/>
      <c r="FV335" s="33"/>
      <c r="FW335" s="33"/>
      <c r="FX335" s="33"/>
      <c r="FY335" s="33"/>
      <c r="FZ335" s="33"/>
      <c r="GA335" s="33"/>
      <c r="GB335" s="33"/>
      <c r="GC335" s="33"/>
      <c r="GD335" s="33"/>
      <c r="GE335" s="33"/>
      <c r="GF335" s="33"/>
      <c r="GG335" s="33"/>
      <c r="GH335" s="33"/>
      <c r="GI335" s="33"/>
      <c r="GJ335" s="33"/>
      <c r="GK335" s="33"/>
      <c r="GL335" s="33"/>
      <c r="GM335" s="33"/>
      <c r="GN335" s="33"/>
      <c r="GO335" s="33"/>
      <c r="GP335" s="33"/>
      <c r="GQ335" s="33"/>
      <c r="GR335" s="33"/>
      <c r="GS335" s="33"/>
      <c r="GT335" s="33"/>
      <c r="GU335" s="33"/>
      <c r="GV335" s="33"/>
      <c r="GW335" s="33"/>
      <c r="GX335" s="33"/>
      <c r="GY335" s="33"/>
      <c r="GZ335" s="33"/>
      <c r="HA335" s="33"/>
      <c r="HB335" s="33"/>
      <c r="HC335" s="33"/>
      <c r="HD335" s="33"/>
      <c r="HE335" s="33"/>
      <c r="HF335" s="33"/>
      <c r="HG335" s="33"/>
      <c r="HH335" s="33"/>
      <c r="HI335" s="33"/>
      <c r="HJ335" s="33"/>
      <c r="HK335" s="33"/>
      <c r="HL335" s="33"/>
      <c r="HM335" s="33"/>
      <c r="HN335" s="33"/>
      <c r="HO335" s="33"/>
      <c r="HP335" s="33"/>
      <c r="HQ335" s="33"/>
      <c r="HR335" s="33"/>
      <c r="HS335" s="33"/>
      <c r="HT335" s="33"/>
      <c r="HU335" s="33"/>
      <c r="HV335" s="33"/>
      <c r="HW335" s="33"/>
      <c r="HX335" s="33"/>
      <c r="HY335" s="33"/>
      <c r="HZ335" s="33"/>
      <c r="IA335" s="33"/>
      <c r="IB335" s="33"/>
      <c r="IC335" s="33"/>
      <c r="ID335" s="33"/>
      <c r="IE335" s="33"/>
      <c r="IF335" s="33"/>
      <c r="IG335" s="33"/>
      <c r="IH335" s="33"/>
      <c r="II335" s="33"/>
      <c r="IJ335" s="33"/>
      <c r="IK335" s="33"/>
      <c r="IL335" s="33"/>
      <c r="IM335" s="33"/>
      <c r="IN335" s="33"/>
      <c r="IO335" s="33"/>
      <c r="IP335" s="33"/>
      <c r="IQ335" s="33"/>
      <c r="IR335" s="33"/>
      <c r="IS335" s="33"/>
      <c r="IT335" s="33"/>
      <c r="IU335" s="33"/>
      <c r="IV335" s="33"/>
      <c r="IW335" s="33"/>
      <c r="IX335" s="33"/>
      <c r="IY335" s="33"/>
      <c r="IZ335" s="33"/>
      <c r="JA335" s="33"/>
      <c r="JB335" s="33"/>
      <c r="JC335" s="33"/>
      <c r="JD335" s="33"/>
      <c r="JE335" s="33"/>
      <c r="JF335" s="33"/>
      <c r="JG335" s="33"/>
      <c r="JH335" s="33"/>
      <c r="JI335" s="33"/>
      <c r="JJ335" s="33"/>
      <c r="JK335" s="33"/>
      <c r="JL335" s="33"/>
      <c r="JM335" s="33"/>
      <c r="JN335" s="33"/>
      <c r="JO335" s="33"/>
      <c r="JP335" s="33"/>
      <c r="JQ335" s="33"/>
      <c r="JR335" s="33"/>
      <c r="KZ335" s="33"/>
      <c r="LA335" s="33"/>
      <c r="LB335" s="33"/>
      <c r="LC335" s="33"/>
      <c r="LD335" s="33"/>
      <c r="LE335" s="33"/>
      <c r="LF335" s="33"/>
      <c r="LG335" s="33"/>
      <c r="LH335" s="33"/>
      <c r="LI335" s="33"/>
      <c r="LJ335" s="33"/>
      <c r="LK335" s="33"/>
      <c r="LL335" s="33"/>
      <c r="LM335" s="33"/>
      <c r="LN335" s="33"/>
      <c r="LO335" s="33"/>
      <c r="LP335" s="44"/>
      <c r="LQ335" s="44"/>
      <c r="LR335" s="44"/>
      <c r="LS335" s="44"/>
      <c r="LT335" s="44"/>
      <c r="LU335" s="44"/>
      <c r="LV335" s="44"/>
    </row>
    <row r="336" spans="1:334" x14ac:dyDescent="0.2">
      <c r="A336" s="1" t="s">
        <v>8856</v>
      </c>
      <c r="B336" s="1" t="s">
        <v>8850</v>
      </c>
      <c r="D336" s="1" t="s">
        <v>8857</v>
      </c>
      <c r="E336" s="1" t="s">
        <v>7966</v>
      </c>
      <c r="F336" s="1" t="s">
        <v>8855</v>
      </c>
      <c r="I336" s="1">
        <v>12</v>
      </c>
      <c r="K336" s="1">
        <v>1976</v>
      </c>
      <c r="L336" s="1" t="s">
        <v>8852</v>
      </c>
      <c r="M336" s="1" t="s">
        <v>7657</v>
      </c>
      <c r="N336" s="17" t="s">
        <v>7945</v>
      </c>
      <c r="O336" s="33"/>
      <c r="P336" s="33"/>
      <c r="Q336" s="33"/>
      <c r="R336" s="33"/>
      <c r="S336" s="33">
        <v>8.9</v>
      </c>
      <c r="T336" s="33"/>
      <c r="U336" s="33">
        <v>6.25</v>
      </c>
      <c r="V336" s="33"/>
      <c r="W336" s="33"/>
      <c r="X336" s="33"/>
      <c r="Y336" s="33"/>
      <c r="Z336" s="33"/>
      <c r="AA336" s="33">
        <v>22.3</v>
      </c>
      <c r="AB336" s="33"/>
      <c r="AC336" s="33"/>
      <c r="AD336" s="33">
        <v>0.8</v>
      </c>
      <c r="AE336" s="33"/>
      <c r="AF336" s="33">
        <v>63.8</v>
      </c>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c r="BC336" s="33"/>
      <c r="BD336" s="33"/>
      <c r="BE336" s="33">
        <v>7.4</v>
      </c>
      <c r="BF336" s="33"/>
      <c r="BG336" s="33"/>
      <c r="BH336" s="33"/>
      <c r="BI336" s="33"/>
      <c r="BJ336" s="33"/>
      <c r="BK336" s="33"/>
      <c r="BL336" s="33"/>
      <c r="BM336" s="33"/>
      <c r="BN336" s="33"/>
      <c r="BO336" s="33"/>
      <c r="BP336" s="33"/>
      <c r="BQ336" s="33"/>
      <c r="BR336" s="33"/>
      <c r="BS336" s="33"/>
      <c r="BT336" s="33"/>
      <c r="BU336" s="33"/>
      <c r="BV336" s="33"/>
      <c r="BW336" s="33"/>
      <c r="BX336" s="33"/>
      <c r="BY336" s="33"/>
      <c r="BZ336" s="33"/>
      <c r="CA336" s="33"/>
      <c r="CB336" s="33"/>
      <c r="CC336" s="33"/>
      <c r="CD336" s="33"/>
      <c r="CE336" s="33"/>
      <c r="CF336" s="33"/>
      <c r="CG336" s="33"/>
      <c r="CH336" s="33"/>
      <c r="CI336" s="33"/>
      <c r="CJ336" s="33"/>
      <c r="CK336" s="33"/>
      <c r="CL336" s="33"/>
      <c r="CM336" s="33"/>
      <c r="CN336" s="33"/>
      <c r="CO336" s="33">
        <v>4.2</v>
      </c>
      <c r="CP336" s="33">
        <v>57.2</v>
      </c>
      <c r="CQ336" s="33"/>
      <c r="CR336" s="33">
        <v>0.84</v>
      </c>
      <c r="CS336" s="33">
        <v>8.2799999999999994</v>
      </c>
      <c r="CT336" s="33"/>
      <c r="CU336" s="33">
        <v>1630.6</v>
      </c>
      <c r="CV336" s="33">
        <v>182.5</v>
      </c>
      <c r="CW336" s="33">
        <v>1.85</v>
      </c>
      <c r="CX336" s="33">
        <v>1.9</v>
      </c>
      <c r="CY336" s="33">
        <v>440</v>
      </c>
      <c r="CZ336" s="33"/>
      <c r="DA336" s="33"/>
      <c r="DB336" s="33"/>
      <c r="DC336" s="33"/>
      <c r="DD336" s="33"/>
      <c r="DE336" s="33"/>
      <c r="DF336" s="33"/>
      <c r="DG336" s="33"/>
      <c r="DH336" s="33"/>
      <c r="DI336" s="33"/>
      <c r="DJ336" s="33"/>
      <c r="DK336" s="33"/>
      <c r="DL336" s="33"/>
      <c r="DM336" s="33"/>
      <c r="DN336" s="33"/>
      <c r="DO336" s="33"/>
      <c r="DP336" s="33"/>
      <c r="DQ336" s="33"/>
      <c r="DR336" s="33"/>
      <c r="DS336" s="33"/>
      <c r="DT336" s="33"/>
      <c r="DU336" s="33"/>
      <c r="DV336" s="33"/>
      <c r="DW336" s="33"/>
      <c r="DX336" s="33"/>
      <c r="DY336" s="33"/>
      <c r="DZ336" s="33"/>
      <c r="EA336" s="33"/>
      <c r="EB336" s="33"/>
      <c r="EC336" s="33"/>
      <c r="ED336" s="33"/>
      <c r="EE336" s="33"/>
      <c r="EF336" s="33"/>
      <c r="EG336" s="33"/>
      <c r="EH336" s="33"/>
      <c r="EI336" s="33"/>
      <c r="EJ336" s="33"/>
      <c r="EK336" s="33"/>
      <c r="EL336" s="33"/>
      <c r="EM336" s="33"/>
      <c r="EN336" s="33"/>
      <c r="EO336" s="33"/>
      <c r="EP336" s="33"/>
      <c r="EQ336" s="33"/>
      <c r="ER336" s="33"/>
      <c r="ES336" s="33"/>
      <c r="ET336" s="33"/>
      <c r="EU336" s="33"/>
      <c r="EV336" s="33"/>
      <c r="EW336" s="33"/>
      <c r="EX336" s="33"/>
      <c r="EY336" s="33"/>
      <c r="EZ336" s="33"/>
      <c r="FA336" s="33"/>
      <c r="FB336" s="33"/>
      <c r="FC336" s="33"/>
      <c r="FD336" s="33"/>
      <c r="FE336" s="33"/>
      <c r="FF336" s="33"/>
      <c r="FG336" s="33"/>
      <c r="FH336" s="33"/>
      <c r="FI336" s="33"/>
      <c r="FJ336" s="33"/>
      <c r="FK336" s="33"/>
      <c r="FL336" s="33"/>
      <c r="FM336" s="33"/>
      <c r="FN336" s="33"/>
      <c r="FO336" s="33"/>
      <c r="FP336" s="33"/>
      <c r="FQ336" s="33"/>
      <c r="FR336" s="33"/>
      <c r="FS336" s="33"/>
      <c r="FT336" s="33"/>
      <c r="FU336" s="33"/>
      <c r="FV336" s="33"/>
      <c r="FW336" s="33"/>
      <c r="FX336" s="33"/>
      <c r="FY336" s="33"/>
      <c r="FZ336" s="33"/>
      <c r="GA336" s="33"/>
      <c r="GB336" s="33"/>
      <c r="GC336" s="33"/>
      <c r="GD336" s="33"/>
      <c r="GE336" s="33"/>
      <c r="GF336" s="33"/>
      <c r="GG336" s="33"/>
      <c r="GH336" s="33"/>
      <c r="GI336" s="33"/>
      <c r="GJ336" s="33"/>
      <c r="GK336" s="33"/>
      <c r="GL336" s="33"/>
      <c r="GM336" s="33"/>
      <c r="GN336" s="33"/>
      <c r="GO336" s="33"/>
      <c r="GP336" s="33"/>
      <c r="GQ336" s="33"/>
      <c r="GR336" s="33"/>
      <c r="GS336" s="33"/>
      <c r="GT336" s="33"/>
      <c r="GU336" s="33"/>
      <c r="GV336" s="33"/>
      <c r="GW336" s="33"/>
      <c r="GX336" s="33"/>
      <c r="GY336" s="33"/>
      <c r="GZ336" s="33"/>
      <c r="HA336" s="33"/>
      <c r="HB336" s="33"/>
      <c r="HC336" s="33"/>
      <c r="HD336" s="33"/>
      <c r="HE336" s="33"/>
      <c r="HF336" s="33"/>
      <c r="HG336" s="33"/>
      <c r="HH336" s="33"/>
      <c r="HI336" s="33"/>
      <c r="HJ336" s="33"/>
      <c r="HK336" s="33"/>
      <c r="HL336" s="33"/>
      <c r="HM336" s="33"/>
      <c r="HN336" s="33"/>
      <c r="HO336" s="33"/>
      <c r="HP336" s="33"/>
      <c r="HQ336" s="33"/>
      <c r="HR336" s="33"/>
      <c r="HS336" s="33"/>
      <c r="HT336" s="33"/>
      <c r="HU336" s="33"/>
      <c r="HV336" s="33"/>
      <c r="HW336" s="33"/>
      <c r="HX336" s="33"/>
      <c r="HY336" s="33"/>
      <c r="HZ336" s="33"/>
      <c r="IA336" s="33"/>
      <c r="IB336" s="33"/>
      <c r="IC336" s="33"/>
      <c r="ID336" s="33"/>
      <c r="IE336" s="33"/>
      <c r="IF336" s="33"/>
      <c r="IG336" s="33"/>
      <c r="IH336" s="33"/>
      <c r="II336" s="33"/>
      <c r="IJ336" s="33"/>
      <c r="IK336" s="33"/>
      <c r="IL336" s="33"/>
      <c r="IM336" s="33"/>
      <c r="IN336" s="33"/>
      <c r="IO336" s="33"/>
      <c r="IP336" s="33"/>
      <c r="IQ336" s="33"/>
      <c r="IR336" s="33"/>
      <c r="IS336" s="33"/>
      <c r="IT336" s="33"/>
      <c r="IU336" s="33"/>
      <c r="IV336" s="33"/>
      <c r="IW336" s="33"/>
      <c r="IX336" s="33"/>
      <c r="IY336" s="33"/>
      <c r="IZ336" s="33"/>
      <c r="JA336" s="33"/>
      <c r="JB336" s="33"/>
      <c r="JC336" s="33"/>
      <c r="JD336" s="33"/>
      <c r="JE336" s="33"/>
      <c r="JF336" s="33"/>
      <c r="JG336" s="33"/>
      <c r="JH336" s="33"/>
      <c r="JI336" s="33"/>
      <c r="JJ336" s="33"/>
      <c r="JK336" s="33"/>
      <c r="JL336" s="33"/>
      <c r="JM336" s="33"/>
      <c r="JN336" s="33"/>
      <c r="JO336" s="33"/>
      <c r="JP336" s="33"/>
      <c r="JQ336" s="33"/>
      <c r="JR336" s="33"/>
      <c r="KZ336" s="33"/>
      <c r="LA336" s="33"/>
      <c r="LB336" s="33"/>
      <c r="LC336" s="33"/>
      <c r="LD336" s="33"/>
      <c r="LE336" s="33"/>
      <c r="LF336" s="33"/>
      <c r="LG336" s="33"/>
      <c r="LH336" s="33"/>
      <c r="LI336" s="33"/>
      <c r="LJ336" s="33"/>
      <c r="LK336" s="33"/>
      <c r="LL336" s="33"/>
      <c r="LM336" s="33"/>
      <c r="LN336" s="33"/>
      <c r="LO336" s="33"/>
      <c r="LP336" s="44"/>
      <c r="LQ336" s="44"/>
      <c r="LR336" s="44"/>
      <c r="LS336" s="44"/>
      <c r="LT336" s="44"/>
      <c r="LU336" s="44"/>
      <c r="LV336" s="44"/>
    </row>
    <row r="337" spans="1:334" x14ac:dyDescent="0.2">
      <c r="A337" s="1" t="s">
        <v>8858</v>
      </c>
      <c r="B337" s="1" t="s">
        <v>8850</v>
      </c>
      <c r="D337" s="1" t="s">
        <v>8859</v>
      </c>
      <c r="E337" s="1" t="s">
        <v>7966</v>
      </c>
      <c r="F337" s="1" t="s">
        <v>8860</v>
      </c>
      <c r="I337" s="1">
        <v>12</v>
      </c>
      <c r="K337" s="1">
        <v>1976</v>
      </c>
      <c r="L337" s="1" t="s">
        <v>8852</v>
      </c>
      <c r="M337" s="1" t="s">
        <v>7657</v>
      </c>
      <c r="N337" s="17" t="s">
        <v>7945</v>
      </c>
      <c r="O337" s="33"/>
      <c r="P337" s="33"/>
      <c r="Q337" s="33"/>
      <c r="R337" s="33"/>
      <c r="S337" s="33">
        <v>16.2</v>
      </c>
      <c r="T337" s="33"/>
      <c r="U337" s="33">
        <v>6.25</v>
      </c>
      <c r="V337" s="33"/>
      <c r="W337" s="33"/>
      <c r="X337" s="33"/>
      <c r="Y337" s="33"/>
      <c r="Z337" s="33"/>
      <c r="AA337" s="33">
        <v>21.2</v>
      </c>
      <c r="AB337" s="33"/>
      <c r="AC337" s="33"/>
      <c r="AD337" s="33">
        <v>1.3</v>
      </c>
      <c r="AE337" s="33"/>
      <c r="AF337" s="33">
        <v>58.2</v>
      </c>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c r="BC337" s="33"/>
      <c r="BD337" s="33"/>
      <c r="BE337" s="33">
        <v>6</v>
      </c>
      <c r="BF337" s="33"/>
      <c r="BG337" s="33"/>
      <c r="BH337" s="33"/>
      <c r="BI337" s="33"/>
      <c r="BJ337" s="33"/>
      <c r="BK337" s="33"/>
      <c r="BL337" s="33"/>
      <c r="BM337" s="33"/>
      <c r="BN337" s="33"/>
      <c r="BO337" s="33"/>
      <c r="BP337" s="33"/>
      <c r="BQ337" s="33"/>
      <c r="BR337" s="33"/>
      <c r="BS337" s="33"/>
      <c r="BT337" s="33"/>
      <c r="BU337" s="33"/>
      <c r="BV337" s="33"/>
      <c r="BW337" s="33"/>
      <c r="BX337" s="33"/>
      <c r="BY337" s="33"/>
      <c r="BZ337" s="33"/>
      <c r="CA337" s="33"/>
      <c r="CB337" s="33"/>
      <c r="CC337" s="33"/>
      <c r="CD337" s="33"/>
      <c r="CE337" s="33"/>
      <c r="CF337" s="33"/>
      <c r="CG337" s="33"/>
      <c r="CH337" s="33"/>
      <c r="CI337" s="33"/>
      <c r="CJ337" s="33"/>
      <c r="CK337" s="33"/>
      <c r="CL337" s="33"/>
      <c r="CM337" s="33"/>
      <c r="CN337" s="33"/>
      <c r="CO337" s="33">
        <v>3.1</v>
      </c>
      <c r="CP337" s="33">
        <v>69</v>
      </c>
      <c r="CQ337" s="33"/>
      <c r="CR337" s="33">
        <v>0.91</v>
      </c>
      <c r="CS337" s="33">
        <v>7.97</v>
      </c>
      <c r="CT337" s="33"/>
      <c r="CU337" s="33">
        <v>838.3</v>
      </c>
      <c r="CV337" s="33">
        <v>206.3</v>
      </c>
      <c r="CW337" s="33">
        <v>1.25</v>
      </c>
      <c r="CX337" s="33">
        <v>8.39</v>
      </c>
      <c r="CY337" s="33">
        <v>518</v>
      </c>
      <c r="CZ337" s="33"/>
      <c r="DA337" s="33"/>
      <c r="DB337" s="33"/>
      <c r="DC337" s="33"/>
      <c r="DD337" s="33"/>
      <c r="DE337" s="33"/>
      <c r="DF337" s="33"/>
      <c r="DG337" s="33"/>
      <c r="DH337" s="33"/>
      <c r="DI337" s="33"/>
      <c r="DJ337" s="33"/>
      <c r="DK337" s="33"/>
      <c r="DL337" s="33"/>
      <c r="DM337" s="33"/>
      <c r="DN337" s="33"/>
      <c r="DO337" s="33"/>
      <c r="DP337" s="33"/>
      <c r="DQ337" s="33"/>
      <c r="DR337" s="33"/>
      <c r="DS337" s="33"/>
      <c r="DT337" s="33"/>
      <c r="DU337" s="33"/>
      <c r="DV337" s="33"/>
      <c r="DW337" s="33"/>
      <c r="DX337" s="33"/>
      <c r="DY337" s="33"/>
      <c r="DZ337" s="33"/>
      <c r="EA337" s="33"/>
      <c r="EB337" s="33"/>
      <c r="EC337" s="33"/>
      <c r="ED337" s="33"/>
      <c r="EE337" s="33"/>
      <c r="EF337" s="33"/>
      <c r="EG337" s="33"/>
      <c r="EH337" s="33"/>
      <c r="EI337" s="33"/>
      <c r="EJ337" s="33"/>
      <c r="EK337" s="33"/>
      <c r="EL337" s="33"/>
      <c r="EM337" s="33"/>
      <c r="EN337" s="33"/>
      <c r="EO337" s="33"/>
      <c r="EP337" s="33"/>
      <c r="EQ337" s="33"/>
      <c r="ER337" s="33"/>
      <c r="ES337" s="33"/>
      <c r="ET337" s="33"/>
      <c r="EU337" s="33"/>
      <c r="EV337" s="33"/>
      <c r="EW337" s="33"/>
      <c r="EX337" s="33"/>
      <c r="EY337" s="33"/>
      <c r="EZ337" s="33"/>
      <c r="FA337" s="33"/>
      <c r="FB337" s="33"/>
      <c r="FC337" s="33"/>
      <c r="FD337" s="33"/>
      <c r="FE337" s="33"/>
      <c r="FF337" s="33"/>
      <c r="FG337" s="33"/>
      <c r="FH337" s="33"/>
      <c r="FI337" s="33"/>
      <c r="FJ337" s="33"/>
      <c r="FK337" s="33"/>
      <c r="FL337" s="33"/>
      <c r="FM337" s="33"/>
      <c r="FN337" s="33"/>
      <c r="FO337" s="33"/>
      <c r="FP337" s="33"/>
      <c r="FQ337" s="33"/>
      <c r="FR337" s="33"/>
      <c r="FS337" s="33"/>
      <c r="FT337" s="33"/>
      <c r="FU337" s="33"/>
      <c r="FV337" s="33"/>
      <c r="FW337" s="33"/>
      <c r="FX337" s="33"/>
      <c r="FY337" s="33"/>
      <c r="FZ337" s="33"/>
      <c r="GA337" s="33"/>
      <c r="GB337" s="33"/>
      <c r="GC337" s="33"/>
      <c r="GD337" s="33"/>
      <c r="GE337" s="33"/>
      <c r="GF337" s="33"/>
      <c r="GG337" s="33"/>
      <c r="GH337" s="33"/>
      <c r="GI337" s="33"/>
      <c r="GJ337" s="33"/>
      <c r="GK337" s="33"/>
      <c r="GL337" s="33"/>
      <c r="GM337" s="33"/>
      <c r="GN337" s="33"/>
      <c r="GO337" s="33"/>
      <c r="GP337" s="33"/>
      <c r="GQ337" s="33"/>
      <c r="GR337" s="33"/>
      <c r="GS337" s="33"/>
      <c r="GT337" s="33"/>
      <c r="GU337" s="33"/>
      <c r="GV337" s="33"/>
      <c r="GW337" s="33"/>
      <c r="GX337" s="33"/>
      <c r="GY337" s="33"/>
      <c r="GZ337" s="33"/>
      <c r="HA337" s="33"/>
      <c r="HB337" s="33"/>
      <c r="HC337" s="33"/>
      <c r="HD337" s="33"/>
      <c r="HE337" s="33"/>
      <c r="HF337" s="33"/>
      <c r="HG337" s="33"/>
      <c r="HH337" s="33"/>
      <c r="HI337" s="33"/>
      <c r="HJ337" s="33"/>
      <c r="HK337" s="33"/>
      <c r="HL337" s="33"/>
      <c r="HM337" s="33"/>
      <c r="HN337" s="33"/>
      <c r="HO337" s="33"/>
      <c r="HP337" s="33"/>
      <c r="HQ337" s="33"/>
      <c r="HR337" s="33"/>
      <c r="HS337" s="33"/>
      <c r="HT337" s="33"/>
      <c r="HU337" s="33"/>
      <c r="HV337" s="33"/>
      <c r="HW337" s="33"/>
      <c r="HX337" s="33"/>
      <c r="HY337" s="33"/>
      <c r="HZ337" s="33"/>
      <c r="IA337" s="33"/>
      <c r="IB337" s="33"/>
      <c r="IC337" s="33"/>
      <c r="ID337" s="33"/>
      <c r="IE337" s="33"/>
      <c r="IF337" s="33"/>
      <c r="IG337" s="33"/>
      <c r="IH337" s="33"/>
      <c r="II337" s="33"/>
      <c r="IJ337" s="33"/>
      <c r="IK337" s="33"/>
      <c r="IL337" s="33"/>
      <c r="IM337" s="33"/>
      <c r="IN337" s="33"/>
      <c r="IO337" s="33"/>
      <c r="IP337" s="33"/>
      <c r="IQ337" s="33"/>
      <c r="IR337" s="33"/>
      <c r="IS337" s="33"/>
      <c r="IT337" s="33"/>
      <c r="IU337" s="33"/>
      <c r="IV337" s="33"/>
      <c r="IW337" s="33"/>
      <c r="IX337" s="33"/>
      <c r="IY337" s="33"/>
      <c r="IZ337" s="33"/>
      <c r="JA337" s="33"/>
      <c r="JB337" s="33"/>
      <c r="JC337" s="33"/>
      <c r="JD337" s="33"/>
      <c r="JE337" s="33"/>
      <c r="JF337" s="33"/>
      <c r="JG337" s="33"/>
      <c r="JH337" s="33"/>
      <c r="JI337" s="33"/>
      <c r="JJ337" s="33"/>
      <c r="JK337" s="33"/>
      <c r="JL337" s="33"/>
      <c r="JM337" s="33"/>
      <c r="JN337" s="33"/>
      <c r="JO337" s="33"/>
      <c r="JP337" s="33"/>
      <c r="JQ337" s="33"/>
      <c r="JR337" s="33"/>
      <c r="KZ337" s="33"/>
      <c r="LA337" s="33"/>
      <c r="LB337" s="33"/>
      <c r="LC337" s="33"/>
      <c r="LD337" s="33"/>
      <c r="LE337" s="33"/>
      <c r="LF337" s="33"/>
      <c r="LG337" s="33"/>
      <c r="LH337" s="33"/>
      <c r="LI337" s="33"/>
      <c r="LJ337" s="33"/>
      <c r="LK337" s="33"/>
      <c r="LL337" s="33"/>
      <c r="LM337" s="33"/>
      <c r="LN337" s="33"/>
      <c r="LO337" s="33"/>
      <c r="LP337" s="44"/>
      <c r="LQ337" s="44"/>
      <c r="LR337" s="44"/>
      <c r="LS337" s="44"/>
      <c r="LT337" s="44"/>
      <c r="LU337" s="44"/>
      <c r="LV337" s="44"/>
    </row>
    <row r="338" spans="1:334" x14ac:dyDescent="0.2">
      <c r="A338" s="1" t="s">
        <v>8861</v>
      </c>
      <c r="B338" s="1" t="s">
        <v>8850</v>
      </c>
      <c r="D338" s="1" t="s">
        <v>8638</v>
      </c>
      <c r="E338" s="1" t="s">
        <v>7966</v>
      </c>
      <c r="F338" s="1" t="s">
        <v>8586</v>
      </c>
      <c r="I338" s="1">
        <v>12</v>
      </c>
      <c r="K338" s="1">
        <v>1976</v>
      </c>
      <c r="L338" s="1" t="s">
        <v>8852</v>
      </c>
      <c r="M338" s="1" t="s">
        <v>7657</v>
      </c>
      <c r="N338" s="17" t="s">
        <v>7945</v>
      </c>
      <c r="O338" s="33"/>
      <c r="P338" s="33"/>
      <c r="Q338" s="33"/>
      <c r="R338" s="33"/>
      <c r="S338" s="33">
        <v>18.600000000000001</v>
      </c>
      <c r="T338" s="33"/>
      <c r="U338" s="33">
        <v>6.25</v>
      </c>
      <c r="V338" s="33"/>
      <c r="W338" s="33"/>
      <c r="X338" s="33"/>
      <c r="Y338" s="33"/>
      <c r="Z338" s="33"/>
      <c r="AA338" s="33">
        <v>17.8</v>
      </c>
      <c r="AB338" s="33"/>
      <c r="AC338" s="33"/>
      <c r="AD338" s="33">
        <v>5</v>
      </c>
      <c r="AE338" s="33"/>
      <c r="AF338" s="33">
        <v>56.7</v>
      </c>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c r="BC338" s="33"/>
      <c r="BD338" s="33"/>
      <c r="BE338" s="33">
        <v>4</v>
      </c>
      <c r="BF338" s="33"/>
      <c r="BG338" s="33"/>
      <c r="BH338" s="33"/>
      <c r="BI338" s="33"/>
      <c r="BJ338" s="33"/>
      <c r="BK338" s="33"/>
      <c r="BL338" s="33"/>
      <c r="BM338" s="33"/>
      <c r="BN338" s="33"/>
      <c r="BO338" s="33"/>
      <c r="BP338" s="33"/>
      <c r="BQ338" s="33"/>
      <c r="BR338" s="33"/>
      <c r="BS338" s="33"/>
      <c r="BT338" s="33"/>
      <c r="BU338" s="33"/>
      <c r="BV338" s="33"/>
      <c r="BW338" s="33"/>
      <c r="BX338" s="33"/>
      <c r="BY338" s="33"/>
      <c r="BZ338" s="33"/>
      <c r="CA338" s="33"/>
      <c r="CB338" s="33"/>
      <c r="CC338" s="33"/>
      <c r="CD338" s="33"/>
      <c r="CE338" s="33"/>
      <c r="CF338" s="33"/>
      <c r="CG338" s="33"/>
      <c r="CH338" s="33"/>
      <c r="CI338" s="33"/>
      <c r="CJ338" s="33"/>
      <c r="CK338" s="33"/>
      <c r="CL338" s="33"/>
      <c r="CM338" s="33"/>
      <c r="CN338" s="33"/>
      <c r="CO338" s="33">
        <v>1.9</v>
      </c>
      <c r="CP338" s="33">
        <v>103.1</v>
      </c>
      <c r="CQ338" s="33"/>
      <c r="CR338" s="33">
        <v>0.86</v>
      </c>
      <c r="CS338" s="33">
        <v>5.82</v>
      </c>
      <c r="CT338" s="33"/>
      <c r="CU338" s="33">
        <v>692.3</v>
      </c>
      <c r="CV338" s="33">
        <v>91.7</v>
      </c>
      <c r="CW338" s="33">
        <v>1.71</v>
      </c>
      <c r="CX338" s="33">
        <v>12.69</v>
      </c>
      <c r="CY338" s="33">
        <v>354</v>
      </c>
      <c r="CZ338" s="33"/>
      <c r="DA338" s="33"/>
      <c r="DB338" s="33"/>
      <c r="DC338" s="33"/>
      <c r="DD338" s="33"/>
      <c r="DE338" s="33"/>
      <c r="DF338" s="33"/>
      <c r="DG338" s="33"/>
      <c r="DH338" s="33"/>
      <c r="DI338" s="33"/>
      <c r="DJ338" s="33"/>
      <c r="DK338" s="33"/>
      <c r="DL338" s="33"/>
      <c r="DM338" s="33"/>
      <c r="DN338" s="33"/>
      <c r="DO338" s="33"/>
      <c r="DP338" s="33"/>
      <c r="DQ338" s="33"/>
      <c r="DR338" s="33"/>
      <c r="DS338" s="33"/>
      <c r="DT338" s="33"/>
      <c r="DU338" s="33"/>
      <c r="DV338" s="33"/>
      <c r="DW338" s="33"/>
      <c r="DX338" s="33"/>
      <c r="DY338" s="33"/>
      <c r="DZ338" s="33"/>
      <c r="EA338" s="33"/>
      <c r="EB338" s="33"/>
      <c r="EC338" s="33"/>
      <c r="ED338" s="33"/>
      <c r="EE338" s="33"/>
      <c r="EF338" s="33"/>
      <c r="EG338" s="33"/>
      <c r="EH338" s="33"/>
      <c r="EI338" s="33"/>
      <c r="EJ338" s="33"/>
      <c r="EK338" s="33"/>
      <c r="EL338" s="33"/>
      <c r="EM338" s="33"/>
      <c r="EN338" s="33"/>
      <c r="EO338" s="33"/>
      <c r="EP338" s="33"/>
      <c r="EQ338" s="33"/>
      <c r="ER338" s="33"/>
      <c r="ES338" s="33"/>
      <c r="ET338" s="33"/>
      <c r="EU338" s="33"/>
      <c r="EV338" s="33"/>
      <c r="EW338" s="33"/>
      <c r="EX338" s="33"/>
      <c r="EY338" s="33"/>
      <c r="EZ338" s="33"/>
      <c r="FA338" s="33"/>
      <c r="FB338" s="33"/>
      <c r="FC338" s="33"/>
      <c r="FD338" s="33"/>
      <c r="FE338" s="33"/>
      <c r="FF338" s="33"/>
      <c r="FG338" s="33"/>
      <c r="FH338" s="33"/>
      <c r="FI338" s="33"/>
      <c r="FJ338" s="33"/>
      <c r="FK338" s="33"/>
      <c r="FL338" s="33"/>
      <c r="FM338" s="33"/>
      <c r="FN338" s="33"/>
      <c r="FO338" s="33"/>
      <c r="FP338" s="33"/>
      <c r="FQ338" s="33"/>
      <c r="FR338" s="33"/>
      <c r="FS338" s="33"/>
      <c r="FT338" s="33"/>
      <c r="FU338" s="33"/>
      <c r="FV338" s="33"/>
      <c r="FW338" s="33"/>
      <c r="FX338" s="33"/>
      <c r="FY338" s="33"/>
      <c r="FZ338" s="33"/>
      <c r="GA338" s="33"/>
      <c r="GB338" s="33"/>
      <c r="GC338" s="33"/>
      <c r="GD338" s="33"/>
      <c r="GE338" s="33"/>
      <c r="GF338" s="33"/>
      <c r="GG338" s="33"/>
      <c r="GH338" s="33"/>
      <c r="GI338" s="33"/>
      <c r="GJ338" s="33"/>
      <c r="GK338" s="33"/>
      <c r="GL338" s="33"/>
      <c r="GM338" s="33"/>
      <c r="GN338" s="33"/>
      <c r="GO338" s="33"/>
      <c r="GP338" s="33"/>
      <c r="GQ338" s="33"/>
      <c r="GR338" s="33"/>
      <c r="GS338" s="33"/>
      <c r="GT338" s="33"/>
      <c r="GU338" s="33"/>
      <c r="GV338" s="33"/>
      <c r="GW338" s="33"/>
      <c r="GX338" s="33"/>
      <c r="GY338" s="33"/>
      <c r="GZ338" s="33"/>
      <c r="HA338" s="33"/>
      <c r="HB338" s="33"/>
      <c r="HC338" s="33"/>
      <c r="HD338" s="33"/>
      <c r="HE338" s="33"/>
      <c r="HF338" s="33"/>
      <c r="HG338" s="33"/>
      <c r="HH338" s="33"/>
      <c r="HI338" s="33"/>
      <c r="HJ338" s="33"/>
      <c r="HK338" s="33"/>
      <c r="HL338" s="33"/>
      <c r="HM338" s="33"/>
      <c r="HN338" s="33"/>
      <c r="HO338" s="33"/>
      <c r="HP338" s="33"/>
      <c r="HQ338" s="33"/>
      <c r="HR338" s="33"/>
      <c r="HS338" s="33"/>
      <c r="HT338" s="33"/>
      <c r="HU338" s="33"/>
      <c r="HV338" s="33"/>
      <c r="HW338" s="33"/>
      <c r="HX338" s="33"/>
      <c r="HY338" s="33"/>
      <c r="HZ338" s="33"/>
      <c r="IA338" s="33"/>
      <c r="IB338" s="33"/>
      <c r="IC338" s="33"/>
      <c r="ID338" s="33"/>
      <c r="IE338" s="33"/>
      <c r="IF338" s="33"/>
      <c r="IG338" s="33"/>
      <c r="IH338" s="33"/>
      <c r="II338" s="33"/>
      <c r="IJ338" s="33"/>
      <c r="IK338" s="33"/>
      <c r="IL338" s="33"/>
      <c r="IM338" s="33"/>
      <c r="IN338" s="33"/>
      <c r="IO338" s="33"/>
      <c r="IP338" s="33"/>
      <c r="IQ338" s="33"/>
      <c r="IR338" s="33"/>
      <c r="IS338" s="33"/>
      <c r="IT338" s="33"/>
      <c r="IU338" s="33"/>
      <c r="IV338" s="33"/>
      <c r="IW338" s="33"/>
      <c r="IX338" s="33"/>
      <c r="IY338" s="33"/>
      <c r="IZ338" s="33"/>
      <c r="JA338" s="33"/>
      <c r="JB338" s="33"/>
      <c r="JC338" s="33"/>
      <c r="JD338" s="33"/>
      <c r="JE338" s="33"/>
      <c r="JF338" s="33"/>
      <c r="JG338" s="33"/>
      <c r="JH338" s="33"/>
      <c r="JI338" s="33"/>
      <c r="JJ338" s="33"/>
      <c r="JK338" s="33"/>
      <c r="JL338" s="33"/>
      <c r="JM338" s="33"/>
      <c r="JN338" s="33"/>
      <c r="JO338" s="33"/>
      <c r="JP338" s="33"/>
      <c r="JQ338" s="33"/>
      <c r="JR338" s="33"/>
      <c r="KZ338" s="33"/>
      <c r="LA338" s="33"/>
      <c r="LB338" s="33"/>
      <c r="LC338" s="33"/>
      <c r="LD338" s="33"/>
      <c r="LE338" s="33"/>
      <c r="LF338" s="33"/>
      <c r="LG338" s="33"/>
      <c r="LH338" s="33"/>
      <c r="LI338" s="33"/>
      <c r="LJ338" s="33"/>
      <c r="LK338" s="33"/>
      <c r="LL338" s="33"/>
      <c r="LM338" s="33"/>
      <c r="LN338" s="33"/>
      <c r="LO338" s="33"/>
      <c r="LP338" s="44"/>
      <c r="LQ338" s="44"/>
      <c r="LR338" s="44"/>
      <c r="LS338" s="44"/>
      <c r="LT338" s="44"/>
      <c r="LU338" s="44"/>
      <c r="LV338" s="44"/>
    </row>
    <row r="339" spans="1:334" x14ac:dyDescent="0.2">
      <c r="A339" s="1" t="s">
        <v>8862</v>
      </c>
      <c r="B339" s="1" t="s">
        <v>8850</v>
      </c>
      <c r="D339" s="1" t="s">
        <v>8863</v>
      </c>
      <c r="E339" s="1" t="s">
        <v>8338</v>
      </c>
      <c r="F339" s="1" t="s">
        <v>8848</v>
      </c>
      <c r="I339" s="1">
        <v>12</v>
      </c>
      <c r="K339" s="1">
        <v>1976</v>
      </c>
      <c r="L339" s="1" t="s">
        <v>8852</v>
      </c>
      <c r="M339" s="1" t="s">
        <v>7657</v>
      </c>
      <c r="N339" s="17" t="s">
        <v>7945</v>
      </c>
      <c r="O339" s="33"/>
      <c r="P339" s="33"/>
      <c r="Q339" s="33"/>
      <c r="R339" s="33"/>
      <c r="S339" s="33">
        <v>15.5</v>
      </c>
      <c r="T339" s="33"/>
      <c r="U339" s="33">
        <v>6.25</v>
      </c>
      <c r="V339" s="33"/>
      <c r="W339" s="33"/>
      <c r="X339" s="33"/>
      <c r="Y339" s="33"/>
      <c r="Z339" s="33"/>
      <c r="AA339" s="33">
        <v>21</v>
      </c>
      <c r="AB339" s="33"/>
      <c r="AC339" s="33"/>
      <c r="AD339" s="33">
        <v>1</v>
      </c>
      <c r="AE339" s="33"/>
      <c r="AF339" s="33">
        <v>60.1</v>
      </c>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c r="BC339" s="33"/>
      <c r="BD339" s="33"/>
      <c r="BE339" s="33">
        <v>3.3</v>
      </c>
      <c r="BF339" s="33"/>
      <c r="BG339" s="33"/>
      <c r="BH339" s="33"/>
      <c r="BI339" s="33"/>
      <c r="BJ339" s="33"/>
      <c r="BK339" s="33"/>
      <c r="BL339" s="33"/>
      <c r="BM339" s="33"/>
      <c r="BN339" s="33"/>
      <c r="BO339" s="33"/>
      <c r="BP339" s="33"/>
      <c r="BQ339" s="33"/>
      <c r="BR339" s="33"/>
      <c r="BS339" s="33"/>
      <c r="BT339" s="33"/>
      <c r="BU339" s="33"/>
      <c r="BV339" s="33"/>
      <c r="BW339" s="33"/>
      <c r="BX339" s="33"/>
      <c r="BY339" s="33"/>
      <c r="BZ339" s="33"/>
      <c r="CA339" s="33"/>
      <c r="CB339" s="33"/>
      <c r="CC339" s="33"/>
      <c r="CD339" s="33"/>
      <c r="CE339" s="33"/>
      <c r="CF339" s="33"/>
      <c r="CG339" s="33"/>
      <c r="CH339" s="33"/>
      <c r="CI339" s="33"/>
      <c r="CJ339" s="33"/>
      <c r="CK339" s="33"/>
      <c r="CL339" s="33"/>
      <c r="CM339" s="33"/>
      <c r="CN339" s="33"/>
      <c r="CO339" s="33">
        <v>2.4</v>
      </c>
      <c r="CP339" s="33">
        <v>34.9</v>
      </c>
      <c r="CQ339" s="33"/>
      <c r="CR339" s="33">
        <v>0.63</v>
      </c>
      <c r="CS339" s="33">
        <v>2.2200000000000002</v>
      </c>
      <c r="CT339" s="33"/>
      <c r="CU339" s="33">
        <v>1075.4000000000001</v>
      </c>
      <c r="CV339" s="33">
        <v>87.2</v>
      </c>
      <c r="CW339" s="33">
        <v>1.08</v>
      </c>
      <c r="CX339" s="33">
        <v>2.95</v>
      </c>
      <c r="CY339" s="33">
        <v>348</v>
      </c>
      <c r="CZ339" s="33"/>
      <c r="DA339" s="33"/>
      <c r="DB339" s="33"/>
      <c r="DC339" s="33"/>
      <c r="DD339" s="33"/>
      <c r="DE339" s="33"/>
      <c r="DF339" s="33"/>
      <c r="DG339" s="33"/>
      <c r="DH339" s="33"/>
      <c r="DI339" s="33"/>
      <c r="DJ339" s="33"/>
      <c r="DK339" s="33"/>
      <c r="DL339" s="33"/>
      <c r="DM339" s="33"/>
      <c r="DN339" s="33"/>
      <c r="DO339" s="33"/>
      <c r="DP339" s="33"/>
      <c r="DQ339" s="33"/>
      <c r="DR339" s="33"/>
      <c r="DS339" s="33"/>
      <c r="DT339" s="33"/>
      <c r="DU339" s="33"/>
      <c r="DV339" s="33"/>
      <c r="DW339" s="33"/>
      <c r="DX339" s="33"/>
      <c r="DY339" s="33"/>
      <c r="DZ339" s="33"/>
      <c r="EA339" s="33"/>
      <c r="EB339" s="33"/>
      <c r="EC339" s="33"/>
      <c r="ED339" s="33"/>
      <c r="EE339" s="33"/>
      <c r="EF339" s="33"/>
      <c r="EG339" s="33"/>
      <c r="EH339" s="33"/>
      <c r="EI339" s="33"/>
      <c r="EJ339" s="33"/>
      <c r="EK339" s="33"/>
      <c r="EL339" s="33"/>
      <c r="EM339" s="33"/>
      <c r="EN339" s="33"/>
      <c r="EO339" s="33"/>
      <c r="EP339" s="33"/>
      <c r="EQ339" s="33"/>
      <c r="ER339" s="33"/>
      <c r="ES339" s="33"/>
      <c r="ET339" s="33"/>
      <c r="EU339" s="33"/>
      <c r="EV339" s="33"/>
      <c r="EW339" s="33"/>
      <c r="EX339" s="33"/>
      <c r="EY339" s="33"/>
      <c r="EZ339" s="33"/>
      <c r="FA339" s="33"/>
      <c r="FB339" s="33"/>
      <c r="FC339" s="33"/>
      <c r="FD339" s="33"/>
      <c r="FE339" s="33"/>
      <c r="FF339" s="33"/>
      <c r="FG339" s="33"/>
      <c r="FH339" s="33"/>
      <c r="FI339" s="33"/>
      <c r="FJ339" s="33"/>
      <c r="FK339" s="33"/>
      <c r="FL339" s="33"/>
      <c r="FM339" s="33"/>
      <c r="FN339" s="33"/>
      <c r="FO339" s="33"/>
      <c r="FP339" s="33"/>
      <c r="FQ339" s="33"/>
      <c r="FR339" s="33"/>
      <c r="FS339" s="33"/>
      <c r="FT339" s="33"/>
      <c r="FU339" s="33"/>
      <c r="FV339" s="33"/>
      <c r="FW339" s="33"/>
      <c r="FX339" s="33"/>
      <c r="FY339" s="33"/>
      <c r="FZ339" s="33"/>
      <c r="GA339" s="33"/>
      <c r="GB339" s="33"/>
      <c r="GC339" s="33"/>
      <c r="GD339" s="33"/>
      <c r="GE339" s="33"/>
      <c r="GF339" s="33"/>
      <c r="GG339" s="33"/>
      <c r="GH339" s="33"/>
      <c r="GI339" s="33"/>
      <c r="GJ339" s="33"/>
      <c r="GK339" s="33"/>
      <c r="GL339" s="33"/>
      <c r="GM339" s="33"/>
      <c r="GN339" s="33"/>
      <c r="GO339" s="33"/>
      <c r="GP339" s="33"/>
      <c r="GQ339" s="33"/>
      <c r="GR339" s="33"/>
      <c r="GS339" s="33"/>
      <c r="GT339" s="33"/>
      <c r="GU339" s="33"/>
      <c r="GV339" s="33"/>
      <c r="GW339" s="33"/>
      <c r="GX339" s="33"/>
      <c r="GY339" s="33"/>
      <c r="GZ339" s="33"/>
      <c r="HA339" s="33"/>
      <c r="HB339" s="33"/>
      <c r="HC339" s="33"/>
      <c r="HD339" s="33"/>
      <c r="HE339" s="33"/>
      <c r="HF339" s="33"/>
      <c r="HG339" s="33"/>
      <c r="HH339" s="33"/>
      <c r="HI339" s="33"/>
      <c r="HJ339" s="33"/>
      <c r="HK339" s="33"/>
      <c r="HL339" s="33"/>
      <c r="HM339" s="33"/>
      <c r="HN339" s="33"/>
      <c r="HO339" s="33"/>
      <c r="HP339" s="33"/>
      <c r="HQ339" s="33"/>
      <c r="HR339" s="33"/>
      <c r="HS339" s="33"/>
      <c r="HT339" s="33"/>
      <c r="HU339" s="33"/>
      <c r="HV339" s="33"/>
      <c r="HW339" s="33"/>
      <c r="HX339" s="33"/>
      <c r="HY339" s="33"/>
      <c r="HZ339" s="33"/>
      <c r="IA339" s="33"/>
      <c r="IB339" s="33"/>
      <c r="IC339" s="33"/>
      <c r="ID339" s="33"/>
      <c r="IE339" s="33"/>
      <c r="IF339" s="33"/>
      <c r="IG339" s="33"/>
      <c r="IH339" s="33"/>
      <c r="II339" s="33"/>
      <c r="IJ339" s="33"/>
      <c r="IK339" s="33"/>
      <c r="IL339" s="33"/>
      <c r="IM339" s="33"/>
      <c r="IN339" s="33"/>
      <c r="IO339" s="33"/>
      <c r="IP339" s="33"/>
      <c r="IQ339" s="33"/>
      <c r="IR339" s="33"/>
      <c r="IS339" s="33"/>
      <c r="IT339" s="33"/>
      <c r="IU339" s="33"/>
      <c r="IV339" s="33"/>
      <c r="IW339" s="33"/>
      <c r="IX339" s="33"/>
      <c r="IY339" s="33"/>
      <c r="IZ339" s="33"/>
      <c r="JA339" s="33"/>
      <c r="JB339" s="33"/>
      <c r="JC339" s="33"/>
      <c r="JD339" s="33"/>
      <c r="JE339" s="33"/>
      <c r="JF339" s="33"/>
      <c r="JG339" s="33"/>
      <c r="JH339" s="33"/>
      <c r="JI339" s="33"/>
      <c r="JJ339" s="33"/>
      <c r="JK339" s="33"/>
      <c r="JL339" s="33"/>
      <c r="JM339" s="33"/>
      <c r="JN339" s="33"/>
      <c r="JO339" s="33"/>
      <c r="JP339" s="33"/>
      <c r="JQ339" s="33"/>
      <c r="JR339" s="33"/>
      <c r="KZ339" s="33"/>
      <c r="LA339" s="33"/>
      <c r="LB339" s="33"/>
      <c r="LC339" s="33"/>
      <c r="LD339" s="33"/>
      <c r="LE339" s="33"/>
      <c r="LF339" s="33"/>
      <c r="LG339" s="33"/>
      <c r="LH339" s="33"/>
      <c r="LI339" s="33"/>
      <c r="LJ339" s="33"/>
      <c r="LK339" s="33"/>
      <c r="LL339" s="33"/>
      <c r="LM339" s="33"/>
      <c r="LN339" s="33"/>
      <c r="LO339" s="33"/>
      <c r="LP339" s="44"/>
      <c r="LQ339" s="44"/>
      <c r="LR339" s="44"/>
      <c r="LS339" s="44"/>
      <c r="LT339" s="44"/>
      <c r="LU339" s="44"/>
      <c r="LV339" s="44"/>
    </row>
    <row r="340" spans="1:334" x14ac:dyDescent="0.2">
      <c r="A340" s="1" t="s">
        <v>8864</v>
      </c>
      <c r="B340" s="1" t="s">
        <v>8850</v>
      </c>
      <c r="D340" s="1" t="s">
        <v>8865</v>
      </c>
      <c r="E340" s="1" t="s">
        <v>8338</v>
      </c>
      <c r="F340" s="1" t="s">
        <v>8866</v>
      </c>
      <c r="I340" s="1">
        <v>12</v>
      </c>
      <c r="K340" s="1">
        <v>1976</v>
      </c>
      <c r="L340" s="1" t="s">
        <v>8852</v>
      </c>
      <c r="M340" s="1" t="s">
        <v>7657</v>
      </c>
      <c r="N340" s="17" t="s">
        <v>7945</v>
      </c>
      <c r="O340" s="33"/>
      <c r="P340" s="33"/>
      <c r="Q340" s="33"/>
      <c r="R340" s="33"/>
      <c r="S340" s="33">
        <v>14.2</v>
      </c>
      <c r="T340" s="33"/>
      <c r="U340" s="33">
        <v>6.25</v>
      </c>
      <c r="V340" s="33"/>
      <c r="W340" s="33"/>
      <c r="X340" s="33"/>
      <c r="Y340" s="33"/>
      <c r="Z340" s="33"/>
      <c r="AA340" s="33">
        <v>26.4</v>
      </c>
      <c r="AB340" s="33"/>
      <c r="AC340" s="33"/>
      <c r="AD340" s="33">
        <v>0.8</v>
      </c>
      <c r="AE340" s="33"/>
      <c r="AF340" s="33">
        <v>56</v>
      </c>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33"/>
      <c r="BE340" s="33">
        <v>6.1</v>
      </c>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c r="CD340" s="33"/>
      <c r="CE340" s="33"/>
      <c r="CF340" s="33"/>
      <c r="CG340" s="33"/>
      <c r="CH340" s="33"/>
      <c r="CI340" s="33"/>
      <c r="CJ340" s="33"/>
      <c r="CK340" s="33"/>
      <c r="CL340" s="33"/>
      <c r="CM340" s="33"/>
      <c r="CN340" s="33"/>
      <c r="CO340" s="33">
        <v>2.6</v>
      </c>
      <c r="CP340" s="33">
        <v>47.2</v>
      </c>
      <c r="CQ340" s="33"/>
      <c r="CR340" s="33">
        <v>0.89</v>
      </c>
      <c r="CS340" s="33">
        <v>9.56</v>
      </c>
      <c r="CT340" s="33"/>
      <c r="CU340" s="33">
        <v>861.9</v>
      </c>
      <c r="CV340" s="33">
        <v>90.7</v>
      </c>
      <c r="CW340" s="33">
        <v>1.42</v>
      </c>
      <c r="CX340" s="33">
        <v>2.4900000000000002</v>
      </c>
      <c r="CY340" s="33">
        <v>522</v>
      </c>
      <c r="CZ340" s="33"/>
      <c r="DA340" s="33"/>
      <c r="DB340" s="33"/>
      <c r="DC340" s="33"/>
      <c r="DD340" s="33"/>
      <c r="DE340" s="33"/>
      <c r="DF340" s="33"/>
      <c r="DG340" s="33"/>
      <c r="DH340" s="33"/>
      <c r="DI340" s="33"/>
      <c r="DJ340" s="33"/>
      <c r="DK340" s="33"/>
      <c r="DL340" s="33"/>
      <c r="DM340" s="33"/>
      <c r="DN340" s="33"/>
      <c r="DO340" s="33"/>
      <c r="DP340" s="33"/>
      <c r="DQ340" s="33"/>
      <c r="DR340" s="33"/>
      <c r="DS340" s="33"/>
      <c r="DT340" s="33"/>
      <c r="DU340" s="33"/>
      <c r="DV340" s="33"/>
      <c r="DW340" s="33"/>
      <c r="DX340" s="33"/>
      <c r="DY340" s="33"/>
      <c r="DZ340" s="33"/>
      <c r="EA340" s="33"/>
      <c r="EB340" s="33"/>
      <c r="EC340" s="33"/>
      <c r="ED340" s="33"/>
      <c r="EE340" s="33"/>
      <c r="EF340" s="33"/>
      <c r="EG340" s="33"/>
      <c r="EH340" s="33"/>
      <c r="EI340" s="33"/>
      <c r="EJ340" s="33"/>
      <c r="EK340" s="33"/>
      <c r="EL340" s="33"/>
      <c r="EM340" s="33"/>
      <c r="EN340" s="33"/>
      <c r="EO340" s="33"/>
      <c r="EP340" s="33"/>
      <c r="EQ340" s="33"/>
      <c r="ER340" s="33"/>
      <c r="ES340" s="33"/>
      <c r="ET340" s="33"/>
      <c r="EU340" s="33"/>
      <c r="EV340" s="33"/>
      <c r="EW340" s="33"/>
      <c r="EX340" s="33"/>
      <c r="EY340" s="33"/>
      <c r="EZ340" s="33"/>
      <c r="FA340" s="33"/>
      <c r="FB340" s="33"/>
      <c r="FC340" s="33"/>
      <c r="FD340" s="33"/>
      <c r="FE340" s="33"/>
      <c r="FF340" s="33"/>
      <c r="FG340" s="33"/>
      <c r="FH340" s="33"/>
      <c r="FI340" s="33"/>
      <c r="FJ340" s="33"/>
      <c r="FK340" s="33"/>
      <c r="FL340" s="33"/>
      <c r="FM340" s="33"/>
      <c r="FN340" s="33"/>
      <c r="FO340" s="33"/>
      <c r="FP340" s="33"/>
      <c r="FQ340" s="33"/>
      <c r="FR340" s="33"/>
      <c r="FS340" s="33"/>
      <c r="FT340" s="33"/>
      <c r="FU340" s="33"/>
      <c r="FV340" s="33"/>
      <c r="FW340" s="33"/>
      <c r="FX340" s="33"/>
      <c r="FY340" s="33"/>
      <c r="FZ340" s="33"/>
      <c r="GA340" s="33"/>
      <c r="GB340" s="33"/>
      <c r="GC340" s="33"/>
      <c r="GD340" s="33"/>
      <c r="GE340" s="33"/>
      <c r="GF340" s="33"/>
      <c r="GG340" s="33"/>
      <c r="GH340" s="33"/>
      <c r="GI340" s="33"/>
      <c r="GJ340" s="33"/>
      <c r="GK340" s="33"/>
      <c r="GL340" s="33"/>
      <c r="GM340" s="33"/>
      <c r="GN340" s="33"/>
      <c r="GO340" s="33"/>
      <c r="GP340" s="33"/>
      <c r="GQ340" s="33"/>
      <c r="GR340" s="33"/>
      <c r="GS340" s="33"/>
      <c r="GT340" s="33"/>
      <c r="GU340" s="33"/>
      <c r="GV340" s="33"/>
      <c r="GW340" s="33"/>
      <c r="GX340" s="33"/>
      <c r="GY340" s="33"/>
      <c r="GZ340" s="33"/>
      <c r="HA340" s="33"/>
      <c r="HB340" s="33"/>
      <c r="HC340" s="33"/>
      <c r="HD340" s="33"/>
      <c r="HE340" s="33"/>
      <c r="HF340" s="33"/>
      <c r="HG340" s="33"/>
      <c r="HH340" s="33"/>
      <c r="HI340" s="33"/>
      <c r="HJ340" s="33"/>
      <c r="HK340" s="33"/>
      <c r="HL340" s="33"/>
      <c r="HM340" s="33"/>
      <c r="HN340" s="33"/>
      <c r="HO340" s="33"/>
      <c r="HP340" s="33"/>
      <c r="HQ340" s="33"/>
      <c r="HR340" s="33"/>
      <c r="HS340" s="33"/>
      <c r="HT340" s="33"/>
      <c r="HU340" s="33"/>
      <c r="HV340" s="33"/>
      <c r="HW340" s="33"/>
      <c r="HX340" s="33"/>
      <c r="HY340" s="33"/>
      <c r="HZ340" s="33"/>
      <c r="IA340" s="33"/>
      <c r="IB340" s="33"/>
      <c r="IC340" s="33"/>
      <c r="ID340" s="33"/>
      <c r="IE340" s="33"/>
      <c r="IF340" s="33"/>
      <c r="IG340" s="33"/>
      <c r="IH340" s="33"/>
      <c r="II340" s="33"/>
      <c r="IJ340" s="33"/>
      <c r="IK340" s="33"/>
      <c r="IL340" s="33"/>
      <c r="IM340" s="33"/>
      <c r="IN340" s="33"/>
      <c r="IO340" s="33"/>
      <c r="IP340" s="33"/>
      <c r="IQ340" s="33"/>
      <c r="IR340" s="33"/>
      <c r="IS340" s="33"/>
      <c r="IT340" s="33"/>
      <c r="IU340" s="33"/>
      <c r="IV340" s="33"/>
      <c r="IW340" s="33"/>
      <c r="IX340" s="33"/>
      <c r="IY340" s="33"/>
      <c r="IZ340" s="33"/>
      <c r="JA340" s="33"/>
      <c r="JB340" s="33"/>
      <c r="JC340" s="33"/>
      <c r="JD340" s="33"/>
      <c r="JE340" s="33"/>
      <c r="JF340" s="33"/>
      <c r="JG340" s="33"/>
      <c r="JH340" s="33"/>
      <c r="JI340" s="33"/>
      <c r="JJ340" s="33"/>
      <c r="JK340" s="33"/>
      <c r="JL340" s="33"/>
      <c r="JM340" s="33"/>
      <c r="JN340" s="33"/>
      <c r="JO340" s="33"/>
      <c r="JP340" s="33"/>
      <c r="JQ340" s="33"/>
      <c r="JR340" s="33"/>
      <c r="KZ340" s="33"/>
      <c r="LA340" s="33"/>
      <c r="LB340" s="33"/>
      <c r="LC340" s="33"/>
      <c r="LD340" s="33"/>
      <c r="LE340" s="33"/>
      <c r="LF340" s="33"/>
      <c r="LG340" s="33"/>
      <c r="LH340" s="33"/>
      <c r="LI340" s="33"/>
      <c r="LJ340" s="33"/>
      <c r="LK340" s="33"/>
      <c r="LL340" s="33"/>
      <c r="LM340" s="33"/>
      <c r="LN340" s="33"/>
      <c r="LO340" s="33"/>
      <c r="LP340" s="44"/>
      <c r="LQ340" s="44"/>
      <c r="LR340" s="44"/>
      <c r="LS340" s="44"/>
      <c r="LT340" s="44"/>
      <c r="LU340" s="44"/>
      <c r="LV340" s="44"/>
    </row>
    <row r="341" spans="1:334" x14ac:dyDescent="0.2">
      <c r="A341" s="1" t="s">
        <v>8867</v>
      </c>
      <c r="B341" s="1" t="s">
        <v>8850</v>
      </c>
      <c r="D341" s="1" t="s">
        <v>8868</v>
      </c>
      <c r="E341" s="1" t="s">
        <v>11</v>
      </c>
      <c r="F341" s="1" t="s">
        <v>6263</v>
      </c>
      <c r="H341" s="1" t="s">
        <v>8869</v>
      </c>
      <c r="I341" s="1">
        <v>12</v>
      </c>
      <c r="K341" s="1">
        <v>1976</v>
      </c>
      <c r="L341" s="1" t="s">
        <v>8852</v>
      </c>
      <c r="M341" s="1" t="s">
        <v>7657</v>
      </c>
      <c r="N341" s="17" t="s">
        <v>7945</v>
      </c>
      <c r="O341" s="33"/>
      <c r="P341" s="33"/>
      <c r="Q341" s="33"/>
      <c r="R341" s="33"/>
      <c r="S341" s="33">
        <v>67.8</v>
      </c>
      <c r="T341" s="33"/>
      <c r="U341" s="33">
        <v>6.25</v>
      </c>
      <c r="V341" s="33"/>
      <c r="W341" s="33"/>
      <c r="X341" s="33"/>
      <c r="Y341" s="33"/>
      <c r="Z341" s="33"/>
      <c r="AA341" s="33">
        <v>8.1999999999999993</v>
      </c>
      <c r="AB341" s="33"/>
      <c r="AC341" s="33"/>
      <c r="AD341" s="33">
        <v>0.4</v>
      </c>
      <c r="AE341" s="33"/>
      <c r="AF341" s="33">
        <v>22.5</v>
      </c>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c r="BC341" s="33"/>
      <c r="BD341" s="33"/>
      <c r="BE341" s="33">
        <v>3</v>
      </c>
      <c r="BF341" s="33"/>
      <c r="BG341" s="33"/>
      <c r="BH341" s="33"/>
      <c r="BI341" s="33"/>
      <c r="BJ341" s="33"/>
      <c r="BK341" s="33"/>
      <c r="BL341" s="33"/>
      <c r="BM341" s="33"/>
      <c r="BN341" s="33"/>
      <c r="BO341" s="33"/>
      <c r="BP341" s="33"/>
      <c r="BQ341" s="33"/>
      <c r="BR341" s="33"/>
      <c r="BS341" s="33"/>
      <c r="BT341" s="33"/>
      <c r="BU341" s="33"/>
      <c r="BV341" s="33"/>
      <c r="BW341" s="33"/>
      <c r="BX341" s="33"/>
      <c r="BY341" s="33"/>
      <c r="BZ341" s="33"/>
      <c r="CA341" s="33"/>
      <c r="CB341" s="33"/>
      <c r="CC341" s="33"/>
      <c r="CD341" s="33"/>
      <c r="CE341" s="33"/>
      <c r="CF341" s="33"/>
      <c r="CG341" s="33"/>
      <c r="CH341" s="33"/>
      <c r="CI341" s="33"/>
      <c r="CJ341" s="33"/>
      <c r="CK341" s="33"/>
      <c r="CL341" s="33"/>
      <c r="CM341" s="33"/>
      <c r="CN341" s="33"/>
      <c r="CO341" s="33">
        <v>1.1000000000000001</v>
      </c>
      <c r="CP341" s="33">
        <v>70.7</v>
      </c>
      <c r="CQ341" s="33"/>
      <c r="CR341" s="33">
        <v>0.31</v>
      </c>
      <c r="CS341" s="33">
        <v>2.67</v>
      </c>
      <c r="CT341" s="33"/>
      <c r="CU341" s="33">
        <v>390.2</v>
      </c>
      <c r="CV341" s="33">
        <v>47.1</v>
      </c>
      <c r="CW341" s="33">
        <v>0.57999999999999996</v>
      </c>
      <c r="CX341" s="33">
        <v>2.63</v>
      </c>
      <c r="CY341" s="33">
        <v>178</v>
      </c>
      <c r="CZ341" s="33"/>
      <c r="DA341" s="33"/>
      <c r="DB341" s="33"/>
      <c r="DC341" s="33"/>
      <c r="DD341" s="33"/>
      <c r="DE341" s="33"/>
      <c r="DF341" s="33"/>
      <c r="DG341" s="33"/>
      <c r="DH341" s="33"/>
      <c r="DI341" s="33"/>
      <c r="DJ341" s="33"/>
      <c r="DK341" s="33"/>
      <c r="DL341" s="33"/>
      <c r="DM341" s="33"/>
      <c r="DN341" s="33"/>
      <c r="DO341" s="33"/>
      <c r="DP341" s="33"/>
      <c r="DQ341" s="33"/>
      <c r="DR341" s="33"/>
      <c r="DS341" s="33"/>
      <c r="DT341" s="33"/>
      <c r="DU341" s="33"/>
      <c r="DV341" s="33"/>
      <c r="DW341" s="33"/>
      <c r="DX341" s="33"/>
      <c r="DY341" s="33"/>
      <c r="DZ341" s="33"/>
      <c r="EA341" s="33"/>
      <c r="EB341" s="33"/>
      <c r="EC341" s="33"/>
      <c r="ED341" s="33"/>
      <c r="EE341" s="33"/>
      <c r="EF341" s="33"/>
      <c r="EG341" s="33"/>
      <c r="EH341" s="33"/>
      <c r="EI341" s="33"/>
      <c r="EJ341" s="33"/>
      <c r="EK341" s="33"/>
      <c r="EL341" s="33"/>
      <c r="EM341" s="33"/>
      <c r="EN341" s="33"/>
      <c r="EO341" s="33"/>
      <c r="EP341" s="33"/>
      <c r="EQ341" s="33"/>
      <c r="ER341" s="33"/>
      <c r="ES341" s="33"/>
      <c r="ET341" s="33"/>
      <c r="EU341" s="33"/>
      <c r="EV341" s="33"/>
      <c r="EW341" s="33"/>
      <c r="EX341" s="33"/>
      <c r="EY341" s="33"/>
      <c r="EZ341" s="33"/>
      <c r="FA341" s="33"/>
      <c r="FB341" s="33"/>
      <c r="FC341" s="33"/>
      <c r="FD341" s="33"/>
      <c r="FE341" s="33"/>
      <c r="FF341" s="33"/>
      <c r="FG341" s="33"/>
      <c r="FH341" s="33"/>
      <c r="FI341" s="33"/>
      <c r="FJ341" s="33"/>
      <c r="FK341" s="33"/>
      <c r="FL341" s="33"/>
      <c r="FM341" s="33"/>
      <c r="FN341" s="33"/>
      <c r="FO341" s="33"/>
      <c r="FP341" s="33"/>
      <c r="FQ341" s="33"/>
      <c r="FR341" s="33"/>
      <c r="FS341" s="33"/>
      <c r="FT341" s="33"/>
      <c r="FU341" s="33"/>
      <c r="FV341" s="33"/>
      <c r="FW341" s="33"/>
      <c r="FX341" s="33"/>
      <c r="FY341" s="33"/>
      <c r="FZ341" s="33"/>
      <c r="GA341" s="33"/>
      <c r="GB341" s="33"/>
      <c r="GC341" s="33"/>
      <c r="GD341" s="33"/>
      <c r="GE341" s="33"/>
      <c r="GF341" s="33"/>
      <c r="GG341" s="33"/>
      <c r="GH341" s="33"/>
      <c r="GI341" s="33"/>
      <c r="GJ341" s="33"/>
      <c r="GK341" s="33"/>
      <c r="GL341" s="33"/>
      <c r="GM341" s="33"/>
      <c r="GN341" s="33"/>
      <c r="GO341" s="33"/>
      <c r="GP341" s="33"/>
      <c r="GQ341" s="33"/>
      <c r="GR341" s="33"/>
      <c r="GS341" s="33"/>
      <c r="GT341" s="33"/>
      <c r="GU341" s="33"/>
      <c r="GV341" s="33"/>
      <c r="GW341" s="33"/>
      <c r="GX341" s="33"/>
      <c r="GY341" s="33"/>
      <c r="GZ341" s="33"/>
      <c r="HA341" s="33"/>
      <c r="HB341" s="33"/>
      <c r="HC341" s="33"/>
      <c r="HD341" s="33"/>
      <c r="HE341" s="33"/>
      <c r="HF341" s="33"/>
      <c r="HG341" s="33"/>
      <c r="HH341" s="33"/>
      <c r="HI341" s="33"/>
      <c r="HJ341" s="33"/>
      <c r="HK341" s="33"/>
      <c r="HL341" s="33"/>
      <c r="HM341" s="33"/>
      <c r="HN341" s="33"/>
      <c r="HO341" s="33"/>
      <c r="HP341" s="33"/>
      <c r="HQ341" s="33"/>
      <c r="HR341" s="33"/>
      <c r="HS341" s="33"/>
      <c r="HT341" s="33"/>
      <c r="HU341" s="33"/>
      <c r="HV341" s="33"/>
      <c r="HW341" s="33"/>
      <c r="HX341" s="33"/>
      <c r="HY341" s="33"/>
      <c r="HZ341" s="33"/>
      <c r="IA341" s="33"/>
      <c r="IB341" s="33"/>
      <c r="IC341" s="33"/>
      <c r="ID341" s="33"/>
      <c r="IE341" s="33"/>
      <c r="IF341" s="33"/>
      <c r="IG341" s="33"/>
      <c r="IH341" s="33"/>
      <c r="II341" s="33"/>
      <c r="IJ341" s="33"/>
      <c r="IK341" s="33"/>
      <c r="IL341" s="33"/>
      <c r="IM341" s="33"/>
      <c r="IN341" s="33"/>
      <c r="IO341" s="33"/>
      <c r="IP341" s="33"/>
      <c r="IQ341" s="33"/>
      <c r="IR341" s="33"/>
      <c r="IS341" s="33"/>
      <c r="IT341" s="33"/>
      <c r="IU341" s="33"/>
      <c r="IV341" s="33"/>
      <c r="IW341" s="33"/>
      <c r="IX341" s="33"/>
      <c r="IY341" s="33"/>
      <c r="IZ341" s="33"/>
      <c r="JA341" s="33"/>
      <c r="JB341" s="33"/>
      <c r="JC341" s="33"/>
      <c r="JD341" s="33"/>
      <c r="JE341" s="33"/>
      <c r="JF341" s="33"/>
      <c r="JG341" s="33"/>
      <c r="JH341" s="33"/>
      <c r="JI341" s="33"/>
      <c r="JJ341" s="33"/>
      <c r="JK341" s="33"/>
      <c r="JL341" s="33"/>
      <c r="JM341" s="33"/>
      <c r="JN341" s="33"/>
      <c r="JO341" s="33"/>
      <c r="JP341" s="33"/>
      <c r="JQ341" s="33"/>
      <c r="JR341" s="33"/>
      <c r="KZ341" s="33"/>
      <c r="LA341" s="33"/>
      <c r="LB341" s="33"/>
      <c r="LC341" s="33"/>
      <c r="LD341" s="33"/>
      <c r="LE341" s="33"/>
      <c r="LF341" s="33"/>
      <c r="LG341" s="33"/>
      <c r="LH341" s="33"/>
      <c r="LI341" s="33"/>
      <c r="LJ341" s="33"/>
      <c r="LK341" s="33"/>
      <c r="LL341" s="33"/>
      <c r="LM341" s="33"/>
      <c r="LN341" s="33"/>
      <c r="LO341" s="33"/>
      <c r="LP341" s="44"/>
      <c r="LQ341" s="44"/>
      <c r="LR341" s="44"/>
      <c r="LS341" s="44"/>
      <c r="LT341" s="44"/>
      <c r="LU341" s="44"/>
      <c r="LV341" s="44"/>
    </row>
    <row r="342" spans="1:334" x14ac:dyDescent="0.2">
      <c r="A342" s="1" t="s">
        <v>8870</v>
      </c>
      <c r="B342" s="1" t="s">
        <v>8850</v>
      </c>
      <c r="D342" s="1" t="s">
        <v>8871</v>
      </c>
      <c r="E342" s="1" t="s">
        <v>11</v>
      </c>
      <c r="F342" s="1" t="s">
        <v>8855</v>
      </c>
      <c r="H342" s="1" t="s">
        <v>8872</v>
      </c>
      <c r="I342" s="1">
        <v>12</v>
      </c>
      <c r="K342" s="1">
        <v>1976</v>
      </c>
      <c r="L342" s="1" t="s">
        <v>8852</v>
      </c>
      <c r="M342" s="1" t="s">
        <v>7657</v>
      </c>
      <c r="N342" s="17" t="s">
        <v>7945</v>
      </c>
      <c r="O342" s="33"/>
      <c r="P342" s="33"/>
      <c r="Q342" s="33"/>
      <c r="R342" s="33"/>
      <c r="S342" s="33">
        <v>69.5</v>
      </c>
      <c r="T342" s="33"/>
      <c r="U342" s="33">
        <v>6.25</v>
      </c>
      <c r="V342" s="33"/>
      <c r="W342" s="33"/>
      <c r="X342" s="33"/>
      <c r="Y342" s="33"/>
      <c r="Z342" s="33"/>
      <c r="AA342" s="33">
        <v>7.6</v>
      </c>
      <c r="AB342" s="33"/>
      <c r="AC342" s="33"/>
      <c r="AD342" s="33">
        <v>0.5</v>
      </c>
      <c r="AE342" s="33"/>
      <c r="AF342" s="33">
        <v>21.5</v>
      </c>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c r="BC342" s="33"/>
      <c r="BD342" s="33"/>
      <c r="BE342" s="33">
        <v>3.7</v>
      </c>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c r="CD342" s="33"/>
      <c r="CE342" s="33"/>
      <c r="CF342" s="33"/>
      <c r="CG342" s="33"/>
      <c r="CH342" s="33"/>
      <c r="CI342" s="33"/>
      <c r="CJ342" s="33"/>
      <c r="CK342" s="33"/>
      <c r="CL342" s="33"/>
      <c r="CM342" s="33"/>
      <c r="CN342" s="33"/>
      <c r="CO342" s="33">
        <v>1</v>
      </c>
      <c r="CP342" s="33">
        <v>27.4</v>
      </c>
      <c r="CQ342" s="33"/>
      <c r="CR342" s="33">
        <v>0.23</v>
      </c>
      <c r="CS342" s="33">
        <v>2.68</v>
      </c>
      <c r="CT342" s="33"/>
      <c r="CU342" s="33">
        <v>327.7</v>
      </c>
      <c r="CV342" s="33">
        <v>41.7</v>
      </c>
      <c r="CW342" s="33">
        <v>0.59</v>
      </c>
      <c r="CX342" s="33">
        <v>2.77</v>
      </c>
      <c r="CY342" s="33">
        <v>125</v>
      </c>
      <c r="CZ342" s="33"/>
      <c r="DA342" s="33"/>
      <c r="DB342" s="33"/>
      <c r="DC342" s="33"/>
      <c r="DD342" s="33"/>
      <c r="DE342" s="33"/>
      <c r="DF342" s="33"/>
      <c r="DG342" s="33"/>
      <c r="DH342" s="33"/>
      <c r="DI342" s="33"/>
      <c r="DJ342" s="33"/>
      <c r="DK342" s="33"/>
      <c r="DL342" s="33"/>
      <c r="DM342" s="33"/>
      <c r="DN342" s="33"/>
      <c r="DO342" s="33"/>
      <c r="DP342" s="33"/>
      <c r="DQ342" s="33"/>
      <c r="DR342" s="33"/>
      <c r="DS342" s="33"/>
      <c r="DT342" s="33"/>
      <c r="DU342" s="33"/>
      <c r="DV342" s="33"/>
      <c r="DW342" s="33"/>
      <c r="DX342" s="33"/>
      <c r="DY342" s="33"/>
      <c r="DZ342" s="33"/>
      <c r="EA342" s="33"/>
      <c r="EB342" s="33"/>
      <c r="EC342" s="33"/>
      <c r="ED342" s="33"/>
      <c r="EE342" s="33"/>
      <c r="EF342" s="33"/>
      <c r="EG342" s="33"/>
      <c r="EH342" s="33"/>
      <c r="EI342" s="33"/>
      <c r="EJ342" s="33"/>
      <c r="EK342" s="33"/>
      <c r="EL342" s="33"/>
      <c r="EM342" s="33"/>
      <c r="EN342" s="33"/>
      <c r="EO342" s="33"/>
      <c r="EP342" s="33"/>
      <c r="EQ342" s="33"/>
      <c r="ER342" s="33"/>
      <c r="ES342" s="33"/>
      <c r="ET342" s="33"/>
      <c r="EU342" s="33"/>
      <c r="EV342" s="33"/>
      <c r="EW342" s="33"/>
      <c r="EX342" s="33"/>
      <c r="EY342" s="33"/>
      <c r="EZ342" s="33"/>
      <c r="FA342" s="33"/>
      <c r="FB342" s="33"/>
      <c r="FC342" s="33"/>
      <c r="FD342" s="33"/>
      <c r="FE342" s="33"/>
      <c r="FF342" s="33"/>
      <c r="FG342" s="33"/>
      <c r="FH342" s="33"/>
      <c r="FI342" s="33"/>
      <c r="FJ342" s="33"/>
      <c r="FK342" s="33"/>
      <c r="FL342" s="33"/>
      <c r="FM342" s="33"/>
      <c r="FN342" s="33"/>
      <c r="FO342" s="33"/>
      <c r="FP342" s="33"/>
      <c r="FQ342" s="33"/>
      <c r="FR342" s="33"/>
      <c r="FS342" s="33"/>
      <c r="FT342" s="33"/>
      <c r="FU342" s="33"/>
      <c r="FV342" s="33"/>
      <c r="FW342" s="33"/>
      <c r="FX342" s="33"/>
      <c r="FY342" s="33"/>
      <c r="FZ342" s="33"/>
      <c r="GA342" s="33"/>
      <c r="GB342" s="33"/>
      <c r="GC342" s="33"/>
      <c r="GD342" s="33"/>
      <c r="GE342" s="33"/>
      <c r="GF342" s="33"/>
      <c r="GG342" s="33"/>
      <c r="GH342" s="33"/>
      <c r="GI342" s="33"/>
      <c r="GJ342" s="33"/>
      <c r="GK342" s="33"/>
      <c r="GL342" s="33"/>
      <c r="GM342" s="33"/>
      <c r="GN342" s="33"/>
      <c r="GO342" s="33"/>
      <c r="GP342" s="33"/>
      <c r="GQ342" s="33"/>
      <c r="GR342" s="33"/>
      <c r="GS342" s="33"/>
      <c r="GT342" s="33"/>
      <c r="GU342" s="33"/>
      <c r="GV342" s="33"/>
      <c r="GW342" s="33"/>
      <c r="GX342" s="33"/>
      <c r="GY342" s="33"/>
      <c r="GZ342" s="33"/>
      <c r="HA342" s="33"/>
      <c r="HB342" s="33"/>
      <c r="HC342" s="33"/>
      <c r="HD342" s="33"/>
      <c r="HE342" s="33"/>
      <c r="HF342" s="33"/>
      <c r="HG342" s="33"/>
      <c r="HH342" s="33"/>
      <c r="HI342" s="33"/>
      <c r="HJ342" s="33"/>
      <c r="HK342" s="33"/>
      <c r="HL342" s="33"/>
      <c r="HM342" s="33"/>
      <c r="HN342" s="33"/>
      <c r="HO342" s="33"/>
      <c r="HP342" s="33"/>
      <c r="HQ342" s="33"/>
      <c r="HR342" s="33"/>
      <c r="HS342" s="33"/>
      <c r="HT342" s="33"/>
      <c r="HU342" s="33"/>
      <c r="HV342" s="33"/>
      <c r="HW342" s="33"/>
      <c r="HX342" s="33"/>
      <c r="HY342" s="33"/>
      <c r="HZ342" s="33"/>
      <c r="IA342" s="33"/>
      <c r="IB342" s="33"/>
      <c r="IC342" s="33"/>
      <c r="ID342" s="33"/>
      <c r="IE342" s="33"/>
      <c r="IF342" s="33"/>
      <c r="IG342" s="33"/>
      <c r="IH342" s="33"/>
      <c r="II342" s="33"/>
      <c r="IJ342" s="33"/>
      <c r="IK342" s="33"/>
      <c r="IL342" s="33"/>
      <c r="IM342" s="33"/>
      <c r="IN342" s="33"/>
      <c r="IO342" s="33"/>
      <c r="IP342" s="33"/>
      <c r="IQ342" s="33"/>
      <c r="IR342" s="33"/>
      <c r="IS342" s="33"/>
      <c r="IT342" s="33"/>
      <c r="IU342" s="33"/>
      <c r="IV342" s="33"/>
      <c r="IW342" s="33"/>
      <c r="IX342" s="33"/>
      <c r="IY342" s="33"/>
      <c r="IZ342" s="33"/>
      <c r="JA342" s="33"/>
      <c r="JB342" s="33"/>
      <c r="JC342" s="33"/>
      <c r="JD342" s="33"/>
      <c r="JE342" s="33"/>
      <c r="JF342" s="33"/>
      <c r="JG342" s="33"/>
      <c r="JH342" s="33"/>
      <c r="JI342" s="33"/>
      <c r="JJ342" s="33"/>
      <c r="JK342" s="33"/>
      <c r="JL342" s="33"/>
      <c r="JM342" s="33"/>
      <c r="JN342" s="33"/>
      <c r="JO342" s="33"/>
      <c r="JP342" s="33"/>
      <c r="JQ342" s="33"/>
      <c r="JR342" s="33"/>
      <c r="KZ342" s="33"/>
      <c r="LA342" s="33"/>
      <c r="LB342" s="33"/>
      <c r="LC342" s="33"/>
      <c r="LD342" s="33"/>
      <c r="LE342" s="33"/>
      <c r="LF342" s="33"/>
      <c r="LG342" s="33"/>
      <c r="LH342" s="33"/>
      <c r="LI342" s="33"/>
      <c r="LJ342" s="33"/>
      <c r="LK342" s="33"/>
      <c r="LL342" s="33"/>
      <c r="LM342" s="33"/>
      <c r="LN342" s="33"/>
      <c r="LO342" s="33"/>
      <c r="LP342" s="44"/>
      <c r="LQ342" s="44"/>
      <c r="LR342" s="44"/>
      <c r="LS342" s="44"/>
      <c r="LT342" s="44"/>
      <c r="LU342" s="44"/>
      <c r="LV342" s="44"/>
    </row>
    <row r="343" spans="1:334" x14ac:dyDescent="0.2">
      <c r="A343" s="1" t="s">
        <v>8873</v>
      </c>
      <c r="B343" s="1" t="s">
        <v>8850</v>
      </c>
      <c r="D343" s="1" t="s">
        <v>8874</v>
      </c>
      <c r="E343" s="1" t="s">
        <v>11</v>
      </c>
      <c r="F343" s="1" t="s">
        <v>8855</v>
      </c>
      <c r="H343" s="1" t="s">
        <v>8872</v>
      </c>
      <c r="I343" s="1">
        <v>12</v>
      </c>
      <c r="K343" s="1">
        <v>1976</v>
      </c>
      <c r="L343" s="1" t="s">
        <v>8852</v>
      </c>
      <c r="M343" s="1" t="s">
        <v>7657</v>
      </c>
      <c r="N343" s="17" t="s">
        <v>7945</v>
      </c>
      <c r="O343" s="33"/>
      <c r="P343" s="33"/>
      <c r="Q343" s="33"/>
      <c r="R343" s="33"/>
      <c r="S343" s="33">
        <v>71</v>
      </c>
      <c r="T343" s="33"/>
      <c r="U343" s="33">
        <v>6.25</v>
      </c>
      <c r="V343" s="33"/>
      <c r="W343" s="33"/>
      <c r="X343" s="33"/>
      <c r="Y343" s="33"/>
      <c r="Z343" s="33"/>
      <c r="AA343" s="33">
        <v>7.7</v>
      </c>
      <c r="AB343" s="33"/>
      <c r="AC343" s="33"/>
      <c r="AD343" s="33">
        <v>0.3</v>
      </c>
      <c r="AE343" s="33"/>
      <c r="AF343" s="33">
        <v>19.899999999999999</v>
      </c>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33"/>
      <c r="BE343" s="33">
        <v>3.3</v>
      </c>
      <c r="BF343" s="33"/>
      <c r="BG343" s="33"/>
      <c r="BH343" s="33"/>
      <c r="BI343" s="33"/>
      <c r="BJ343" s="33"/>
      <c r="BK343" s="33"/>
      <c r="BL343" s="33"/>
      <c r="BM343" s="33"/>
      <c r="BN343" s="33"/>
      <c r="BO343" s="33"/>
      <c r="BP343" s="33"/>
      <c r="BQ343" s="33"/>
      <c r="BR343" s="33"/>
      <c r="BS343" s="33"/>
      <c r="BT343" s="33"/>
      <c r="BU343" s="33"/>
      <c r="BV343" s="33"/>
      <c r="BW343" s="33"/>
      <c r="BX343" s="33"/>
      <c r="BY343" s="33"/>
      <c r="BZ343" s="33"/>
      <c r="CA343" s="33"/>
      <c r="CB343" s="33"/>
      <c r="CC343" s="33"/>
      <c r="CD343" s="33"/>
      <c r="CE343" s="33"/>
      <c r="CF343" s="33"/>
      <c r="CG343" s="33"/>
      <c r="CH343" s="33"/>
      <c r="CI343" s="33"/>
      <c r="CJ343" s="33"/>
      <c r="CK343" s="33"/>
      <c r="CL343" s="33"/>
      <c r="CM343" s="33"/>
      <c r="CN343" s="33"/>
      <c r="CO343" s="33">
        <v>1.1000000000000001</v>
      </c>
      <c r="CP343" s="33">
        <v>19.100000000000001</v>
      </c>
      <c r="CQ343" s="33"/>
      <c r="CR343" s="33">
        <v>0.28000000000000003</v>
      </c>
      <c r="CS343" s="33">
        <v>3.34</v>
      </c>
      <c r="CT343" s="33"/>
      <c r="CU343" s="33">
        <v>506.2</v>
      </c>
      <c r="CV343" s="33">
        <v>41.5</v>
      </c>
      <c r="CW343" s="33">
        <v>0.55000000000000004</v>
      </c>
      <c r="CX343" s="33">
        <v>2.0099999999999998</v>
      </c>
      <c r="CY343" s="33">
        <v>124</v>
      </c>
      <c r="CZ343" s="33"/>
      <c r="DA343" s="33"/>
      <c r="DB343" s="33"/>
      <c r="DC343" s="33"/>
      <c r="DD343" s="33"/>
      <c r="DE343" s="33"/>
      <c r="DF343" s="33"/>
      <c r="DG343" s="33"/>
      <c r="DH343" s="33"/>
      <c r="DI343" s="33"/>
      <c r="DJ343" s="33"/>
      <c r="DK343" s="33"/>
      <c r="DL343" s="33"/>
      <c r="DM343" s="33"/>
      <c r="DN343" s="33"/>
      <c r="DO343" s="33"/>
      <c r="DP343" s="33"/>
      <c r="DQ343" s="33"/>
      <c r="DR343" s="33"/>
      <c r="DS343" s="33"/>
      <c r="DT343" s="33"/>
      <c r="DU343" s="33"/>
      <c r="DV343" s="33"/>
      <c r="DW343" s="33"/>
      <c r="DX343" s="33"/>
      <c r="DY343" s="33"/>
      <c r="DZ343" s="33"/>
      <c r="EA343" s="33"/>
      <c r="EB343" s="33"/>
      <c r="EC343" s="33"/>
      <c r="ED343" s="33"/>
      <c r="EE343" s="33"/>
      <c r="EF343" s="33"/>
      <c r="EG343" s="33"/>
      <c r="EH343" s="33"/>
      <c r="EI343" s="33"/>
      <c r="EJ343" s="33"/>
      <c r="EK343" s="33"/>
      <c r="EL343" s="33"/>
      <c r="EM343" s="33"/>
      <c r="EN343" s="33"/>
      <c r="EO343" s="33"/>
      <c r="EP343" s="33"/>
      <c r="EQ343" s="33"/>
      <c r="ER343" s="33"/>
      <c r="ES343" s="33"/>
      <c r="ET343" s="33"/>
      <c r="EU343" s="33"/>
      <c r="EV343" s="33"/>
      <c r="EW343" s="33"/>
      <c r="EX343" s="33"/>
      <c r="EY343" s="33"/>
      <c r="EZ343" s="33"/>
      <c r="FA343" s="33"/>
      <c r="FB343" s="33"/>
      <c r="FC343" s="33"/>
      <c r="FD343" s="33"/>
      <c r="FE343" s="33"/>
      <c r="FF343" s="33"/>
      <c r="FG343" s="33"/>
      <c r="FH343" s="33"/>
      <c r="FI343" s="33"/>
      <c r="FJ343" s="33"/>
      <c r="FK343" s="33"/>
      <c r="FL343" s="33"/>
      <c r="FM343" s="33"/>
      <c r="FN343" s="33"/>
      <c r="FO343" s="33"/>
      <c r="FP343" s="33"/>
      <c r="FQ343" s="33"/>
      <c r="FR343" s="33"/>
      <c r="FS343" s="33"/>
      <c r="FT343" s="33"/>
      <c r="FU343" s="33"/>
      <c r="FV343" s="33"/>
      <c r="FW343" s="33"/>
      <c r="FX343" s="33"/>
      <c r="FY343" s="33"/>
      <c r="FZ343" s="33"/>
      <c r="GA343" s="33"/>
      <c r="GB343" s="33"/>
      <c r="GC343" s="33"/>
      <c r="GD343" s="33"/>
      <c r="GE343" s="33"/>
      <c r="GF343" s="33"/>
      <c r="GG343" s="33"/>
      <c r="GH343" s="33"/>
      <c r="GI343" s="33"/>
      <c r="GJ343" s="33"/>
      <c r="GK343" s="33"/>
      <c r="GL343" s="33"/>
      <c r="GM343" s="33"/>
      <c r="GN343" s="33"/>
      <c r="GO343" s="33"/>
      <c r="GP343" s="33"/>
      <c r="GQ343" s="33"/>
      <c r="GR343" s="33"/>
      <c r="GS343" s="33"/>
      <c r="GT343" s="33"/>
      <c r="GU343" s="33"/>
      <c r="GV343" s="33"/>
      <c r="GW343" s="33"/>
      <c r="GX343" s="33"/>
      <c r="GY343" s="33"/>
      <c r="GZ343" s="33"/>
      <c r="HA343" s="33"/>
      <c r="HB343" s="33"/>
      <c r="HC343" s="33"/>
      <c r="HD343" s="33"/>
      <c r="HE343" s="33"/>
      <c r="HF343" s="33"/>
      <c r="HG343" s="33"/>
      <c r="HH343" s="33"/>
      <c r="HI343" s="33"/>
      <c r="HJ343" s="33"/>
      <c r="HK343" s="33"/>
      <c r="HL343" s="33"/>
      <c r="HM343" s="33"/>
      <c r="HN343" s="33"/>
      <c r="HO343" s="33"/>
      <c r="HP343" s="33"/>
      <c r="HQ343" s="33"/>
      <c r="HR343" s="33"/>
      <c r="HS343" s="33"/>
      <c r="HT343" s="33"/>
      <c r="HU343" s="33"/>
      <c r="HV343" s="33"/>
      <c r="HW343" s="33"/>
      <c r="HX343" s="33"/>
      <c r="HY343" s="33"/>
      <c r="HZ343" s="33"/>
      <c r="IA343" s="33"/>
      <c r="IB343" s="33"/>
      <c r="IC343" s="33"/>
      <c r="ID343" s="33"/>
      <c r="IE343" s="33"/>
      <c r="IF343" s="33"/>
      <c r="IG343" s="33"/>
      <c r="IH343" s="33"/>
      <c r="II343" s="33"/>
      <c r="IJ343" s="33"/>
      <c r="IK343" s="33"/>
      <c r="IL343" s="33"/>
      <c r="IM343" s="33"/>
      <c r="IN343" s="33"/>
      <c r="IO343" s="33"/>
      <c r="IP343" s="33"/>
      <c r="IQ343" s="33"/>
      <c r="IR343" s="33"/>
      <c r="IS343" s="33"/>
      <c r="IT343" s="33"/>
      <c r="IU343" s="33"/>
      <c r="IV343" s="33"/>
      <c r="IW343" s="33"/>
      <c r="IX343" s="33"/>
      <c r="IY343" s="33"/>
      <c r="IZ343" s="33"/>
      <c r="JA343" s="33"/>
      <c r="JB343" s="33"/>
      <c r="JC343" s="33"/>
      <c r="JD343" s="33"/>
      <c r="JE343" s="33"/>
      <c r="JF343" s="33"/>
      <c r="JG343" s="33"/>
      <c r="JH343" s="33"/>
      <c r="JI343" s="33"/>
      <c r="JJ343" s="33"/>
      <c r="JK343" s="33"/>
      <c r="JL343" s="33"/>
      <c r="JM343" s="33"/>
      <c r="JN343" s="33"/>
      <c r="JO343" s="33"/>
      <c r="JP343" s="33"/>
      <c r="JQ343" s="33"/>
      <c r="JR343" s="33"/>
      <c r="KZ343" s="33"/>
      <c r="LA343" s="33"/>
      <c r="LB343" s="33"/>
      <c r="LC343" s="33"/>
      <c r="LD343" s="33"/>
      <c r="LE343" s="33"/>
      <c r="LF343" s="33"/>
      <c r="LG343" s="33"/>
      <c r="LH343" s="33"/>
      <c r="LI343" s="33"/>
      <c r="LJ343" s="33"/>
      <c r="LK343" s="33"/>
      <c r="LL343" s="33"/>
      <c r="LM343" s="33"/>
      <c r="LN343" s="33"/>
      <c r="LO343" s="33"/>
      <c r="LP343" s="44"/>
      <c r="LQ343" s="44"/>
      <c r="LR343" s="44"/>
      <c r="LS343" s="44"/>
      <c r="LT343" s="44"/>
      <c r="LU343" s="44"/>
      <c r="LV343" s="44"/>
    </row>
    <row r="344" spans="1:334" x14ac:dyDescent="0.2">
      <c r="A344" s="1" t="s">
        <v>8875</v>
      </c>
      <c r="B344" s="1" t="s">
        <v>8850</v>
      </c>
      <c r="D344" s="1" t="s">
        <v>8876</v>
      </c>
      <c r="E344" s="1" t="s">
        <v>11</v>
      </c>
      <c r="F344" s="1" t="s">
        <v>8860</v>
      </c>
      <c r="H344" s="1" t="s">
        <v>8877</v>
      </c>
      <c r="I344" s="1">
        <v>12</v>
      </c>
      <c r="K344" s="1">
        <v>1976</v>
      </c>
      <c r="L344" s="1" t="s">
        <v>8852</v>
      </c>
      <c r="M344" s="1" t="s">
        <v>7657</v>
      </c>
      <c r="N344" s="17" t="s">
        <v>7945</v>
      </c>
      <c r="O344" s="33"/>
      <c r="P344" s="33"/>
      <c r="Q344" s="33"/>
      <c r="R344" s="33"/>
      <c r="S344" s="33">
        <v>71.900000000000006</v>
      </c>
      <c r="T344" s="33"/>
      <c r="U344" s="33">
        <v>6.25</v>
      </c>
      <c r="V344" s="33"/>
      <c r="W344" s="33"/>
      <c r="X344" s="33"/>
      <c r="Y344" s="33"/>
      <c r="Z344" s="33"/>
      <c r="AA344" s="33">
        <v>7.4</v>
      </c>
      <c r="AB344" s="33"/>
      <c r="AC344" s="33"/>
      <c r="AD344" s="33">
        <v>0.5</v>
      </c>
      <c r="AE344" s="33"/>
      <c r="AF344" s="33">
        <v>19.399999999999999</v>
      </c>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33"/>
      <c r="BE344" s="33">
        <v>2.4</v>
      </c>
      <c r="BF344" s="33"/>
      <c r="BG344" s="33"/>
      <c r="BH344" s="33"/>
      <c r="BI344" s="33"/>
      <c r="BJ344" s="33"/>
      <c r="BK344" s="33"/>
      <c r="BL344" s="33"/>
      <c r="BM344" s="33"/>
      <c r="BN344" s="33"/>
      <c r="BO344" s="33"/>
      <c r="BP344" s="33"/>
      <c r="BQ344" s="33"/>
      <c r="BR344" s="33"/>
      <c r="BS344" s="33"/>
      <c r="BT344" s="33"/>
      <c r="BU344" s="33"/>
      <c r="BV344" s="33"/>
      <c r="BW344" s="33"/>
      <c r="BX344" s="33"/>
      <c r="BY344" s="33"/>
      <c r="BZ344" s="33"/>
      <c r="CA344" s="33"/>
      <c r="CB344" s="33"/>
      <c r="CC344" s="33"/>
      <c r="CD344" s="33"/>
      <c r="CE344" s="33"/>
      <c r="CF344" s="33"/>
      <c r="CG344" s="33"/>
      <c r="CH344" s="33"/>
      <c r="CI344" s="33"/>
      <c r="CJ344" s="33"/>
      <c r="CK344" s="33"/>
      <c r="CL344" s="33"/>
      <c r="CM344" s="33"/>
      <c r="CN344" s="33"/>
      <c r="CO344" s="33">
        <v>0.8</v>
      </c>
      <c r="CP344" s="33">
        <v>26.9</v>
      </c>
      <c r="CQ344" s="33"/>
      <c r="CR344" s="33">
        <v>0.32</v>
      </c>
      <c r="CS344" s="33">
        <v>3.1</v>
      </c>
      <c r="CT344" s="33"/>
      <c r="CU344" s="33">
        <v>267.2</v>
      </c>
      <c r="CV344" s="33">
        <v>46.9</v>
      </c>
      <c r="CW344" s="33">
        <v>0.43</v>
      </c>
      <c r="CX344" s="33">
        <v>4.87</v>
      </c>
      <c r="CY344" s="33">
        <v>170</v>
      </c>
      <c r="CZ344" s="33"/>
      <c r="DA344" s="33"/>
      <c r="DB344" s="33"/>
      <c r="DC344" s="33"/>
      <c r="DD344" s="33"/>
      <c r="DE344" s="33"/>
      <c r="DF344" s="33"/>
      <c r="DG344" s="33"/>
      <c r="DH344" s="33"/>
      <c r="DI344" s="33"/>
      <c r="DJ344" s="33"/>
      <c r="DK344" s="33"/>
      <c r="DL344" s="33"/>
      <c r="DM344" s="33"/>
      <c r="DN344" s="33"/>
      <c r="DO344" s="33"/>
      <c r="DP344" s="33"/>
      <c r="DQ344" s="33"/>
      <c r="DR344" s="33"/>
      <c r="DS344" s="33"/>
      <c r="DT344" s="33"/>
      <c r="DU344" s="33"/>
      <c r="DV344" s="33"/>
      <c r="DW344" s="33"/>
      <c r="DX344" s="33"/>
      <c r="DY344" s="33"/>
      <c r="DZ344" s="33"/>
      <c r="EA344" s="33"/>
      <c r="EB344" s="33"/>
      <c r="EC344" s="33"/>
      <c r="ED344" s="33"/>
      <c r="EE344" s="33"/>
      <c r="EF344" s="33"/>
      <c r="EG344" s="33"/>
      <c r="EH344" s="33"/>
      <c r="EI344" s="33"/>
      <c r="EJ344" s="33"/>
      <c r="EK344" s="33"/>
      <c r="EL344" s="33"/>
      <c r="EM344" s="33"/>
      <c r="EN344" s="33"/>
      <c r="EO344" s="33"/>
      <c r="EP344" s="33"/>
      <c r="EQ344" s="33"/>
      <c r="ER344" s="33"/>
      <c r="ES344" s="33"/>
      <c r="ET344" s="33"/>
      <c r="EU344" s="33"/>
      <c r="EV344" s="33"/>
      <c r="EW344" s="33"/>
      <c r="EX344" s="33"/>
      <c r="EY344" s="33"/>
      <c r="EZ344" s="33"/>
      <c r="FA344" s="33"/>
      <c r="FB344" s="33"/>
      <c r="FC344" s="33"/>
      <c r="FD344" s="33"/>
      <c r="FE344" s="33"/>
      <c r="FF344" s="33"/>
      <c r="FG344" s="33"/>
      <c r="FH344" s="33"/>
      <c r="FI344" s="33"/>
      <c r="FJ344" s="33"/>
      <c r="FK344" s="33"/>
      <c r="FL344" s="33"/>
      <c r="FM344" s="33"/>
      <c r="FN344" s="33"/>
      <c r="FO344" s="33"/>
      <c r="FP344" s="33"/>
      <c r="FQ344" s="33"/>
      <c r="FR344" s="33"/>
      <c r="FS344" s="33"/>
      <c r="FT344" s="33"/>
      <c r="FU344" s="33"/>
      <c r="FV344" s="33"/>
      <c r="FW344" s="33"/>
      <c r="FX344" s="33"/>
      <c r="FY344" s="33"/>
      <c r="FZ344" s="33"/>
      <c r="GA344" s="33"/>
      <c r="GB344" s="33"/>
      <c r="GC344" s="33"/>
      <c r="GD344" s="33"/>
      <c r="GE344" s="33"/>
      <c r="GF344" s="33"/>
      <c r="GG344" s="33"/>
      <c r="GH344" s="33"/>
      <c r="GI344" s="33"/>
      <c r="GJ344" s="33"/>
      <c r="GK344" s="33"/>
      <c r="GL344" s="33"/>
      <c r="GM344" s="33"/>
      <c r="GN344" s="33"/>
      <c r="GO344" s="33"/>
      <c r="GP344" s="33"/>
      <c r="GQ344" s="33"/>
      <c r="GR344" s="33"/>
      <c r="GS344" s="33"/>
      <c r="GT344" s="33"/>
      <c r="GU344" s="33"/>
      <c r="GV344" s="33"/>
      <c r="GW344" s="33"/>
      <c r="GX344" s="33"/>
      <c r="GY344" s="33"/>
      <c r="GZ344" s="33"/>
      <c r="HA344" s="33"/>
      <c r="HB344" s="33"/>
      <c r="HC344" s="33"/>
      <c r="HD344" s="33"/>
      <c r="HE344" s="33"/>
      <c r="HF344" s="33"/>
      <c r="HG344" s="33"/>
      <c r="HH344" s="33"/>
      <c r="HI344" s="33"/>
      <c r="HJ344" s="33"/>
      <c r="HK344" s="33"/>
      <c r="HL344" s="33"/>
      <c r="HM344" s="33"/>
      <c r="HN344" s="33"/>
      <c r="HO344" s="33"/>
      <c r="HP344" s="33"/>
      <c r="HQ344" s="33"/>
      <c r="HR344" s="33"/>
      <c r="HS344" s="33"/>
      <c r="HT344" s="33"/>
      <c r="HU344" s="33"/>
      <c r="HV344" s="33"/>
      <c r="HW344" s="33"/>
      <c r="HX344" s="33"/>
      <c r="HY344" s="33"/>
      <c r="HZ344" s="33"/>
      <c r="IA344" s="33"/>
      <c r="IB344" s="33"/>
      <c r="IC344" s="33"/>
      <c r="ID344" s="33"/>
      <c r="IE344" s="33"/>
      <c r="IF344" s="33"/>
      <c r="IG344" s="33"/>
      <c r="IH344" s="33"/>
      <c r="II344" s="33"/>
      <c r="IJ344" s="33"/>
      <c r="IK344" s="33"/>
      <c r="IL344" s="33"/>
      <c r="IM344" s="33"/>
      <c r="IN344" s="33"/>
      <c r="IO344" s="33"/>
      <c r="IP344" s="33"/>
      <c r="IQ344" s="33"/>
      <c r="IR344" s="33"/>
      <c r="IS344" s="33"/>
      <c r="IT344" s="33"/>
      <c r="IU344" s="33"/>
      <c r="IV344" s="33"/>
      <c r="IW344" s="33"/>
      <c r="IX344" s="33"/>
      <c r="IY344" s="33"/>
      <c r="IZ344" s="33"/>
      <c r="JA344" s="33"/>
      <c r="JB344" s="33"/>
      <c r="JC344" s="33"/>
      <c r="JD344" s="33"/>
      <c r="JE344" s="33"/>
      <c r="JF344" s="33"/>
      <c r="JG344" s="33"/>
      <c r="JH344" s="33"/>
      <c r="JI344" s="33"/>
      <c r="JJ344" s="33"/>
      <c r="JK344" s="33"/>
      <c r="JL344" s="33"/>
      <c r="JM344" s="33"/>
      <c r="JN344" s="33"/>
      <c r="JO344" s="33"/>
      <c r="JP344" s="33"/>
      <c r="JQ344" s="33"/>
      <c r="JR344" s="33"/>
      <c r="KZ344" s="33"/>
      <c r="LA344" s="33"/>
      <c r="LB344" s="33"/>
      <c r="LC344" s="33"/>
      <c r="LD344" s="33"/>
      <c r="LE344" s="33"/>
      <c r="LF344" s="33"/>
      <c r="LG344" s="33"/>
      <c r="LH344" s="33"/>
      <c r="LI344" s="33"/>
      <c r="LJ344" s="33"/>
      <c r="LK344" s="33"/>
      <c r="LL344" s="33"/>
      <c r="LM344" s="33"/>
      <c r="LN344" s="33"/>
      <c r="LO344" s="33"/>
      <c r="LP344" s="44"/>
      <c r="LQ344" s="44"/>
      <c r="LR344" s="44"/>
      <c r="LS344" s="44"/>
      <c r="LT344" s="44"/>
      <c r="LU344" s="44"/>
      <c r="LV344" s="44"/>
    </row>
    <row r="345" spans="1:334" x14ac:dyDescent="0.2">
      <c r="A345" s="1" t="s">
        <v>8878</v>
      </c>
      <c r="B345" s="1" t="s">
        <v>8850</v>
      </c>
      <c r="D345" s="1" t="s">
        <v>8879</v>
      </c>
      <c r="E345" s="1" t="s">
        <v>11</v>
      </c>
      <c r="F345" s="1" t="s">
        <v>8586</v>
      </c>
      <c r="H345" s="1" t="s">
        <v>8880</v>
      </c>
      <c r="I345" s="1">
        <v>12</v>
      </c>
      <c r="K345" s="1">
        <v>1976</v>
      </c>
      <c r="L345" s="1" t="s">
        <v>8852</v>
      </c>
      <c r="M345" s="1" t="s">
        <v>7657</v>
      </c>
      <c r="N345" s="17" t="s">
        <v>7945</v>
      </c>
      <c r="O345" s="33"/>
      <c r="P345" s="33"/>
      <c r="Q345" s="33"/>
      <c r="R345" s="33"/>
      <c r="S345" s="33">
        <v>58.1</v>
      </c>
      <c r="T345" s="33"/>
      <c r="U345" s="33">
        <v>6.25</v>
      </c>
      <c r="V345" s="33"/>
      <c r="W345" s="33"/>
      <c r="X345" s="33"/>
      <c r="Y345" s="33"/>
      <c r="Z345" s="33"/>
      <c r="AA345" s="33">
        <v>9.4</v>
      </c>
      <c r="AB345" s="33"/>
      <c r="AC345" s="33"/>
      <c r="AD345" s="33">
        <v>2.2999999999999998</v>
      </c>
      <c r="AE345" s="33"/>
      <c r="AF345" s="33">
        <v>29.3</v>
      </c>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33"/>
      <c r="BE345" s="33">
        <v>2.6</v>
      </c>
      <c r="BF345" s="33"/>
      <c r="BG345" s="33"/>
      <c r="BH345" s="33"/>
      <c r="BI345" s="33"/>
      <c r="BJ345" s="33"/>
      <c r="BK345" s="33"/>
      <c r="BL345" s="33"/>
      <c r="BM345" s="33"/>
      <c r="BN345" s="33"/>
      <c r="BO345" s="33"/>
      <c r="BP345" s="33"/>
      <c r="BQ345" s="33"/>
      <c r="BR345" s="33"/>
      <c r="BS345" s="33"/>
      <c r="BT345" s="33"/>
      <c r="BU345" s="33"/>
      <c r="BV345" s="33"/>
      <c r="BW345" s="33"/>
      <c r="BX345" s="33"/>
      <c r="BY345" s="33"/>
      <c r="BZ345" s="33"/>
      <c r="CA345" s="33"/>
      <c r="CB345" s="33"/>
      <c r="CC345" s="33"/>
      <c r="CD345" s="33"/>
      <c r="CE345" s="33"/>
      <c r="CF345" s="33"/>
      <c r="CG345" s="33"/>
      <c r="CH345" s="33"/>
      <c r="CI345" s="33"/>
      <c r="CJ345" s="33"/>
      <c r="CK345" s="33"/>
      <c r="CL345" s="33"/>
      <c r="CM345" s="33"/>
      <c r="CN345" s="33"/>
      <c r="CO345" s="33">
        <v>0.9</v>
      </c>
      <c r="CP345" s="33">
        <v>55.6</v>
      </c>
      <c r="CQ345" s="33"/>
      <c r="CR345" s="33">
        <v>0.47</v>
      </c>
      <c r="CS345" s="33">
        <v>3.38</v>
      </c>
      <c r="CT345" s="33"/>
      <c r="CU345" s="33">
        <v>325.8</v>
      </c>
      <c r="CV345" s="33">
        <v>47.1</v>
      </c>
      <c r="CW345" s="33">
        <v>0.98</v>
      </c>
      <c r="CX345" s="33">
        <v>7.95</v>
      </c>
      <c r="CY345" s="33">
        <v>190</v>
      </c>
      <c r="CZ345" s="33"/>
      <c r="DA345" s="33"/>
      <c r="DB345" s="33"/>
      <c r="DC345" s="33"/>
      <c r="DD345" s="33"/>
      <c r="DE345" s="33"/>
      <c r="DF345" s="33"/>
      <c r="DG345" s="33"/>
      <c r="DH345" s="33"/>
      <c r="DI345" s="33"/>
      <c r="DJ345" s="33"/>
      <c r="DK345" s="33"/>
      <c r="DL345" s="33"/>
      <c r="DM345" s="33"/>
      <c r="DN345" s="33"/>
      <c r="DO345" s="33"/>
      <c r="DP345" s="33"/>
      <c r="DQ345" s="33"/>
      <c r="DR345" s="33"/>
      <c r="DS345" s="33"/>
      <c r="DT345" s="33"/>
      <c r="DU345" s="33"/>
      <c r="DV345" s="33"/>
      <c r="DW345" s="33"/>
      <c r="DX345" s="33"/>
      <c r="DY345" s="33"/>
      <c r="DZ345" s="33"/>
      <c r="EA345" s="33"/>
      <c r="EB345" s="33"/>
      <c r="EC345" s="33"/>
      <c r="ED345" s="33"/>
      <c r="EE345" s="33"/>
      <c r="EF345" s="33"/>
      <c r="EG345" s="33"/>
      <c r="EH345" s="33"/>
      <c r="EI345" s="33"/>
      <c r="EJ345" s="33"/>
      <c r="EK345" s="33"/>
      <c r="EL345" s="33"/>
      <c r="EM345" s="33"/>
      <c r="EN345" s="33"/>
      <c r="EO345" s="33"/>
      <c r="EP345" s="33"/>
      <c r="EQ345" s="33"/>
      <c r="ER345" s="33"/>
      <c r="ES345" s="33"/>
      <c r="ET345" s="33"/>
      <c r="EU345" s="33"/>
      <c r="EV345" s="33"/>
      <c r="EW345" s="33"/>
      <c r="EX345" s="33"/>
      <c r="EY345" s="33"/>
      <c r="EZ345" s="33"/>
      <c r="FA345" s="33"/>
      <c r="FB345" s="33"/>
      <c r="FC345" s="33"/>
      <c r="FD345" s="33"/>
      <c r="FE345" s="33"/>
      <c r="FF345" s="33"/>
      <c r="FG345" s="33"/>
      <c r="FH345" s="33"/>
      <c r="FI345" s="33"/>
      <c r="FJ345" s="33"/>
      <c r="FK345" s="33"/>
      <c r="FL345" s="33"/>
      <c r="FM345" s="33"/>
      <c r="FN345" s="33"/>
      <c r="FO345" s="33"/>
      <c r="FP345" s="33"/>
      <c r="FQ345" s="33"/>
      <c r="FR345" s="33"/>
      <c r="FS345" s="33"/>
      <c r="FT345" s="33"/>
      <c r="FU345" s="33"/>
      <c r="FV345" s="33"/>
      <c r="FW345" s="33"/>
      <c r="FX345" s="33"/>
      <c r="FY345" s="33"/>
      <c r="FZ345" s="33"/>
      <c r="GA345" s="33"/>
      <c r="GB345" s="33"/>
      <c r="GC345" s="33"/>
      <c r="GD345" s="33"/>
      <c r="GE345" s="33"/>
      <c r="GF345" s="33"/>
      <c r="GG345" s="33"/>
      <c r="GH345" s="33"/>
      <c r="GI345" s="33"/>
      <c r="GJ345" s="33"/>
      <c r="GK345" s="33"/>
      <c r="GL345" s="33"/>
      <c r="GM345" s="33"/>
      <c r="GN345" s="33"/>
      <c r="GO345" s="33"/>
      <c r="GP345" s="33"/>
      <c r="GQ345" s="33"/>
      <c r="GR345" s="33"/>
      <c r="GS345" s="33"/>
      <c r="GT345" s="33"/>
      <c r="GU345" s="33"/>
      <c r="GV345" s="33"/>
      <c r="GW345" s="33"/>
      <c r="GX345" s="33"/>
      <c r="GY345" s="33"/>
      <c r="GZ345" s="33"/>
      <c r="HA345" s="33"/>
      <c r="HB345" s="33"/>
      <c r="HC345" s="33"/>
      <c r="HD345" s="33"/>
      <c r="HE345" s="33"/>
      <c r="HF345" s="33"/>
      <c r="HG345" s="33"/>
      <c r="HH345" s="33"/>
      <c r="HI345" s="33"/>
      <c r="HJ345" s="33"/>
      <c r="HK345" s="33"/>
      <c r="HL345" s="33"/>
      <c r="HM345" s="33"/>
      <c r="HN345" s="33"/>
      <c r="HO345" s="33"/>
      <c r="HP345" s="33"/>
      <c r="HQ345" s="33"/>
      <c r="HR345" s="33"/>
      <c r="HS345" s="33"/>
      <c r="HT345" s="33"/>
      <c r="HU345" s="33"/>
      <c r="HV345" s="33"/>
      <c r="HW345" s="33"/>
      <c r="HX345" s="33"/>
      <c r="HY345" s="33"/>
      <c r="HZ345" s="33"/>
      <c r="IA345" s="33"/>
      <c r="IB345" s="33"/>
      <c r="IC345" s="33"/>
      <c r="ID345" s="33"/>
      <c r="IE345" s="33"/>
      <c r="IF345" s="33"/>
      <c r="IG345" s="33"/>
      <c r="IH345" s="33"/>
      <c r="II345" s="33"/>
      <c r="IJ345" s="33"/>
      <c r="IK345" s="33"/>
      <c r="IL345" s="33"/>
      <c r="IM345" s="33"/>
      <c r="IN345" s="33"/>
      <c r="IO345" s="33"/>
      <c r="IP345" s="33"/>
      <c r="IQ345" s="33"/>
      <c r="IR345" s="33"/>
      <c r="IS345" s="33"/>
      <c r="IT345" s="33"/>
      <c r="IU345" s="33"/>
      <c r="IV345" s="33"/>
      <c r="IW345" s="33"/>
      <c r="IX345" s="33"/>
      <c r="IY345" s="33"/>
      <c r="IZ345" s="33"/>
      <c r="JA345" s="33"/>
      <c r="JB345" s="33"/>
      <c r="JC345" s="33"/>
      <c r="JD345" s="33"/>
      <c r="JE345" s="33"/>
      <c r="JF345" s="33"/>
      <c r="JG345" s="33"/>
      <c r="JH345" s="33"/>
      <c r="JI345" s="33"/>
      <c r="JJ345" s="33"/>
      <c r="JK345" s="33"/>
      <c r="JL345" s="33"/>
      <c r="JM345" s="33"/>
      <c r="JN345" s="33"/>
      <c r="JO345" s="33"/>
      <c r="JP345" s="33"/>
      <c r="JQ345" s="33"/>
      <c r="JR345" s="33"/>
      <c r="KZ345" s="33"/>
      <c r="LA345" s="33"/>
      <c r="LB345" s="33"/>
      <c r="LC345" s="33"/>
      <c r="LD345" s="33"/>
      <c r="LE345" s="33"/>
      <c r="LF345" s="33"/>
      <c r="LG345" s="33"/>
      <c r="LH345" s="33"/>
      <c r="LI345" s="33"/>
      <c r="LJ345" s="33"/>
      <c r="LK345" s="33"/>
      <c r="LL345" s="33"/>
      <c r="LM345" s="33"/>
      <c r="LN345" s="33"/>
      <c r="LO345" s="33"/>
      <c r="LP345" s="44"/>
      <c r="LQ345" s="44"/>
      <c r="LR345" s="44"/>
      <c r="LS345" s="44"/>
      <c r="LT345" s="44"/>
      <c r="LU345" s="44"/>
      <c r="LV345" s="44"/>
    </row>
    <row r="346" spans="1:334" x14ac:dyDescent="0.2">
      <c r="A346" s="1" t="s">
        <v>8881</v>
      </c>
      <c r="B346" s="1" t="s">
        <v>8850</v>
      </c>
      <c r="D346" s="1" t="s">
        <v>8882</v>
      </c>
      <c r="E346" s="1" t="s">
        <v>11</v>
      </c>
      <c r="F346" s="1" t="s">
        <v>8848</v>
      </c>
      <c r="H346" s="1" t="s">
        <v>8883</v>
      </c>
      <c r="I346" s="1">
        <v>12</v>
      </c>
      <c r="K346" s="1">
        <v>1976</v>
      </c>
      <c r="L346" s="1" t="s">
        <v>8852</v>
      </c>
      <c r="M346" s="1" t="s">
        <v>7657</v>
      </c>
      <c r="N346" s="17" t="s">
        <v>7945</v>
      </c>
      <c r="O346" s="33"/>
      <c r="P346" s="33"/>
      <c r="Q346" s="33"/>
      <c r="R346" s="33"/>
      <c r="S346" s="33">
        <v>70.7</v>
      </c>
      <c r="T346" s="33"/>
      <c r="U346" s="33">
        <v>6.25</v>
      </c>
      <c r="V346" s="33"/>
      <c r="W346" s="33"/>
      <c r="X346" s="33"/>
      <c r="Y346" s="33"/>
      <c r="Z346" s="33"/>
      <c r="AA346" s="33">
        <v>7.4</v>
      </c>
      <c r="AB346" s="33"/>
      <c r="AC346" s="33"/>
      <c r="AD346" s="33">
        <v>0.3</v>
      </c>
      <c r="AE346" s="33"/>
      <c r="AF346" s="33">
        <v>21</v>
      </c>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c r="BC346" s="33"/>
      <c r="BD346" s="33"/>
      <c r="BE346" s="33">
        <v>2</v>
      </c>
      <c r="BF346" s="33"/>
      <c r="BG346" s="33"/>
      <c r="BH346" s="33"/>
      <c r="BI346" s="33"/>
      <c r="BJ346" s="33"/>
      <c r="BK346" s="33"/>
      <c r="BL346" s="33"/>
      <c r="BM346" s="33"/>
      <c r="BN346" s="33"/>
      <c r="BO346" s="33"/>
      <c r="BP346" s="33"/>
      <c r="BQ346" s="33"/>
      <c r="BR346" s="33"/>
      <c r="BS346" s="33"/>
      <c r="BT346" s="33"/>
      <c r="BU346" s="33"/>
      <c r="BV346" s="33"/>
      <c r="BW346" s="33"/>
      <c r="BX346" s="33"/>
      <c r="BY346" s="33"/>
      <c r="BZ346" s="33"/>
      <c r="CA346" s="33"/>
      <c r="CB346" s="33"/>
      <c r="CC346" s="33"/>
      <c r="CD346" s="33"/>
      <c r="CE346" s="33"/>
      <c r="CF346" s="33"/>
      <c r="CG346" s="33"/>
      <c r="CH346" s="33"/>
      <c r="CI346" s="33"/>
      <c r="CJ346" s="33"/>
      <c r="CK346" s="33"/>
      <c r="CL346" s="33"/>
      <c r="CM346" s="33"/>
      <c r="CN346" s="33"/>
      <c r="CO346" s="33">
        <v>0.6</v>
      </c>
      <c r="CP346" s="33">
        <v>13.5</v>
      </c>
      <c r="CQ346" s="33"/>
      <c r="CR346" s="33">
        <v>0.19</v>
      </c>
      <c r="CS346" s="33">
        <v>1.1100000000000001</v>
      </c>
      <c r="CT346" s="33"/>
      <c r="CU346" s="33">
        <v>406.1</v>
      </c>
      <c r="CV346" s="33">
        <v>31.7</v>
      </c>
      <c r="CW346" s="33">
        <v>0.4</v>
      </c>
      <c r="CX346" s="33">
        <v>2.2200000000000002</v>
      </c>
      <c r="CY346" s="33">
        <v>80</v>
      </c>
      <c r="CZ346" s="33"/>
      <c r="DA346" s="33"/>
      <c r="DB346" s="33"/>
      <c r="DC346" s="33"/>
      <c r="DD346" s="33"/>
      <c r="DE346" s="33"/>
      <c r="DF346" s="33"/>
      <c r="DG346" s="33"/>
      <c r="DH346" s="33"/>
      <c r="DI346" s="33"/>
      <c r="DJ346" s="33"/>
      <c r="DK346" s="33"/>
      <c r="DL346" s="33"/>
      <c r="DM346" s="33"/>
      <c r="DN346" s="33"/>
      <c r="DO346" s="33"/>
      <c r="DP346" s="33"/>
      <c r="DQ346" s="33"/>
      <c r="DR346" s="33"/>
      <c r="DS346" s="33"/>
      <c r="DT346" s="33"/>
      <c r="DU346" s="33"/>
      <c r="DV346" s="33"/>
      <c r="DW346" s="33"/>
      <c r="DX346" s="33"/>
      <c r="DY346" s="33"/>
      <c r="DZ346" s="33"/>
      <c r="EA346" s="33"/>
      <c r="EB346" s="33"/>
      <c r="EC346" s="33"/>
      <c r="ED346" s="33"/>
      <c r="EE346" s="33"/>
      <c r="EF346" s="33"/>
      <c r="EG346" s="33"/>
      <c r="EH346" s="33"/>
      <c r="EI346" s="33"/>
      <c r="EJ346" s="33"/>
      <c r="EK346" s="33"/>
      <c r="EL346" s="33"/>
      <c r="EM346" s="33"/>
      <c r="EN346" s="33"/>
      <c r="EO346" s="33"/>
      <c r="EP346" s="33"/>
      <c r="EQ346" s="33"/>
      <c r="ER346" s="33"/>
      <c r="ES346" s="33"/>
      <c r="ET346" s="33"/>
      <c r="EU346" s="33"/>
      <c r="EV346" s="33"/>
      <c r="EW346" s="33"/>
      <c r="EX346" s="33"/>
      <c r="EY346" s="33"/>
      <c r="EZ346" s="33"/>
      <c r="FA346" s="33"/>
      <c r="FB346" s="33"/>
      <c r="FC346" s="33"/>
      <c r="FD346" s="33"/>
      <c r="FE346" s="33"/>
      <c r="FF346" s="33"/>
      <c r="FG346" s="33"/>
      <c r="FH346" s="33"/>
      <c r="FI346" s="33"/>
      <c r="FJ346" s="33"/>
      <c r="FK346" s="33"/>
      <c r="FL346" s="33"/>
      <c r="FM346" s="33"/>
      <c r="FN346" s="33"/>
      <c r="FO346" s="33"/>
      <c r="FP346" s="33"/>
      <c r="FQ346" s="33"/>
      <c r="FR346" s="33"/>
      <c r="FS346" s="33"/>
      <c r="FT346" s="33"/>
      <c r="FU346" s="33"/>
      <c r="FV346" s="33"/>
      <c r="FW346" s="33"/>
      <c r="FX346" s="33"/>
      <c r="FY346" s="33"/>
      <c r="FZ346" s="33"/>
      <c r="GA346" s="33"/>
      <c r="GB346" s="33"/>
      <c r="GC346" s="33"/>
      <c r="GD346" s="33"/>
      <c r="GE346" s="33"/>
      <c r="GF346" s="33"/>
      <c r="GG346" s="33"/>
      <c r="GH346" s="33"/>
      <c r="GI346" s="33"/>
      <c r="GJ346" s="33"/>
      <c r="GK346" s="33"/>
      <c r="GL346" s="33"/>
      <c r="GM346" s="33"/>
      <c r="GN346" s="33"/>
      <c r="GO346" s="33"/>
      <c r="GP346" s="33"/>
      <c r="GQ346" s="33"/>
      <c r="GR346" s="33"/>
      <c r="GS346" s="33"/>
      <c r="GT346" s="33"/>
      <c r="GU346" s="33"/>
      <c r="GV346" s="33"/>
      <c r="GW346" s="33"/>
      <c r="GX346" s="33"/>
      <c r="GY346" s="33"/>
      <c r="GZ346" s="33"/>
      <c r="HA346" s="33"/>
      <c r="HB346" s="33"/>
      <c r="HC346" s="33"/>
      <c r="HD346" s="33"/>
      <c r="HE346" s="33"/>
      <c r="HF346" s="33"/>
      <c r="HG346" s="33"/>
      <c r="HH346" s="33"/>
      <c r="HI346" s="33"/>
      <c r="HJ346" s="33"/>
      <c r="HK346" s="33"/>
      <c r="HL346" s="33"/>
      <c r="HM346" s="33"/>
      <c r="HN346" s="33"/>
      <c r="HO346" s="33"/>
      <c r="HP346" s="33"/>
      <c r="HQ346" s="33"/>
      <c r="HR346" s="33"/>
      <c r="HS346" s="33"/>
      <c r="HT346" s="33"/>
      <c r="HU346" s="33"/>
      <c r="HV346" s="33"/>
      <c r="HW346" s="33"/>
      <c r="HX346" s="33"/>
      <c r="HY346" s="33"/>
      <c r="HZ346" s="33"/>
      <c r="IA346" s="33"/>
      <c r="IB346" s="33"/>
      <c r="IC346" s="33"/>
      <c r="ID346" s="33"/>
      <c r="IE346" s="33"/>
      <c r="IF346" s="33"/>
      <c r="IG346" s="33"/>
      <c r="IH346" s="33"/>
      <c r="II346" s="33"/>
      <c r="IJ346" s="33"/>
      <c r="IK346" s="33"/>
      <c r="IL346" s="33"/>
      <c r="IM346" s="33"/>
      <c r="IN346" s="33"/>
      <c r="IO346" s="33"/>
      <c r="IP346" s="33"/>
      <c r="IQ346" s="33"/>
      <c r="IR346" s="33"/>
      <c r="IS346" s="33"/>
      <c r="IT346" s="33"/>
      <c r="IU346" s="33"/>
      <c r="IV346" s="33"/>
      <c r="IW346" s="33"/>
      <c r="IX346" s="33"/>
      <c r="IY346" s="33"/>
      <c r="IZ346" s="33"/>
      <c r="JA346" s="33"/>
      <c r="JB346" s="33"/>
      <c r="JC346" s="33"/>
      <c r="JD346" s="33"/>
      <c r="JE346" s="33"/>
      <c r="JF346" s="33"/>
      <c r="JG346" s="33"/>
      <c r="JH346" s="33"/>
      <c r="JI346" s="33"/>
      <c r="JJ346" s="33"/>
      <c r="JK346" s="33"/>
      <c r="JL346" s="33"/>
      <c r="JM346" s="33"/>
      <c r="JN346" s="33"/>
      <c r="JO346" s="33"/>
      <c r="JP346" s="33"/>
      <c r="JQ346" s="33"/>
      <c r="JR346" s="33"/>
      <c r="KZ346" s="33"/>
      <c r="LA346" s="33"/>
      <c r="LB346" s="33"/>
      <c r="LC346" s="33"/>
      <c r="LD346" s="33"/>
      <c r="LE346" s="33"/>
      <c r="LF346" s="33"/>
      <c r="LG346" s="33"/>
      <c r="LH346" s="33"/>
      <c r="LI346" s="33"/>
      <c r="LJ346" s="33"/>
      <c r="LK346" s="33"/>
      <c r="LL346" s="33"/>
      <c r="LM346" s="33"/>
      <c r="LN346" s="33"/>
      <c r="LO346" s="33"/>
      <c r="LP346" s="44"/>
      <c r="LQ346" s="44"/>
      <c r="LR346" s="44"/>
      <c r="LS346" s="44"/>
      <c r="LT346" s="44"/>
      <c r="LU346" s="44"/>
      <c r="LV346" s="44"/>
    </row>
    <row r="347" spans="1:334" x14ac:dyDescent="0.2">
      <c r="A347" s="1" t="s">
        <v>8884</v>
      </c>
      <c r="B347" s="1" t="s">
        <v>8850</v>
      </c>
      <c r="D347" s="1" t="s">
        <v>8885</v>
      </c>
      <c r="E347" s="1" t="s">
        <v>11</v>
      </c>
      <c r="F347" s="1" t="s">
        <v>8866</v>
      </c>
      <c r="H347" s="1" t="s">
        <v>8877</v>
      </c>
      <c r="I347" s="1">
        <v>12</v>
      </c>
      <c r="K347" s="1">
        <v>1976</v>
      </c>
      <c r="L347" s="1" t="s">
        <v>8852</v>
      </c>
      <c r="M347" s="1" t="s">
        <v>7657</v>
      </c>
      <c r="N347" s="17" t="s">
        <v>7945</v>
      </c>
      <c r="O347" s="33"/>
      <c r="P347" s="33"/>
      <c r="Q347" s="33"/>
      <c r="R347" s="33"/>
      <c r="S347" s="33">
        <v>72.5</v>
      </c>
      <c r="T347" s="33"/>
      <c r="U347" s="33">
        <v>6.25</v>
      </c>
      <c r="V347" s="33"/>
      <c r="W347" s="33"/>
      <c r="X347" s="33"/>
      <c r="Y347" s="33"/>
      <c r="Z347" s="33"/>
      <c r="AA347" s="33">
        <v>8.6999999999999993</v>
      </c>
      <c r="AB347" s="33"/>
      <c r="AC347" s="33"/>
      <c r="AD347" s="33">
        <v>0.4</v>
      </c>
      <c r="AE347" s="33"/>
      <c r="AF347" s="33">
        <v>17.7</v>
      </c>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33"/>
      <c r="BE347" s="33">
        <v>2.8</v>
      </c>
      <c r="BF347" s="33"/>
      <c r="BG347" s="33"/>
      <c r="BH347" s="33"/>
      <c r="BI347" s="33"/>
      <c r="BJ347" s="33"/>
      <c r="BK347" s="33"/>
      <c r="BL347" s="33"/>
      <c r="BM347" s="33"/>
      <c r="BN347" s="33"/>
      <c r="BO347" s="33"/>
      <c r="BP347" s="33"/>
      <c r="BQ347" s="33"/>
      <c r="BR347" s="33"/>
      <c r="BS347" s="33"/>
      <c r="BT347" s="33"/>
      <c r="BU347" s="33"/>
      <c r="BV347" s="33"/>
      <c r="BW347" s="33"/>
      <c r="BX347" s="33"/>
      <c r="BY347" s="33"/>
      <c r="BZ347" s="33"/>
      <c r="CA347" s="33"/>
      <c r="CB347" s="33"/>
      <c r="CC347" s="33"/>
      <c r="CD347" s="33"/>
      <c r="CE347" s="33"/>
      <c r="CF347" s="33"/>
      <c r="CG347" s="33"/>
      <c r="CH347" s="33"/>
      <c r="CI347" s="33"/>
      <c r="CJ347" s="33"/>
      <c r="CK347" s="33"/>
      <c r="CL347" s="33"/>
      <c r="CM347" s="33"/>
      <c r="CN347" s="33"/>
      <c r="CO347" s="33">
        <v>0.7</v>
      </c>
      <c r="CP347" s="33">
        <v>18.2</v>
      </c>
      <c r="CQ347" s="33"/>
      <c r="CR347" s="33">
        <v>0.25</v>
      </c>
      <c r="CS347" s="33">
        <v>3.98</v>
      </c>
      <c r="CT347" s="33"/>
      <c r="CU347" s="33">
        <v>391.5</v>
      </c>
      <c r="CV347" s="33">
        <v>30.2</v>
      </c>
      <c r="CW347" s="33">
        <v>0.5</v>
      </c>
      <c r="CX347" s="33">
        <v>2.11</v>
      </c>
      <c r="CY347" s="33">
        <v>186</v>
      </c>
      <c r="CZ347" s="33"/>
      <c r="DA347" s="33"/>
      <c r="DB347" s="33"/>
      <c r="DC347" s="33"/>
      <c r="DD347" s="33"/>
      <c r="DE347" s="33"/>
      <c r="DF347" s="33"/>
      <c r="DG347" s="33"/>
      <c r="DH347" s="33"/>
      <c r="DI347" s="33"/>
      <c r="DJ347" s="33"/>
      <c r="DK347" s="33"/>
      <c r="DL347" s="33"/>
      <c r="DM347" s="33"/>
      <c r="DN347" s="33"/>
      <c r="DO347" s="33"/>
      <c r="DP347" s="33"/>
      <c r="DQ347" s="33"/>
      <c r="DR347" s="33"/>
      <c r="DS347" s="33"/>
      <c r="DT347" s="33"/>
      <c r="DU347" s="33"/>
      <c r="DV347" s="33"/>
      <c r="DW347" s="33"/>
      <c r="DX347" s="33"/>
      <c r="DY347" s="33"/>
      <c r="DZ347" s="33"/>
      <c r="EA347" s="33"/>
      <c r="EB347" s="33"/>
      <c r="EC347" s="33"/>
      <c r="ED347" s="33"/>
      <c r="EE347" s="33"/>
      <c r="EF347" s="33"/>
      <c r="EG347" s="33"/>
      <c r="EH347" s="33"/>
      <c r="EI347" s="33"/>
      <c r="EJ347" s="33"/>
      <c r="EK347" s="33"/>
      <c r="EL347" s="33"/>
      <c r="EM347" s="33"/>
      <c r="EN347" s="33"/>
      <c r="EO347" s="33"/>
      <c r="EP347" s="33"/>
      <c r="EQ347" s="33"/>
      <c r="ER347" s="33"/>
      <c r="ES347" s="33"/>
      <c r="ET347" s="33"/>
      <c r="EU347" s="33"/>
      <c r="EV347" s="33"/>
      <c r="EW347" s="33"/>
      <c r="EX347" s="33"/>
      <c r="EY347" s="33"/>
      <c r="EZ347" s="33"/>
      <c r="FA347" s="33"/>
      <c r="FB347" s="33"/>
      <c r="FC347" s="33"/>
      <c r="FD347" s="33"/>
      <c r="FE347" s="33"/>
      <c r="FF347" s="33"/>
      <c r="FG347" s="33"/>
      <c r="FH347" s="33"/>
      <c r="FI347" s="33"/>
      <c r="FJ347" s="33"/>
      <c r="FK347" s="33"/>
      <c r="FL347" s="33"/>
      <c r="FM347" s="33"/>
      <c r="FN347" s="33"/>
      <c r="FO347" s="33"/>
      <c r="FP347" s="33"/>
      <c r="FQ347" s="33"/>
      <c r="FR347" s="33"/>
      <c r="FS347" s="33"/>
      <c r="FT347" s="33"/>
      <c r="FU347" s="33"/>
      <c r="FV347" s="33"/>
      <c r="FW347" s="33"/>
      <c r="FX347" s="33"/>
      <c r="FY347" s="33"/>
      <c r="FZ347" s="33"/>
      <c r="GA347" s="33"/>
      <c r="GB347" s="33"/>
      <c r="GC347" s="33"/>
      <c r="GD347" s="33"/>
      <c r="GE347" s="33"/>
      <c r="GF347" s="33"/>
      <c r="GG347" s="33"/>
      <c r="GH347" s="33"/>
      <c r="GI347" s="33"/>
      <c r="GJ347" s="33"/>
      <c r="GK347" s="33"/>
      <c r="GL347" s="33"/>
      <c r="GM347" s="33"/>
      <c r="GN347" s="33"/>
      <c r="GO347" s="33"/>
      <c r="GP347" s="33"/>
      <c r="GQ347" s="33"/>
      <c r="GR347" s="33"/>
      <c r="GS347" s="33"/>
      <c r="GT347" s="33"/>
      <c r="GU347" s="33"/>
      <c r="GV347" s="33"/>
      <c r="GW347" s="33"/>
      <c r="GX347" s="33"/>
      <c r="GY347" s="33"/>
      <c r="GZ347" s="33"/>
      <c r="HA347" s="33"/>
      <c r="HB347" s="33"/>
      <c r="HC347" s="33"/>
      <c r="HD347" s="33"/>
      <c r="HE347" s="33"/>
      <c r="HF347" s="33"/>
      <c r="HG347" s="33"/>
      <c r="HH347" s="33"/>
      <c r="HI347" s="33"/>
      <c r="HJ347" s="33"/>
      <c r="HK347" s="33"/>
      <c r="HL347" s="33"/>
      <c r="HM347" s="33"/>
      <c r="HN347" s="33"/>
      <c r="HO347" s="33"/>
      <c r="HP347" s="33"/>
      <c r="HQ347" s="33"/>
      <c r="HR347" s="33"/>
      <c r="HS347" s="33"/>
      <c r="HT347" s="33"/>
      <c r="HU347" s="33"/>
      <c r="HV347" s="33"/>
      <c r="HW347" s="33"/>
      <c r="HX347" s="33"/>
      <c r="HY347" s="33"/>
      <c r="HZ347" s="33"/>
      <c r="IA347" s="33"/>
      <c r="IB347" s="33"/>
      <c r="IC347" s="33"/>
      <c r="ID347" s="33"/>
      <c r="IE347" s="33"/>
      <c r="IF347" s="33"/>
      <c r="IG347" s="33"/>
      <c r="IH347" s="33"/>
      <c r="II347" s="33"/>
      <c r="IJ347" s="33"/>
      <c r="IK347" s="33"/>
      <c r="IL347" s="33"/>
      <c r="IM347" s="33"/>
      <c r="IN347" s="33"/>
      <c r="IO347" s="33"/>
      <c r="IP347" s="33"/>
      <c r="IQ347" s="33"/>
      <c r="IR347" s="33"/>
      <c r="IS347" s="33"/>
      <c r="IT347" s="33"/>
      <c r="IU347" s="33"/>
      <c r="IV347" s="33"/>
      <c r="IW347" s="33"/>
      <c r="IX347" s="33"/>
      <c r="IY347" s="33"/>
      <c r="IZ347" s="33"/>
      <c r="JA347" s="33"/>
      <c r="JB347" s="33"/>
      <c r="JC347" s="33"/>
      <c r="JD347" s="33"/>
      <c r="JE347" s="33"/>
      <c r="JF347" s="33"/>
      <c r="JG347" s="33"/>
      <c r="JH347" s="33"/>
      <c r="JI347" s="33"/>
      <c r="JJ347" s="33"/>
      <c r="JK347" s="33"/>
      <c r="JL347" s="33"/>
      <c r="JM347" s="33"/>
      <c r="JN347" s="33"/>
      <c r="JO347" s="33"/>
      <c r="JP347" s="33"/>
      <c r="JQ347" s="33"/>
      <c r="JR347" s="33"/>
      <c r="KZ347" s="33"/>
      <c r="LA347" s="33"/>
      <c r="LB347" s="33"/>
      <c r="LC347" s="33"/>
      <c r="LD347" s="33"/>
      <c r="LE347" s="33"/>
      <c r="LF347" s="33"/>
      <c r="LG347" s="33"/>
      <c r="LH347" s="33"/>
      <c r="LI347" s="33"/>
      <c r="LJ347" s="33"/>
      <c r="LK347" s="33"/>
      <c r="LL347" s="33"/>
      <c r="LM347" s="33"/>
      <c r="LN347" s="33"/>
      <c r="LO347" s="33"/>
      <c r="LP347" s="44"/>
      <c r="LQ347" s="44"/>
      <c r="LR347" s="44"/>
      <c r="LS347" s="44"/>
      <c r="LT347" s="44"/>
      <c r="LU347" s="44"/>
      <c r="LV347" s="44"/>
    </row>
    <row r="348" spans="1:334" x14ac:dyDescent="0.2">
      <c r="A348" s="1" t="s">
        <v>8886</v>
      </c>
      <c r="B348" s="1" t="s">
        <v>8887</v>
      </c>
      <c r="D348" s="1" t="s">
        <v>8888</v>
      </c>
      <c r="E348" s="1" t="s">
        <v>7</v>
      </c>
      <c r="F348" s="1" t="s">
        <v>8889</v>
      </c>
      <c r="J348" s="1" t="s">
        <v>8890</v>
      </c>
      <c r="K348" s="1">
        <v>1986</v>
      </c>
      <c r="L348" s="1" t="s">
        <v>8891</v>
      </c>
      <c r="M348" s="1" t="s">
        <v>7657</v>
      </c>
      <c r="N348" s="17" t="s">
        <v>7945</v>
      </c>
      <c r="O348" s="33">
        <v>1380</v>
      </c>
      <c r="P348" s="33">
        <v>329</v>
      </c>
      <c r="Q348" s="33"/>
      <c r="R348" s="33"/>
      <c r="S348" s="33">
        <v>8.5</v>
      </c>
      <c r="T348" s="33"/>
      <c r="U348" s="33">
        <v>6.25</v>
      </c>
      <c r="V348" s="33"/>
      <c r="W348" s="33"/>
      <c r="X348" s="33"/>
      <c r="Y348" s="33"/>
      <c r="Z348" s="33">
        <v>24.5</v>
      </c>
      <c r="AA348" s="33"/>
      <c r="AB348" s="33"/>
      <c r="AC348" s="33"/>
      <c r="AD348" s="33">
        <v>1.4</v>
      </c>
      <c r="AE348" s="33">
        <v>54.5</v>
      </c>
      <c r="AF348" s="33">
        <v>62.6</v>
      </c>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33"/>
      <c r="BE348" s="33">
        <v>8.1</v>
      </c>
      <c r="BF348" s="33"/>
      <c r="BG348" s="33"/>
      <c r="BH348" s="33"/>
      <c r="BI348" s="33"/>
      <c r="BJ348" s="33"/>
      <c r="BK348" s="33"/>
      <c r="BL348" s="33"/>
      <c r="BM348" s="33"/>
      <c r="BN348" s="33"/>
      <c r="BO348" s="33"/>
      <c r="BP348" s="33"/>
      <c r="BQ348" s="33"/>
      <c r="BR348" s="33"/>
      <c r="BS348" s="33"/>
      <c r="BT348" s="33"/>
      <c r="BU348" s="33"/>
      <c r="BV348" s="33"/>
      <c r="BW348" s="33"/>
      <c r="BX348" s="33"/>
      <c r="BY348" s="33"/>
      <c r="BZ348" s="33"/>
      <c r="CA348" s="33"/>
      <c r="CB348" s="33"/>
      <c r="CC348" s="33"/>
      <c r="CD348" s="33"/>
      <c r="CE348" s="33"/>
      <c r="CF348" s="33"/>
      <c r="CG348" s="33"/>
      <c r="CH348" s="33"/>
      <c r="CI348" s="33"/>
      <c r="CJ348" s="33"/>
      <c r="CK348" s="33"/>
      <c r="CL348" s="33"/>
      <c r="CM348" s="33"/>
      <c r="CN348" s="33"/>
      <c r="CO348" s="33">
        <v>3</v>
      </c>
      <c r="CP348" s="33"/>
      <c r="CQ348" s="33"/>
      <c r="CR348" s="33"/>
      <c r="CS348" s="33"/>
      <c r="CT348" s="33"/>
      <c r="CU348" s="33"/>
      <c r="CV348" s="33"/>
      <c r="CW348" s="33"/>
      <c r="CX348" s="33"/>
      <c r="CY348" s="33"/>
      <c r="CZ348" s="33"/>
      <c r="DA348" s="33"/>
      <c r="DB348" s="33"/>
      <c r="DC348" s="33"/>
      <c r="DD348" s="33"/>
      <c r="DE348" s="33"/>
      <c r="DF348" s="33"/>
      <c r="DG348" s="33"/>
      <c r="DH348" s="33"/>
      <c r="DI348" s="33"/>
      <c r="DJ348" s="33"/>
      <c r="DK348" s="33"/>
      <c r="DL348" s="33"/>
      <c r="DM348" s="33"/>
      <c r="DN348" s="33"/>
      <c r="DO348" s="33"/>
      <c r="DP348" s="33"/>
      <c r="DQ348" s="33"/>
      <c r="DR348" s="33"/>
      <c r="DS348" s="33"/>
      <c r="DT348" s="33"/>
      <c r="DU348" s="33"/>
      <c r="DV348" s="33"/>
      <c r="DW348" s="33"/>
      <c r="DX348" s="33"/>
      <c r="DY348" s="33"/>
      <c r="DZ348" s="33"/>
      <c r="EA348" s="33"/>
      <c r="EB348" s="33"/>
      <c r="EC348" s="33"/>
      <c r="ED348" s="33"/>
      <c r="EE348" s="33"/>
      <c r="EF348" s="33"/>
      <c r="EG348" s="33"/>
      <c r="EH348" s="33"/>
      <c r="EI348" s="33"/>
      <c r="EJ348" s="33"/>
      <c r="EK348" s="33"/>
      <c r="EL348" s="33"/>
      <c r="EM348" s="33"/>
      <c r="EN348" s="33"/>
      <c r="EO348" s="33"/>
      <c r="EP348" s="33"/>
      <c r="EQ348" s="33"/>
      <c r="ER348" s="33"/>
      <c r="ES348" s="33"/>
      <c r="ET348" s="33"/>
      <c r="EU348" s="33"/>
      <c r="EV348" s="33"/>
      <c r="EW348" s="33"/>
      <c r="EX348" s="33"/>
      <c r="EY348" s="33"/>
      <c r="EZ348" s="33"/>
      <c r="FA348" s="33"/>
      <c r="FB348" s="33"/>
      <c r="FC348" s="33"/>
      <c r="FD348" s="33"/>
      <c r="FE348" s="33"/>
      <c r="FF348" s="33"/>
      <c r="FG348" s="33"/>
      <c r="FH348" s="33"/>
      <c r="FI348" s="33"/>
      <c r="FJ348" s="33"/>
      <c r="FK348" s="33"/>
      <c r="FL348" s="33"/>
      <c r="FM348" s="33"/>
      <c r="FN348" s="33"/>
      <c r="FO348" s="33"/>
      <c r="FP348" s="33"/>
      <c r="FQ348" s="33"/>
      <c r="FR348" s="33"/>
      <c r="FS348" s="33"/>
      <c r="FT348" s="33"/>
      <c r="FU348" s="33"/>
      <c r="FV348" s="33"/>
      <c r="FW348" s="33"/>
      <c r="FX348" s="33"/>
      <c r="FY348" s="33"/>
      <c r="FZ348" s="33"/>
      <c r="GA348" s="33"/>
      <c r="GB348" s="33"/>
      <c r="GC348" s="33"/>
      <c r="GD348" s="33"/>
      <c r="GE348" s="33"/>
      <c r="GF348" s="33"/>
      <c r="GG348" s="33"/>
      <c r="GH348" s="33"/>
      <c r="GI348" s="33"/>
      <c r="GJ348" s="33"/>
      <c r="GK348" s="33"/>
      <c r="GL348" s="33"/>
      <c r="GM348" s="33"/>
      <c r="GN348" s="33"/>
      <c r="GO348" s="33"/>
      <c r="GP348" s="33"/>
      <c r="GQ348" s="33"/>
      <c r="GR348" s="33"/>
      <c r="GS348" s="33"/>
      <c r="GT348" s="33"/>
      <c r="GU348" s="33"/>
      <c r="GV348" s="33"/>
      <c r="GW348" s="33"/>
      <c r="GX348" s="33"/>
      <c r="GY348" s="33"/>
      <c r="GZ348" s="33"/>
      <c r="HA348" s="33"/>
      <c r="HB348" s="33"/>
      <c r="HC348" s="33"/>
      <c r="HD348" s="33"/>
      <c r="HE348" s="33"/>
      <c r="HF348" s="33"/>
      <c r="HG348" s="33"/>
      <c r="HH348" s="33"/>
      <c r="HI348" s="33"/>
      <c r="HJ348" s="33"/>
      <c r="HK348" s="33"/>
      <c r="HL348" s="33"/>
      <c r="HM348" s="33"/>
      <c r="HN348" s="33"/>
      <c r="HO348" s="33"/>
      <c r="HP348" s="33"/>
      <c r="HQ348" s="33"/>
      <c r="HR348" s="33"/>
      <c r="HS348" s="33"/>
      <c r="HT348" s="33"/>
      <c r="HU348" s="33"/>
      <c r="HV348" s="33"/>
      <c r="HW348" s="33"/>
      <c r="HX348" s="33"/>
      <c r="HY348" s="33"/>
      <c r="HZ348" s="33"/>
      <c r="IA348" s="33"/>
      <c r="IB348" s="33"/>
      <c r="IC348" s="33"/>
      <c r="ID348" s="33"/>
      <c r="IE348" s="33"/>
      <c r="IF348" s="33"/>
      <c r="IG348" s="33"/>
      <c r="IH348" s="33"/>
      <c r="II348" s="33"/>
      <c r="IJ348" s="33"/>
      <c r="IK348" s="33"/>
      <c r="IL348" s="33"/>
      <c r="IM348" s="33"/>
      <c r="IN348" s="33"/>
      <c r="IO348" s="33"/>
      <c r="IP348" s="33"/>
      <c r="IQ348" s="33"/>
      <c r="IR348" s="33"/>
      <c r="IS348" s="33"/>
      <c r="IT348" s="33"/>
      <c r="IU348" s="33"/>
      <c r="IV348" s="33"/>
      <c r="IW348" s="33"/>
      <c r="IX348" s="33"/>
      <c r="IY348" s="33"/>
      <c r="IZ348" s="33"/>
      <c r="JA348" s="33"/>
      <c r="JB348" s="33"/>
      <c r="JC348" s="33"/>
      <c r="JD348" s="33"/>
      <c r="JE348" s="33"/>
      <c r="JF348" s="33"/>
      <c r="JG348" s="33"/>
      <c r="JH348" s="33"/>
      <c r="JI348" s="33"/>
      <c r="JJ348" s="33"/>
      <c r="JK348" s="33"/>
      <c r="JL348" s="33"/>
      <c r="JM348" s="33"/>
      <c r="JN348" s="33"/>
      <c r="JO348" s="33"/>
      <c r="JP348" s="33"/>
      <c r="JQ348" s="33"/>
      <c r="JR348" s="33"/>
      <c r="KZ348" s="33"/>
      <c r="LA348" s="33"/>
      <c r="LB348" s="33"/>
      <c r="LC348" s="33"/>
      <c r="LD348" s="33"/>
      <c r="LE348" s="33"/>
      <c r="LF348" s="33"/>
      <c r="LG348" s="33"/>
      <c r="LH348" s="33"/>
      <c r="LI348" s="33"/>
      <c r="LJ348" s="33"/>
      <c r="LK348" s="33"/>
      <c r="LL348" s="33"/>
      <c r="LM348" s="33"/>
      <c r="LN348" s="33"/>
      <c r="LO348" s="33"/>
      <c r="LP348" s="44"/>
      <c r="LQ348" s="44"/>
      <c r="LR348" s="44"/>
      <c r="LS348" s="44"/>
      <c r="LT348" s="44"/>
      <c r="LU348" s="44"/>
      <c r="LV348" s="44"/>
    </row>
    <row r="349" spans="1:334" x14ac:dyDescent="0.2">
      <c r="A349" s="1" t="s">
        <v>8892</v>
      </c>
      <c r="B349" s="1" t="s">
        <v>8887</v>
      </c>
      <c r="D349" s="1" t="s">
        <v>8893</v>
      </c>
      <c r="E349" s="1" t="s">
        <v>8099</v>
      </c>
      <c r="F349" s="1" t="s">
        <v>8889</v>
      </c>
      <c r="J349" s="1" t="s">
        <v>8890</v>
      </c>
      <c r="K349" s="1">
        <v>1986</v>
      </c>
      <c r="L349" s="1" t="s">
        <v>8891</v>
      </c>
      <c r="M349" s="1" t="s">
        <v>7657</v>
      </c>
      <c r="N349" s="17" t="s">
        <v>7945</v>
      </c>
      <c r="O349" s="33">
        <v>1490</v>
      </c>
      <c r="P349" s="33">
        <v>356</v>
      </c>
      <c r="Q349" s="33"/>
      <c r="R349" s="33"/>
      <c r="S349" s="33">
        <v>7.6</v>
      </c>
      <c r="T349" s="33"/>
      <c r="U349" s="33">
        <v>6.25</v>
      </c>
      <c r="V349" s="33"/>
      <c r="W349" s="33"/>
      <c r="X349" s="33"/>
      <c r="Y349" s="33"/>
      <c r="Z349" s="33">
        <v>26.6</v>
      </c>
      <c r="AA349" s="33"/>
      <c r="AB349" s="33"/>
      <c r="AC349" s="33"/>
      <c r="AD349" s="33">
        <v>1.9</v>
      </c>
      <c r="AE349" s="33">
        <v>58</v>
      </c>
      <c r="AF349" s="33">
        <v>61.2</v>
      </c>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c r="BC349" s="33"/>
      <c r="BD349" s="33"/>
      <c r="BE349" s="33">
        <v>3.2</v>
      </c>
      <c r="BF349" s="33"/>
      <c r="BG349" s="33"/>
      <c r="BH349" s="33"/>
      <c r="BI349" s="33"/>
      <c r="BJ349" s="33"/>
      <c r="BK349" s="33"/>
      <c r="BL349" s="33"/>
      <c r="BM349" s="33"/>
      <c r="BN349" s="33"/>
      <c r="BO349" s="33"/>
      <c r="BP349" s="33"/>
      <c r="BQ349" s="33"/>
      <c r="BR349" s="33"/>
      <c r="BS349" s="33"/>
      <c r="BT349" s="33"/>
      <c r="BU349" s="33"/>
      <c r="BV349" s="33"/>
      <c r="BW349" s="33"/>
      <c r="BX349" s="33"/>
      <c r="BY349" s="33"/>
      <c r="BZ349" s="33"/>
      <c r="CA349" s="33"/>
      <c r="CB349" s="33"/>
      <c r="CC349" s="33"/>
      <c r="CD349" s="33"/>
      <c r="CE349" s="33"/>
      <c r="CF349" s="33"/>
      <c r="CG349" s="33"/>
      <c r="CH349" s="33"/>
      <c r="CI349" s="33"/>
      <c r="CJ349" s="33"/>
      <c r="CK349" s="33"/>
      <c r="CL349" s="33"/>
      <c r="CM349" s="33"/>
      <c r="CN349" s="33"/>
      <c r="CO349" s="33">
        <v>2.7</v>
      </c>
      <c r="CP349" s="33"/>
      <c r="CQ349" s="33"/>
      <c r="CR349" s="33"/>
      <c r="CS349" s="33"/>
      <c r="CT349" s="33"/>
      <c r="CU349" s="33"/>
      <c r="CV349" s="33"/>
      <c r="CW349" s="33"/>
      <c r="CX349" s="33"/>
      <c r="CY349" s="33"/>
      <c r="CZ349" s="33"/>
      <c r="DA349" s="33"/>
      <c r="DB349" s="33"/>
      <c r="DC349" s="33"/>
      <c r="DD349" s="33"/>
      <c r="DE349" s="33"/>
      <c r="DF349" s="33"/>
      <c r="DG349" s="33"/>
      <c r="DH349" s="33"/>
      <c r="DI349" s="33"/>
      <c r="DJ349" s="33"/>
      <c r="DK349" s="33"/>
      <c r="DL349" s="33"/>
      <c r="DM349" s="33"/>
      <c r="DN349" s="33"/>
      <c r="DO349" s="33"/>
      <c r="DP349" s="33"/>
      <c r="DQ349" s="33"/>
      <c r="DR349" s="33"/>
      <c r="DS349" s="33"/>
      <c r="DT349" s="33"/>
      <c r="DU349" s="33"/>
      <c r="DV349" s="33"/>
      <c r="DW349" s="33"/>
      <c r="DX349" s="33"/>
      <c r="DY349" s="33"/>
      <c r="DZ349" s="33"/>
      <c r="EA349" s="33"/>
      <c r="EB349" s="33"/>
      <c r="EC349" s="33"/>
      <c r="ED349" s="33"/>
      <c r="EE349" s="33"/>
      <c r="EF349" s="33"/>
      <c r="EG349" s="33"/>
      <c r="EH349" s="33"/>
      <c r="EI349" s="33"/>
      <c r="EJ349" s="33"/>
      <c r="EK349" s="33"/>
      <c r="EL349" s="33"/>
      <c r="EM349" s="33"/>
      <c r="EN349" s="33"/>
      <c r="EO349" s="33"/>
      <c r="EP349" s="33"/>
      <c r="EQ349" s="33"/>
      <c r="ER349" s="33"/>
      <c r="ES349" s="33"/>
      <c r="ET349" s="33"/>
      <c r="EU349" s="33"/>
      <c r="EV349" s="33"/>
      <c r="EW349" s="33"/>
      <c r="EX349" s="33"/>
      <c r="EY349" s="33"/>
      <c r="EZ349" s="33"/>
      <c r="FA349" s="33"/>
      <c r="FB349" s="33"/>
      <c r="FC349" s="33"/>
      <c r="FD349" s="33"/>
      <c r="FE349" s="33"/>
      <c r="FF349" s="33"/>
      <c r="FG349" s="33"/>
      <c r="FH349" s="33"/>
      <c r="FI349" s="33"/>
      <c r="FJ349" s="33"/>
      <c r="FK349" s="33"/>
      <c r="FL349" s="33"/>
      <c r="FM349" s="33"/>
      <c r="FN349" s="33"/>
      <c r="FO349" s="33"/>
      <c r="FP349" s="33"/>
      <c r="FQ349" s="33"/>
      <c r="FR349" s="33"/>
      <c r="FS349" s="33"/>
      <c r="FT349" s="33"/>
      <c r="FU349" s="33"/>
      <c r="FV349" s="33"/>
      <c r="FW349" s="33"/>
      <c r="FX349" s="33"/>
      <c r="FY349" s="33"/>
      <c r="FZ349" s="33"/>
      <c r="GA349" s="33"/>
      <c r="GB349" s="33"/>
      <c r="GC349" s="33"/>
      <c r="GD349" s="33"/>
      <c r="GE349" s="33"/>
      <c r="GF349" s="33"/>
      <c r="GG349" s="33"/>
      <c r="GH349" s="33"/>
      <c r="GI349" s="33"/>
      <c r="GJ349" s="33"/>
      <c r="GK349" s="33"/>
      <c r="GL349" s="33"/>
      <c r="GM349" s="33"/>
      <c r="GN349" s="33"/>
      <c r="GO349" s="33"/>
      <c r="GP349" s="33"/>
      <c r="GQ349" s="33"/>
      <c r="GR349" s="33"/>
      <c r="GS349" s="33"/>
      <c r="GT349" s="33"/>
      <c r="GU349" s="33"/>
      <c r="GV349" s="33"/>
      <c r="GW349" s="33"/>
      <c r="GX349" s="33"/>
      <c r="GY349" s="33"/>
      <c r="GZ349" s="33"/>
      <c r="HA349" s="33"/>
      <c r="HB349" s="33"/>
      <c r="HC349" s="33"/>
      <c r="HD349" s="33"/>
      <c r="HE349" s="33"/>
      <c r="HF349" s="33"/>
      <c r="HG349" s="33"/>
      <c r="HH349" s="33"/>
      <c r="HI349" s="33"/>
      <c r="HJ349" s="33"/>
      <c r="HK349" s="33"/>
      <c r="HL349" s="33"/>
      <c r="HM349" s="33"/>
      <c r="HN349" s="33"/>
      <c r="HO349" s="33"/>
      <c r="HP349" s="33"/>
      <c r="HQ349" s="33"/>
      <c r="HR349" s="33"/>
      <c r="HS349" s="33"/>
      <c r="HT349" s="33"/>
      <c r="HU349" s="33"/>
      <c r="HV349" s="33"/>
      <c r="HW349" s="33"/>
      <c r="HX349" s="33"/>
      <c r="HY349" s="33"/>
      <c r="HZ349" s="33"/>
      <c r="IA349" s="33"/>
      <c r="IB349" s="33"/>
      <c r="IC349" s="33"/>
      <c r="ID349" s="33"/>
      <c r="IE349" s="33"/>
      <c r="IF349" s="33"/>
      <c r="IG349" s="33"/>
      <c r="IH349" s="33"/>
      <c r="II349" s="33"/>
      <c r="IJ349" s="33"/>
      <c r="IK349" s="33"/>
      <c r="IL349" s="33"/>
      <c r="IM349" s="33"/>
      <c r="IN349" s="33"/>
      <c r="IO349" s="33"/>
      <c r="IP349" s="33"/>
      <c r="IQ349" s="33"/>
      <c r="IR349" s="33"/>
      <c r="IS349" s="33"/>
      <c r="IT349" s="33"/>
      <c r="IU349" s="33"/>
      <c r="IV349" s="33"/>
      <c r="IW349" s="33"/>
      <c r="IX349" s="33"/>
      <c r="IY349" s="33"/>
      <c r="IZ349" s="33"/>
      <c r="JA349" s="33"/>
      <c r="JB349" s="33"/>
      <c r="JC349" s="33"/>
      <c r="JD349" s="33"/>
      <c r="JE349" s="33"/>
      <c r="JF349" s="33"/>
      <c r="JG349" s="33"/>
      <c r="JH349" s="33"/>
      <c r="JI349" s="33"/>
      <c r="JJ349" s="33"/>
      <c r="JK349" s="33"/>
      <c r="JL349" s="33"/>
      <c r="JM349" s="33"/>
      <c r="JN349" s="33"/>
      <c r="JO349" s="33"/>
      <c r="JP349" s="33"/>
      <c r="JQ349" s="33"/>
      <c r="JR349" s="33"/>
      <c r="KZ349" s="33"/>
      <c r="LA349" s="33"/>
      <c r="LB349" s="33"/>
      <c r="LC349" s="33"/>
      <c r="LD349" s="33"/>
      <c r="LE349" s="33"/>
      <c r="LF349" s="33"/>
      <c r="LG349" s="33"/>
      <c r="LH349" s="33"/>
      <c r="LI349" s="33"/>
      <c r="LJ349" s="33"/>
      <c r="LK349" s="33"/>
      <c r="LL349" s="33"/>
      <c r="LM349" s="33"/>
      <c r="LN349" s="33"/>
      <c r="LO349" s="33"/>
      <c r="LP349" s="44"/>
      <c r="LQ349" s="44"/>
      <c r="LR349" s="44"/>
      <c r="LS349" s="44"/>
      <c r="LT349" s="44"/>
      <c r="LU349" s="44"/>
      <c r="LV349" s="44"/>
    </row>
    <row r="350" spans="1:334" x14ac:dyDescent="0.2">
      <c r="A350" s="1" t="s">
        <v>8894</v>
      </c>
      <c r="B350" s="1" t="s">
        <v>8887</v>
      </c>
      <c r="D350" s="1" t="s">
        <v>8895</v>
      </c>
      <c r="E350" s="1" t="s">
        <v>11</v>
      </c>
      <c r="F350" s="1" t="s">
        <v>8889</v>
      </c>
      <c r="J350" s="1" t="s">
        <v>8890</v>
      </c>
      <c r="K350" s="1">
        <v>1986</v>
      </c>
      <c r="L350" s="1" t="s">
        <v>8891</v>
      </c>
      <c r="M350" s="1" t="s">
        <v>7657</v>
      </c>
      <c r="N350" s="17" t="s">
        <v>7945</v>
      </c>
      <c r="O350" s="33">
        <v>590</v>
      </c>
      <c r="P350" s="33">
        <v>142</v>
      </c>
      <c r="Q350" s="33"/>
      <c r="R350" s="33"/>
      <c r="S350" s="33">
        <v>60.2</v>
      </c>
      <c r="T350" s="33"/>
      <c r="U350" s="33">
        <v>6.25</v>
      </c>
      <c r="V350" s="33"/>
      <c r="W350" s="33"/>
      <c r="X350" s="33"/>
      <c r="Y350" s="33"/>
      <c r="Z350" s="33">
        <v>10.9</v>
      </c>
      <c r="AA350" s="33"/>
      <c r="AB350" s="33"/>
      <c r="AC350" s="33"/>
      <c r="AD350" s="33">
        <v>0.7</v>
      </c>
      <c r="AE350" s="33">
        <v>23.1</v>
      </c>
      <c r="AF350" s="33">
        <v>27.1</v>
      </c>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33"/>
      <c r="BE350" s="33">
        <v>4</v>
      </c>
      <c r="BF350" s="33"/>
      <c r="BG350" s="33"/>
      <c r="BH350" s="33"/>
      <c r="BI350" s="33"/>
      <c r="BJ350" s="33"/>
      <c r="BK350" s="33"/>
      <c r="BL350" s="33"/>
      <c r="BM350" s="33"/>
      <c r="BN350" s="33"/>
      <c r="BO350" s="33"/>
      <c r="BP350" s="33"/>
      <c r="BQ350" s="33"/>
      <c r="BR350" s="33"/>
      <c r="BS350" s="33"/>
      <c r="BT350" s="33"/>
      <c r="BU350" s="33"/>
      <c r="BV350" s="33"/>
      <c r="BW350" s="33"/>
      <c r="BX350" s="33"/>
      <c r="BY350" s="33"/>
      <c r="BZ350" s="33"/>
      <c r="CA350" s="33"/>
      <c r="CB350" s="33"/>
      <c r="CC350" s="33"/>
      <c r="CD350" s="33"/>
      <c r="CE350" s="33"/>
      <c r="CF350" s="33"/>
      <c r="CG350" s="33"/>
      <c r="CH350" s="33"/>
      <c r="CI350" s="33"/>
      <c r="CJ350" s="33"/>
      <c r="CK350" s="33"/>
      <c r="CL350" s="33"/>
      <c r="CM350" s="33"/>
      <c r="CN350" s="33"/>
      <c r="CO350" s="33">
        <v>1.1000000000000001</v>
      </c>
      <c r="CP350" s="33"/>
      <c r="CQ350" s="33"/>
      <c r="CR350" s="33"/>
      <c r="CS350" s="33"/>
      <c r="CT350" s="33"/>
      <c r="CU350" s="33"/>
      <c r="CV350" s="33"/>
      <c r="CW350" s="33"/>
      <c r="CX350" s="33"/>
      <c r="CY350" s="33"/>
      <c r="CZ350" s="33"/>
      <c r="DA350" s="33"/>
      <c r="DB350" s="33"/>
      <c r="DC350" s="33"/>
      <c r="DD350" s="33"/>
      <c r="DE350" s="33"/>
      <c r="DF350" s="33"/>
      <c r="DG350" s="33"/>
      <c r="DH350" s="33"/>
      <c r="DI350" s="33"/>
      <c r="DJ350" s="33"/>
      <c r="DK350" s="33"/>
      <c r="DL350" s="33"/>
      <c r="DM350" s="33"/>
      <c r="DN350" s="33"/>
      <c r="DO350" s="33"/>
      <c r="DP350" s="33"/>
      <c r="DQ350" s="33"/>
      <c r="DR350" s="33"/>
      <c r="DS350" s="33"/>
      <c r="DT350" s="33"/>
      <c r="DU350" s="33"/>
      <c r="DV350" s="33"/>
      <c r="DW350" s="33"/>
      <c r="DX350" s="33"/>
      <c r="DY350" s="33"/>
      <c r="DZ350" s="33"/>
      <c r="EA350" s="33"/>
      <c r="EB350" s="33"/>
      <c r="EC350" s="33"/>
      <c r="ED350" s="33"/>
      <c r="EE350" s="33"/>
      <c r="EF350" s="33"/>
      <c r="EG350" s="33"/>
      <c r="EH350" s="33"/>
      <c r="EI350" s="33"/>
      <c r="EJ350" s="33"/>
      <c r="EK350" s="33"/>
      <c r="EL350" s="33"/>
      <c r="EM350" s="33"/>
      <c r="EN350" s="33"/>
      <c r="EO350" s="33"/>
      <c r="EP350" s="33"/>
      <c r="EQ350" s="33"/>
      <c r="ER350" s="33"/>
      <c r="ES350" s="33"/>
      <c r="ET350" s="33"/>
      <c r="EU350" s="33"/>
      <c r="EV350" s="33"/>
      <c r="EW350" s="33"/>
      <c r="EX350" s="33"/>
      <c r="EY350" s="33"/>
      <c r="EZ350" s="33"/>
      <c r="FA350" s="33"/>
      <c r="FB350" s="33"/>
      <c r="FC350" s="33"/>
      <c r="FD350" s="33"/>
      <c r="FE350" s="33"/>
      <c r="FF350" s="33"/>
      <c r="FG350" s="33"/>
      <c r="FH350" s="33"/>
      <c r="FI350" s="33"/>
      <c r="FJ350" s="33"/>
      <c r="FK350" s="33"/>
      <c r="FL350" s="33"/>
      <c r="FM350" s="33"/>
      <c r="FN350" s="33"/>
      <c r="FO350" s="33"/>
      <c r="FP350" s="33"/>
      <c r="FQ350" s="33"/>
      <c r="FR350" s="33"/>
      <c r="FS350" s="33"/>
      <c r="FT350" s="33"/>
      <c r="FU350" s="33"/>
      <c r="FV350" s="33"/>
      <c r="FW350" s="33"/>
      <c r="FX350" s="33"/>
      <c r="FY350" s="33"/>
      <c r="FZ350" s="33"/>
      <c r="GA350" s="33"/>
      <c r="GB350" s="33"/>
      <c r="GC350" s="33"/>
      <c r="GD350" s="33"/>
      <c r="GE350" s="33"/>
      <c r="GF350" s="33"/>
      <c r="GG350" s="33"/>
      <c r="GH350" s="33"/>
      <c r="GI350" s="33"/>
      <c r="GJ350" s="33"/>
      <c r="GK350" s="33"/>
      <c r="GL350" s="33"/>
      <c r="GM350" s="33"/>
      <c r="GN350" s="33"/>
      <c r="GO350" s="33"/>
      <c r="GP350" s="33"/>
      <c r="GQ350" s="33"/>
      <c r="GR350" s="33"/>
      <c r="GS350" s="33"/>
      <c r="GT350" s="33"/>
      <c r="GU350" s="33"/>
      <c r="GV350" s="33"/>
      <c r="GW350" s="33"/>
      <c r="GX350" s="33"/>
      <c r="GY350" s="33"/>
      <c r="GZ350" s="33"/>
      <c r="HA350" s="33"/>
      <c r="HB350" s="33"/>
      <c r="HC350" s="33"/>
      <c r="HD350" s="33"/>
      <c r="HE350" s="33"/>
      <c r="HF350" s="33"/>
      <c r="HG350" s="33"/>
      <c r="HH350" s="33"/>
      <c r="HI350" s="33"/>
      <c r="HJ350" s="33"/>
      <c r="HK350" s="33"/>
      <c r="HL350" s="33"/>
      <c r="HM350" s="33"/>
      <c r="HN350" s="33"/>
      <c r="HO350" s="33"/>
      <c r="HP350" s="33"/>
      <c r="HQ350" s="33"/>
      <c r="HR350" s="33"/>
      <c r="HS350" s="33"/>
      <c r="HT350" s="33"/>
      <c r="HU350" s="33"/>
      <c r="HV350" s="33"/>
      <c r="HW350" s="33"/>
      <c r="HX350" s="33"/>
      <c r="HY350" s="33"/>
      <c r="HZ350" s="33"/>
      <c r="IA350" s="33"/>
      <c r="IB350" s="33"/>
      <c r="IC350" s="33"/>
      <c r="ID350" s="33"/>
      <c r="IE350" s="33"/>
      <c r="IF350" s="33"/>
      <c r="IG350" s="33"/>
      <c r="IH350" s="33"/>
      <c r="II350" s="33"/>
      <c r="IJ350" s="33"/>
      <c r="IK350" s="33"/>
      <c r="IL350" s="33"/>
      <c r="IM350" s="33"/>
      <c r="IN350" s="33"/>
      <c r="IO350" s="33"/>
      <c r="IP350" s="33"/>
      <c r="IQ350" s="33"/>
      <c r="IR350" s="33"/>
      <c r="IS350" s="33"/>
      <c r="IT350" s="33"/>
      <c r="IU350" s="33"/>
      <c r="IV350" s="33"/>
      <c r="IW350" s="33"/>
      <c r="IX350" s="33"/>
      <c r="IY350" s="33"/>
      <c r="IZ350" s="33"/>
      <c r="JA350" s="33"/>
      <c r="JB350" s="33"/>
      <c r="JC350" s="33"/>
      <c r="JD350" s="33"/>
      <c r="JE350" s="33"/>
      <c r="JF350" s="33"/>
      <c r="JG350" s="33"/>
      <c r="JH350" s="33"/>
      <c r="JI350" s="33"/>
      <c r="JJ350" s="33"/>
      <c r="JK350" s="33"/>
      <c r="JL350" s="33"/>
      <c r="JM350" s="33"/>
      <c r="JN350" s="33"/>
      <c r="JO350" s="33"/>
      <c r="JP350" s="33"/>
      <c r="JQ350" s="33"/>
      <c r="JR350" s="33"/>
      <c r="KZ350" s="33"/>
      <c r="LA350" s="33"/>
      <c r="LB350" s="33"/>
      <c r="LC350" s="33"/>
      <c r="LD350" s="33"/>
      <c r="LE350" s="33"/>
      <c r="LF350" s="33"/>
      <c r="LG350" s="33"/>
      <c r="LH350" s="33"/>
      <c r="LI350" s="33"/>
      <c r="LJ350" s="33"/>
      <c r="LK350" s="33"/>
      <c r="LL350" s="33"/>
      <c r="LM350" s="33"/>
      <c r="LN350" s="33"/>
      <c r="LO350" s="33"/>
      <c r="LP350" s="44"/>
      <c r="LQ350" s="44"/>
      <c r="LR350" s="44"/>
      <c r="LS350" s="44"/>
      <c r="LT350" s="44"/>
      <c r="LU350" s="44"/>
      <c r="LV350" s="44"/>
    </row>
    <row r="351" spans="1:334" x14ac:dyDescent="0.2">
      <c r="A351" s="1" t="s">
        <v>8896</v>
      </c>
      <c r="B351" s="1" t="s">
        <v>8887</v>
      </c>
      <c r="D351" s="1" t="s">
        <v>8897</v>
      </c>
      <c r="E351" s="1" t="s">
        <v>8099</v>
      </c>
      <c r="F351" s="1" t="s">
        <v>8889</v>
      </c>
      <c r="J351" s="1" t="s">
        <v>8890</v>
      </c>
      <c r="K351" s="1">
        <v>1986</v>
      </c>
      <c r="L351" s="1" t="s">
        <v>8891</v>
      </c>
      <c r="M351" s="1" t="s">
        <v>7657</v>
      </c>
      <c r="N351" s="17" t="s">
        <v>7945</v>
      </c>
      <c r="O351" s="33">
        <v>550</v>
      </c>
      <c r="P351" s="33">
        <v>132</v>
      </c>
      <c r="Q351" s="33"/>
      <c r="R351" s="33"/>
      <c r="S351" s="33">
        <v>65.3</v>
      </c>
      <c r="T351" s="33"/>
      <c r="U351" s="33">
        <v>6.25</v>
      </c>
      <c r="V351" s="33"/>
      <c r="W351" s="33"/>
      <c r="X351" s="33"/>
      <c r="Y351" s="33"/>
      <c r="Z351" s="33">
        <v>10.8</v>
      </c>
      <c r="AA351" s="33"/>
      <c r="AB351" s="33"/>
      <c r="AC351" s="33"/>
      <c r="AD351" s="33">
        <v>0.8</v>
      </c>
      <c r="AE351" s="33">
        <v>20.5</v>
      </c>
      <c r="AF351" s="33">
        <v>22.3</v>
      </c>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c r="BC351" s="33"/>
      <c r="BD351" s="33"/>
      <c r="BE351" s="33">
        <v>1.8</v>
      </c>
      <c r="BF351" s="33"/>
      <c r="BG351" s="33"/>
      <c r="BH351" s="33"/>
      <c r="BI351" s="33"/>
      <c r="BJ351" s="33"/>
      <c r="BK351" s="33"/>
      <c r="BL351" s="33"/>
      <c r="BM351" s="33"/>
      <c r="BN351" s="33"/>
      <c r="BO351" s="33"/>
      <c r="BP351" s="33"/>
      <c r="BQ351" s="33"/>
      <c r="BR351" s="33"/>
      <c r="BS351" s="33"/>
      <c r="BT351" s="33"/>
      <c r="BU351" s="33"/>
      <c r="BV351" s="33"/>
      <c r="BW351" s="33"/>
      <c r="BX351" s="33"/>
      <c r="BY351" s="33"/>
      <c r="BZ351" s="33"/>
      <c r="CA351" s="33"/>
      <c r="CB351" s="33"/>
      <c r="CC351" s="33"/>
      <c r="CD351" s="33"/>
      <c r="CE351" s="33"/>
      <c r="CF351" s="33"/>
      <c r="CG351" s="33"/>
      <c r="CH351" s="33"/>
      <c r="CI351" s="33"/>
      <c r="CJ351" s="33"/>
      <c r="CK351" s="33"/>
      <c r="CL351" s="33"/>
      <c r="CM351" s="33"/>
      <c r="CN351" s="33"/>
      <c r="CO351" s="33">
        <v>0.8</v>
      </c>
      <c r="CP351" s="33"/>
      <c r="CQ351" s="33"/>
      <c r="CR351" s="33"/>
      <c r="CS351" s="33"/>
      <c r="CT351" s="33"/>
      <c r="CU351" s="33"/>
      <c r="CV351" s="33"/>
      <c r="CW351" s="33"/>
      <c r="CX351" s="33"/>
      <c r="CY351" s="33"/>
      <c r="CZ351" s="33"/>
      <c r="DA351" s="33"/>
      <c r="DB351" s="33"/>
      <c r="DC351" s="33"/>
      <c r="DD351" s="33"/>
      <c r="DE351" s="33"/>
      <c r="DF351" s="33"/>
      <c r="DG351" s="33"/>
      <c r="DH351" s="33"/>
      <c r="DI351" s="33"/>
      <c r="DJ351" s="33"/>
      <c r="DK351" s="33"/>
      <c r="DL351" s="33"/>
      <c r="DM351" s="33"/>
      <c r="DN351" s="33"/>
      <c r="DO351" s="33"/>
      <c r="DP351" s="33"/>
      <c r="DQ351" s="33"/>
      <c r="DR351" s="33"/>
      <c r="DS351" s="33"/>
      <c r="DT351" s="33"/>
      <c r="DU351" s="33"/>
      <c r="DV351" s="33"/>
      <c r="DW351" s="33"/>
      <c r="DX351" s="33"/>
      <c r="DY351" s="33"/>
      <c r="DZ351" s="33"/>
      <c r="EA351" s="33"/>
      <c r="EB351" s="33"/>
      <c r="EC351" s="33"/>
      <c r="ED351" s="33"/>
      <c r="EE351" s="33"/>
      <c r="EF351" s="33"/>
      <c r="EG351" s="33"/>
      <c r="EH351" s="33"/>
      <c r="EI351" s="33"/>
      <c r="EJ351" s="33"/>
      <c r="EK351" s="33"/>
      <c r="EL351" s="33"/>
      <c r="EM351" s="33"/>
      <c r="EN351" s="33"/>
      <c r="EO351" s="33"/>
      <c r="EP351" s="33"/>
      <c r="EQ351" s="33"/>
      <c r="ER351" s="33"/>
      <c r="ES351" s="33"/>
      <c r="ET351" s="33"/>
      <c r="EU351" s="33"/>
      <c r="EV351" s="33"/>
      <c r="EW351" s="33"/>
      <c r="EX351" s="33"/>
      <c r="EY351" s="33"/>
      <c r="EZ351" s="33"/>
      <c r="FA351" s="33"/>
      <c r="FB351" s="33"/>
      <c r="FC351" s="33"/>
      <c r="FD351" s="33"/>
      <c r="FE351" s="33"/>
      <c r="FF351" s="33"/>
      <c r="FG351" s="33"/>
      <c r="FH351" s="33"/>
      <c r="FI351" s="33"/>
      <c r="FJ351" s="33"/>
      <c r="FK351" s="33"/>
      <c r="FL351" s="33"/>
      <c r="FM351" s="33"/>
      <c r="FN351" s="33"/>
      <c r="FO351" s="33"/>
      <c r="FP351" s="33"/>
      <c r="FQ351" s="33"/>
      <c r="FR351" s="33"/>
      <c r="FS351" s="33"/>
      <c r="FT351" s="33"/>
      <c r="FU351" s="33"/>
      <c r="FV351" s="33"/>
      <c r="FW351" s="33"/>
      <c r="FX351" s="33"/>
      <c r="FY351" s="33"/>
      <c r="FZ351" s="33"/>
      <c r="GA351" s="33"/>
      <c r="GB351" s="33"/>
      <c r="GC351" s="33"/>
      <c r="GD351" s="33"/>
      <c r="GE351" s="33"/>
      <c r="GF351" s="33"/>
      <c r="GG351" s="33"/>
      <c r="GH351" s="33"/>
      <c r="GI351" s="33"/>
      <c r="GJ351" s="33"/>
      <c r="GK351" s="33"/>
      <c r="GL351" s="33"/>
      <c r="GM351" s="33"/>
      <c r="GN351" s="33"/>
      <c r="GO351" s="33"/>
      <c r="GP351" s="33"/>
      <c r="GQ351" s="33"/>
      <c r="GR351" s="33"/>
      <c r="GS351" s="33"/>
      <c r="GT351" s="33"/>
      <c r="GU351" s="33"/>
      <c r="GV351" s="33"/>
      <c r="GW351" s="33"/>
      <c r="GX351" s="33"/>
      <c r="GY351" s="33"/>
      <c r="GZ351" s="33"/>
      <c r="HA351" s="33"/>
      <c r="HB351" s="33"/>
      <c r="HC351" s="33"/>
      <c r="HD351" s="33"/>
      <c r="HE351" s="33"/>
      <c r="HF351" s="33"/>
      <c r="HG351" s="33"/>
      <c r="HH351" s="33"/>
      <c r="HI351" s="33"/>
      <c r="HJ351" s="33"/>
      <c r="HK351" s="33"/>
      <c r="HL351" s="33"/>
      <c r="HM351" s="33"/>
      <c r="HN351" s="33"/>
      <c r="HO351" s="33"/>
      <c r="HP351" s="33"/>
      <c r="HQ351" s="33"/>
      <c r="HR351" s="33"/>
      <c r="HS351" s="33"/>
      <c r="HT351" s="33"/>
      <c r="HU351" s="33"/>
      <c r="HV351" s="33"/>
      <c r="HW351" s="33"/>
      <c r="HX351" s="33"/>
      <c r="HY351" s="33"/>
      <c r="HZ351" s="33"/>
      <c r="IA351" s="33"/>
      <c r="IB351" s="33"/>
      <c r="IC351" s="33"/>
      <c r="ID351" s="33"/>
      <c r="IE351" s="33"/>
      <c r="IF351" s="33"/>
      <c r="IG351" s="33"/>
      <c r="IH351" s="33"/>
      <c r="II351" s="33"/>
      <c r="IJ351" s="33"/>
      <c r="IK351" s="33"/>
      <c r="IL351" s="33"/>
      <c r="IM351" s="33"/>
      <c r="IN351" s="33"/>
      <c r="IO351" s="33"/>
      <c r="IP351" s="33"/>
      <c r="IQ351" s="33"/>
      <c r="IR351" s="33"/>
      <c r="IS351" s="33"/>
      <c r="IT351" s="33"/>
      <c r="IU351" s="33"/>
      <c r="IV351" s="33"/>
      <c r="IW351" s="33"/>
      <c r="IX351" s="33"/>
      <c r="IY351" s="33"/>
      <c r="IZ351" s="33"/>
      <c r="JA351" s="33"/>
      <c r="JB351" s="33"/>
      <c r="JC351" s="33"/>
      <c r="JD351" s="33"/>
      <c r="JE351" s="33"/>
      <c r="JF351" s="33"/>
      <c r="JG351" s="33"/>
      <c r="JH351" s="33"/>
      <c r="JI351" s="33"/>
      <c r="JJ351" s="33"/>
      <c r="JK351" s="33"/>
      <c r="JL351" s="33"/>
      <c r="JM351" s="33"/>
      <c r="JN351" s="33"/>
      <c r="JO351" s="33"/>
      <c r="JP351" s="33"/>
      <c r="JQ351" s="33"/>
      <c r="JR351" s="33"/>
      <c r="KZ351" s="33"/>
      <c r="LA351" s="33"/>
      <c r="LB351" s="33"/>
      <c r="LC351" s="33"/>
      <c r="LD351" s="33"/>
      <c r="LE351" s="33"/>
      <c r="LF351" s="33"/>
      <c r="LG351" s="33"/>
      <c r="LH351" s="33"/>
      <c r="LI351" s="33"/>
      <c r="LJ351" s="33"/>
      <c r="LK351" s="33"/>
      <c r="LL351" s="33"/>
      <c r="LM351" s="33"/>
      <c r="LN351" s="33"/>
      <c r="LO351" s="33"/>
      <c r="LP351" s="44"/>
      <c r="LQ351" s="44"/>
      <c r="LR351" s="44"/>
      <c r="LS351" s="44"/>
      <c r="LT351" s="44"/>
      <c r="LU351" s="44"/>
      <c r="LV351" s="44"/>
    </row>
    <row r="352" spans="1:334" x14ac:dyDescent="0.2">
      <c r="A352" s="1" t="s">
        <v>8898</v>
      </c>
      <c r="B352" s="1" t="s">
        <v>8899</v>
      </c>
      <c r="D352" s="1" t="s">
        <v>8900</v>
      </c>
      <c r="E352" s="1" t="s">
        <v>7966</v>
      </c>
      <c r="F352" s="1" t="s">
        <v>8021</v>
      </c>
      <c r="K352" s="1">
        <v>2014</v>
      </c>
      <c r="L352" s="1" t="s">
        <v>8901</v>
      </c>
      <c r="M352" s="1" t="s">
        <v>7657</v>
      </c>
      <c r="N352" s="17" t="s">
        <v>7945</v>
      </c>
      <c r="O352" s="33"/>
      <c r="P352" s="33"/>
      <c r="Q352" s="33"/>
      <c r="R352" s="33"/>
      <c r="S352" s="33">
        <v>11</v>
      </c>
      <c r="T352" s="33">
        <v>89</v>
      </c>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c r="CA352" s="33"/>
      <c r="CB352" s="33"/>
      <c r="CC352" s="33"/>
      <c r="CD352" s="33"/>
      <c r="CE352" s="33"/>
      <c r="CF352" s="33"/>
      <c r="CG352" s="33"/>
      <c r="CH352" s="33"/>
      <c r="CI352" s="33"/>
      <c r="CJ352" s="33"/>
      <c r="CK352" s="33"/>
      <c r="CL352" s="33"/>
      <c r="CM352" s="33"/>
      <c r="CN352" s="33"/>
      <c r="CO352" s="33"/>
      <c r="CP352" s="33"/>
      <c r="CQ352" s="33"/>
      <c r="CR352" s="33"/>
      <c r="CS352" s="33"/>
      <c r="CT352" s="33"/>
      <c r="CU352" s="33"/>
      <c r="CV352" s="33"/>
      <c r="CW352" s="33"/>
      <c r="CX352" s="33"/>
      <c r="CY352" s="33"/>
      <c r="CZ352" s="33"/>
      <c r="DA352" s="33"/>
      <c r="DB352" s="33"/>
      <c r="DC352" s="33"/>
      <c r="DD352" s="33"/>
      <c r="DE352" s="33"/>
      <c r="DF352" s="33"/>
      <c r="DG352" s="33"/>
      <c r="DH352" s="33"/>
      <c r="DI352" s="33"/>
      <c r="DJ352" s="33"/>
      <c r="DK352" s="33"/>
      <c r="DL352" s="33"/>
      <c r="DM352" s="33"/>
      <c r="DN352" s="33"/>
      <c r="DO352" s="33"/>
      <c r="DP352" s="33"/>
      <c r="DQ352" s="33"/>
      <c r="DR352" s="33"/>
      <c r="DS352" s="33"/>
      <c r="DT352" s="33"/>
      <c r="DU352" s="33"/>
      <c r="DV352" s="33"/>
      <c r="DW352" s="33"/>
      <c r="DX352" s="33"/>
      <c r="DY352" s="33"/>
      <c r="DZ352" s="33"/>
      <c r="EA352" s="33"/>
      <c r="EB352" s="33"/>
      <c r="EC352" s="33"/>
      <c r="ED352" s="33"/>
      <c r="EE352" s="33"/>
      <c r="EF352" s="33"/>
      <c r="EG352" s="33"/>
      <c r="EH352" s="33"/>
      <c r="EI352" s="33"/>
      <c r="EJ352" s="33"/>
      <c r="EK352" s="33"/>
      <c r="EL352" s="33"/>
      <c r="EM352" s="33"/>
      <c r="EN352" s="33"/>
      <c r="EO352" s="33">
        <v>30.26</v>
      </c>
      <c r="EP352" s="33">
        <v>42.72</v>
      </c>
      <c r="EQ352" s="33">
        <v>32.04</v>
      </c>
      <c r="ER352" s="33"/>
      <c r="ES352" s="33"/>
      <c r="ET352" s="33"/>
      <c r="EU352" s="33"/>
      <c r="EV352" s="33"/>
      <c r="EW352" s="33"/>
      <c r="EX352" s="33"/>
      <c r="EY352" s="33"/>
      <c r="EZ352" s="33"/>
      <c r="FA352" s="33"/>
      <c r="FB352" s="33"/>
      <c r="FC352" s="33"/>
      <c r="FD352" s="33"/>
      <c r="FE352" s="33"/>
      <c r="FF352" s="33"/>
      <c r="FG352" s="33"/>
      <c r="FH352" s="33"/>
      <c r="FI352" s="33"/>
      <c r="FJ352" s="33"/>
      <c r="FK352" s="33"/>
      <c r="FL352" s="33"/>
      <c r="FM352" s="33"/>
      <c r="FN352" s="33"/>
      <c r="FO352" s="33"/>
      <c r="FP352" s="33"/>
      <c r="FQ352" s="33"/>
      <c r="FR352" s="33"/>
      <c r="FS352" s="33"/>
      <c r="FT352" s="33"/>
      <c r="FU352" s="33"/>
      <c r="FV352" s="33"/>
      <c r="FW352" s="33"/>
      <c r="FX352" s="33"/>
      <c r="FY352" s="33"/>
      <c r="FZ352" s="33"/>
      <c r="GA352" s="33"/>
      <c r="GB352" s="33"/>
      <c r="GC352" s="33"/>
      <c r="GD352" s="33"/>
      <c r="GE352" s="33"/>
      <c r="GF352" s="33"/>
      <c r="GG352" s="33"/>
      <c r="GH352" s="33"/>
      <c r="GI352" s="33"/>
      <c r="GJ352" s="33"/>
      <c r="GK352" s="33"/>
      <c r="GL352" s="33"/>
      <c r="GM352" s="33"/>
      <c r="GN352" s="33"/>
      <c r="GO352" s="33"/>
      <c r="GP352" s="33"/>
      <c r="GQ352" s="33"/>
      <c r="GR352" s="33"/>
      <c r="GS352" s="33"/>
      <c r="GT352" s="33"/>
      <c r="GU352" s="33"/>
      <c r="GV352" s="33"/>
      <c r="GW352" s="33"/>
      <c r="GX352" s="33"/>
      <c r="GY352" s="33"/>
      <c r="GZ352" s="33"/>
      <c r="HA352" s="33"/>
      <c r="HB352" s="33"/>
      <c r="HC352" s="33"/>
      <c r="HD352" s="33"/>
      <c r="HE352" s="33"/>
      <c r="HF352" s="33"/>
      <c r="HG352" s="33"/>
      <c r="HH352" s="33"/>
      <c r="HI352" s="33"/>
      <c r="HJ352" s="33"/>
      <c r="HK352" s="33"/>
      <c r="HL352" s="33"/>
      <c r="HM352" s="33"/>
      <c r="HN352" s="33"/>
      <c r="HO352" s="33"/>
      <c r="HP352" s="33"/>
      <c r="HQ352" s="33"/>
      <c r="HR352" s="33"/>
      <c r="HS352" s="33"/>
      <c r="HT352" s="33"/>
      <c r="HU352" s="33"/>
      <c r="HV352" s="33"/>
      <c r="HW352" s="33"/>
      <c r="HX352" s="33"/>
      <c r="HY352" s="33"/>
      <c r="HZ352" s="33"/>
      <c r="IA352" s="33"/>
      <c r="IB352" s="33"/>
      <c r="IC352" s="33"/>
      <c r="ID352" s="33"/>
      <c r="IE352" s="33"/>
      <c r="IF352" s="33"/>
      <c r="IG352" s="33"/>
      <c r="IH352" s="33"/>
      <c r="II352" s="33"/>
      <c r="IJ352" s="33"/>
      <c r="IK352" s="33"/>
      <c r="IL352" s="33"/>
      <c r="IM352" s="33"/>
      <c r="IN352" s="33"/>
      <c r="IO352" s="33"/>
      <c r="IP352" s="33"/>
      <c r="IQ352" s="33"/>
      <c r="IR352" s="33"/>
      <c r="IS352" s="33"/>
      <c r="IT352" s="33"/>
      <c r="IU352" s="33"/>
      <c r="IV352" s="33"/>
      <c r="IW352" s="33"/>
      <c r="IX352" s="33"/>
      <c r="IY352" s="33"/>
      <c r="IZ352" s="33"/>
      <c r="JA352" s="33"/>
      <c r="JB352" s="33"/>
      <c r="JC352" s="33"/>
      <c r="JD352" s="33"/>
      <c r="JE352" s="33"/>
      <c r="JF352" s="33"/>
      <c r="JG352" s="33"/>
      <c r="JH352" s="33"/>
      <c r="JI352" s="33"/>
      <c r="JJ352" s="33"/>
      <c r="JK352" s="33"/>
      <c r="JL352" s="33"/>
      <c r="JM352" s="33"/>
      <c r="JN352" s="33"/>
      <c r="JO352" s="33"/>
      <c r="JP352" s="33"/>
      <c r="JQ352" s="33"/>
      <c r="JR352" s="33"/>
      <c r="KZ352" s="33"/>
      <c r="LA352" s="33"/>
      <c r="LB352" s="33"/>
      <c r="LC352" s="33"/>
      <c r="LD352" s="33"/>
      <c r="LE352" s="33"/>
      <c r="LF352" s="33"/>
      <c r="LG352" s="33"/>
      <c r="LH352" s="33"/>
      <c r="LI352" s="33"/>
      <c r="LJ352" s="33"/>
      <c r="LK352" s="33"/>
      <c r="LL352" s="33"/>
      <c r="LM352" s="33"/>
      <c r="LN352" s="33"/>
      <c r="LO352" s="33"/>
      <c r="LP352" s="44"/>
      <c r="LQ352" s="44"/>
      <c r="LR352" s="44"/>
      <c r="LS352" s="44"/>
      <c r="LT352" s="44"/>
      <c r="LU352" s="44"/>
      <c r="LV352" s="44"/>
    </row>
    <row r="353" spans="1:334" x14ac:dyDescent="0.2">
      <c r="A353" s="1" t="s">
        <v>8902</v>
      </c>
      <c r="B353" s="1" t="s">
        <v>8899</v>
      </c>
      <c r="D353" s="1" t="s">
        <v>8903</v>
      </c>
      <c r="E353" s="1" t="s">
        <v>8099</v>
      </c>
      <c r="F353" s="1" t="s">
        <v>8021</v>
      </c>
      <c r="H353" s="1" t="s">
        <v>8904</v>
      </c>
      <c r="K353" s="1">
        <v>2014</v>
      </c>
      <c r="L353" s="1" t="s">
        <v>8901</v>
      </c>
      <c r="M353" s="1" t="s">
        <v>7657</v>
      </c>
      <c r="N353" s="17" t="s">
        <v>7945</v>
      </c>
      <c r="O353" s="33"/>
      <c r="P353" s="33"/>
      <c r="Q353" s="33"/>
      <c r="R353" s="33"/>
      <c r="S353" s="33">
        <v>59</v>
      </c>
      <c r="T353" s="33">
        <v>41</v>
      </c>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33"/>
      <c r="BE353" s="33"/>
      <c r="BF353" s="33"/>
      <c r="BG353" s="33"/>
      <c r="BH353" s="33"/>
      <c r="BI353" s="33"/>
      <c r="BJ353" s="33"/>
      <c r="BK353" s="33"/>
      <c r="BL353" s="33"/>
      <c r="BM353" s="33"/>
      <c r="BN353" s="33"/>
      <c r="BO353" s="33"/>
      <c r="BP353" s="33"/>
      <c r="BQ353" s="33"/>
      <c r="BR353" s="33"/>
      <c r="BS353" s="33"/>
      <c r="BT353" s="33"/>
      <c r="BU353" s="33"/>
      <c r="BV353" s="33"/>
      <c r="BW353" s="33"/>
      <c r="BX353" s="33"/>
      <c r="BY353" s="33"/>
      <c r="BZ353" s="33"/>
      <c r="CA353" s="33"/>
      <c r="CB353" s="33"/>
      <c r="CC353" s="33"/>
      <c r="CD353" s="33"/>
      <c r="CE353" s="33"/>
      <c r="CF353" s="33"/>
      <c r="CG353" s="33"/>
      <c r="CH353" s="33"/>
      <c r="CI353" s="33"/>
      <c r="CJ353" s="33"/>
      <c r="CK353" s="33"/>
      <c r="CL353" s="33"/>
      <c r="CM353" s="33"/>
      <c r="CN353" s="33"/>
      <c r="CO353" s="33"/>
      <c r="CP353" s="33"/>
      <c r="CQ353" s="33"/>
      <c r="CR353" s="33"/>
      <c r="CS353" s="33"/>
      <c r="CT353" s="33"/>
      <c r="CU353" s="33"/>
      <c r="CV353" s="33"/>
      <c r="CW353" s="33"/>
      <c r="CX353" s="33"/>
      <c r="CY353" s="33"/>
      <c r="CZ353" s="33"/>
      <c r="DA353" s="33"/>
      <c r="DB353" s="33"/>
      <c r="DC353" s="33"/>
      <c r="DD353" s="33"/>
      <c r="DE353" s="33"/>
      <c r="DF353" s="33"/>
      <c r="DG353" s="33"/>
      <c r="DH353" s="33"/>
      <c r="DI353" s="33"/>
      <c r="DJ353" s="33"/>
      <c r="DK353" s="33"/>
      <c r="DL353" s="33"/>
      <c r="DM353" s="33"/>
      <c r="DN353" s="33"/>
      <c r="DO353" s="33"/>
      <c r="DP353" s="33"/>
      <c r="DQ353" s="33"/>
      <c r="DR353" s="33"/>
      <c r="DS353" s="33"/>
      <c r="DT353" s="33"/>
      <c r="DU353" s="33"/>
      <c r="DV353" s="33"/>
      <c r="DW353" s="33"/>
      <c r="DX353" s="33"/>
      <c r="DY353" s="33"/>
      <c r="DZ353" s="33"/>
      <c r="EA353" s="33"/>
      <c r="EB353" s="33"/>
      <c r="EC353" s="33"/>
      <c r="ED353" s="33"/>
      <c r="EE353" s="33"/>
      <c r="EF353" s="33"/>
      <c r="EG353" s="33"/>
      <c r="EH353" s="33"/>
      <c r="EI353" s="33"/>
      <c r="EJ353" s="33"/>
      <c r="EK353" s="33"/>
      <c r="EL353" s="33"/>
      <c r="EM353" s="33"/>
      <c r="EN353" s="33"/>
      <c r="EO353" s="33">
        <v>9.84</v>
      </c>
      <c r="EP353" s="33">
        <v>11.48</v>
      </c>
      <c r="EQ353" s="33">
        <v>52.07</v>
      </c>
      <c r="ER353" s="33"/>
      <c r="ES353" s="33"/>
      <c r="ET353" s="33"/>
      <c r="EU353" s="33"/>
      <c r="EV353" s="33"/>
      <c r="EW353" s="33"/>
      <c r="EX353" s="33"/>
      <c r="EY353" s="33"/>
      <c r="EZ353" s="33"/>
      <c r="FA353" s="33"/>
      <c r="FB353" s="33"/>
      <c r="FC353" s="33"/>
      <c r="FD353" s="33"/>
      <c r="FE353" s="33"/>
      <c r="FF353" s="33"/>
      <c r="FG353" s="33"/>
      <c r="FH353" s="33"/>
      <c r="FI353" s="33"/>
      <c r="FJ353" s="33"/>
      <c r="FK353" s="33"/>
      <c r="FL353" s="33"/>
      <c r="FM353" s="33"/>
      <c r="FN353" s="33"/>
      <c r="FO353" s="33"/>
      <c r="FP353" s="33"/>
      <c r="FQ353" s="33"/>
      <c r="FR353" s="33"/>
      <c r="FS353" s="33"/>
      <c r="FT353" s="33"/>
      <c r="FU353" s="33"/>
      <c r="FV353" s="33"/>
      <c r="FW353" s="33"/>
      <c r="FX353" s="33"/>
      <c r="FY353" s="33"/>
      <c r="FZ353" s="33"/>
      <c r="GA353" s="33"/>
      <c r="GB353" s="33"/>
      <c r="GC353" s="33"/>
      <c r="GD353" s="33"/>
      <c r="GE353" s="33"/>
      <c r="GF353" s="33"/>
      <c r="GG353" s="33"/>
      <c r="GH353" s="33"/>
      <c r="GI353" s="33"/>
      <c r="GJ353" s="33"/>
      <c r="GK353" s="33"/>
      <c r="GL353" s="33"/>
      <c r="GM353" s="33"/>
      <c r="GN353" s="33"/>
      <c r="GO353" s="33"/>
      <c r="GP353" s="33"/>
      <c r="GQ353" s="33"/>
      <c r="GR353" s="33"/>
      <c r="GS353" s="33"/>
      <c r="GT353" s="33"/>
      <c r="GU353" s="33"/>
      <c r="GV353" s="33"/>
      <c r="GW353" s="33"/>
      <c r="GX353" s="33"/>
      <c r="GY353" s="33"/>
      <c r="GZ353" s="33"/>
      <c r="HA353" s="33"/>
      <c r="HB353" s="33"/>
      <c r="HC353" s="33"/>
      <c r="HD353" s="33"/>
      <c r="HE353" s="33"/>
      <c r="HF353" s="33"/>
      <c r="HG353" s="33"/>
      <c r="HH353" s="33"/>
      <c r="HI353" s="33"/>
      <c r="HJ353" s="33"/>
      <c r="HK353" s="33"/>
      <c r="HL353" s="33"/>
      <c r="HM353" s="33"/>
      <c r="HN353" s="33"/>
      <c r="HO353" s="33"/>
      <c r="HP353" s="33"/>
      <c r="HQ353" s="33"/>
      <c r="HR353" s="33"/>
      <c r="HS353" s="33"/>
      <c r="HT353" s="33"/>
      <c r="HU353" s="33"/>
      <c r="HV353" s="33"/>
      <c r="HW353" s="33"/>
      <c r="HX353" s="33"/>
      <c r="HY353" s="33"/>
      <c r="HZ353" s="33"/>
      <c r="IA353" s="33"/>
      <c r="IB353" s="33"/>
      <c r="IC353" s="33"/>
      <c r="ID353" s="33"/>
      <c r="IE353" s="33"/>
      <c r="IF353" s="33"/>
      <c r="IG353" s="33"/>
      <c r="IH353" s="33"/>
      <c r="II353" s="33"/>
      <c r="IJ353" s="33"/>
      <c r="IK353" s="33"/>
      <c r="IL353" s="33"/>
      <c r="IM353" s="33"/>
      <c r="IN353" s="33"/>
      <c r="IO353" s="33"/>
      <c r="IP353" s="33"/>
      <c r="IQ353" s="33"/>
      <c r="IR353" s="33"/>
      <c r="IS353" s="33"/>
      <c r="IT353" s="33"/>
      <c r="IU353" s="33"/>
      <c r="IV353" s="33"/>
      <c r="IW353" s="33"/>
      <c r="IX353" s="33"/>
      <c r="IY353" s="33"/>
      <c r="IZ353" s="33"/>
      <c r="JA353" s="33"/>
      <c r="JB353" s="33"/>
      <c r="JC353" s="33"/>
      <c r="JD353" s="33"/>
      <c r="JE353" s="33"/>
      <c r="JF353" s="33"/>
      <c r="JG353" s="33"/>
      <c r="JH353" s="33"/>
      <c r="JI353" s="33"/>
      <c r="JJ353" s="33"/>
      <c r="JK353" s="33"/>
      <c r="JL353" s="33"/>
      <c r="JM353" s="33"/>
      <c r="JN353" s="33"/>
      <c r="JO353" s="33"/>
      <c r="JP353" s="33"/>
      <c r="JQ353" s="33"/>
      <c r="JR353" s="33"/>
      <c r="KZ353" s="33"/>
      <c r="LA353" s="33"/>
      <c r="LB353" s="33"/>
      <c r="LC353" s="33"/>
      <c r="LD353" s="33"/>
      <c r="LE353" s="33"/>
      <c r="LF353" s="33"/>
      <c r="LG353" s="33"/>
      <c r="LH353" s="33"/>
      <c r="LI353" s="33"/>
      <c r="LJ353" s="33"/>
      <c r="LK353" s="33"/>
      <c r="LL353" s="33"/>
      <c r="LM353" s="33"/>
      <c r="LN353" s="33"/>
      <c r="LO353" s="33"/>
      <c r="LP353" s="44"/>
      <c r="LQ353" s="44"/>
      <c r="LR353" s="44"/>
      <c r="LS353" s="44"/>
      <c r="LT353" s="44"/>
      <c r="LU353" s="44"/>
      <c r="LV353" s="44"/>
    </row>
    <row r="354" spans="1:334" x14ac:dyDescent="0.2">
      <c r="A354" s="1" t="s">
        <v>8905</v>
      </c>
      <c r="B354" s="1" t="s">
        <v>8899</v>
      </c>
      <c r="D354" s="1" t="s">
        <v>8906</v>
      </c>
      <c r="E354" s="1" t="s">
        <v>11</v>
      </c>
      <c r="F354" s="1" t="s">
        <v>8021</v>
      </c>
      <c r="H354" s="1" t="s">
        <v>8907</v>
      </c>
      <c r="K354" s="1">
        <v>2014</v>
      </c>
      <c r="L354" s="1" t="s">
        <v>8901</v>
      </c>
      <c r="M354" s="1" t="s">
        <v>7657</v>
      </c>
      <c r="N354" s="17" t="s">
        <v>7945</v>
      </c>
      <c r="O354" s="33"/>
      <c r="P354" s="33"/>
      <c r="Q354" s="33"/>
      <c r="R354" s="33"/>
      <c r="S354" s="33">
        <v>58</v>
      </c>
      <c r="T354" s="33">
        <v>42</v>
      </c>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33"/>
      <c r="BE354" s="33"/>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33"/>
      <c r="CM354" s="33"/>
      <c r="CN354" s="33"/>
      <c r="CO354" s="33"/>
      <c r="CP354" s="33"/>
      <c r="CQ354" s="33"/>
      <c r="CR354" s="33"/>
      <c r="CS354" s="33"/>
      <c r="CT354" s="33"/>
      <c r="CU354" s="33"/>
      <c r="CV354" s="33"/>
      <c r="CW354" s="33"/>
      <c r="CX354" s="33"/>
      <c r="CY354" s="33"/>
      <c r="CZ354" s="33"/>
      <c r="DA354" s="33"/>
      <c r="DB354" s="33"/>
      <c r="DC354" s="33"/>
      <c r="DD354" s="33"/>
      <c r="DE354" s="33"/>
      <c r="DF354" s="33"/>
      <c r="DG354" s="33"/>
      <c r="DH354" s="33"/>
      <c r="DI354" s="33"/>
      <c r="DJ354" s="33"/>
      <c r="DK354" s="33"/>
      <c r="DL354" s="33"/>
      <c r="DM354" s="33"/>
      <c r="DN354" s="33"/>
      <c r="DO354" s="33"/>
      <c r="DP354" s="33"/>
      <c r="DQ354" s="33"/>
      <c r="DR354" s="33"/>
      <c r="DS354" s="33"/>
      <c r="DT354" s="33"/>
      <c r="DU354" s="33"/>
      <c r="DV354" s="33"/>
      <c r="DW354" s="33"/>
      <c r="DX354" s="33"/>
      <c r="DY354" s="33"/>
      <c r="DZ354" s="33"/>
      <c r="EA354" s="33"/>
      <c r="EB354" s="33"/>
      <c r="EC354" s="33"/>
      <c r="ED354" s="33"/>
      <c r="EE354" s="33"/>
      <c r="EF354" s="33"/>
      <c r="EG354" s="33"/>
      <c r="EH354" s="33"/>
      <c r="EI354" s="33"/>
      <c r="EJ354" s="33"/>
      <c r="EK354" s="33"/>
      <c r="EL354" s="33"/>
      <c r="EM354" s="33"/>
      <c r="EN354" s="33"/>
      <c r="EO354" s="33">
        <v>10.5</v>
      </c>
      <c r="EP354" s="33">
        <v>8.4</v>
      </c>
      <c r="EQ354" s="33">
        <v>49.14</v>
      </c>
      <c r="ER354" s="33"/>
      <c r="ES354" s="33"/>
      <c r="ET354" s="33"/>
      <c r="EU354" s="33"/>
      <c r="EV354" s="33"/>
      <c r="EW354" s="33"/>
      <c r="EX354" s="33"/>
      <c r="EY354" s="33"/>
      <c r="EZ354" s="33"/>
      <c r="FA354" s="33"/>
      <c r="FB354" s="33"/>
      <c r="FC354" s="33"/>
      <c r="FD354" s="33"/>
      <c r="FE354" s="33"/>
      <c r="FF354" s="33"/>
      <c r="FG354" s="33"/>
      <c r="FH354" s="33"/>
      <c r="FI354" s="33"/>
      <c r="FJ354" s="33"/>
      <c r="FK354" s="33"/>
      <c r="FL354" s="33"/>
      <c r="FM354" s="33"/>
      <c r="FN354" s="33"/>
      <c r="FO354" s="33"/>
      <c r="FP354" s="33"/>
      <c r="FQ354" s="33"/>
      <c r="FR354" s="33"/>
      <c r="FS354" s="33"/>
      <c r="FT354" s="33"/>
      <c r="FU354" s="33"/>
      <c r="FV354" s="33"/>
      <c r="FW354" s="33"/>
      <c r="FX354" s="33"/>
      <c r="FY354" s="33"/>
      <c r="FZ354" s="33"/>
      <c r="GA354" s="33"/>
      <c r="GB354" s="33"/>
      <c r="GC354" s="33"/>
      <c r="GD354" s="33"/>
      <c r="GE354" s="33"/>
      <c r="GF354" s="33"/>
      <c r="GG354" s="33"/>
      <c r="GH354" s="33"/>
      <c r="GI354" s="33"/>
      <c r="GJ354" s="33"/>
      <c r="GK354" s="33"/>
      <c r="GL354" s="33"/>
      <c r="GM354" s="33"/>
      <c r="GN354" s="33"/>
      <c r="GO354" s="33"/>
      <c r="GP354" s="33"/>
      <c r="GQ354" s="33"/>
      <c r="GR354" s="33"/>
      <c r="GS354" s="33"/>
      <c r="GT354" s="33"/>
      <c r="GU354" s="33"/>
      <c r="GV354" s="33"/>
      <c r="GW354" s="33"/>
      <c r="GX354" s="33"/>
      <c r="GY354" s="33"/>
      <c r="GZ354" s="33"/>
      <c r="HA354" s="33"/>
      <c r="HB354" s="33"/>
      <c r="HC354" s="33"/>
      <c r="HD354" s="33"/>
      <c r="HE354" s="33"/>
      <c r="HF354" s="33"/>
      <c r="HG354" s="33"/>
      <c r="HH354" s="33"/>
      <c r="HI354" s="33"/>
      <c r="HJ354" s="33"/>
      <c r="HK354" s="33"/>
      <c r="HL354" s="33"/>
      <c r="HM354" s="33"/>
      <c r="HN354" s="33"/>
      <c r="HO354" s="33"/>
      <c r="HP354" s="33"/>
      <c r="HQ354" s="33"/>
      <c r="HR354" s="33"/>
      <c r="HS354" s="33"/>
      <c r="HT354" s="33"/>
      <c r="HU354" s="33"/>
      <c r="HV354" s="33"/>
      <c r="HW354" s="33"/>
      <c r="HX354" s="33"/>
      <c r="HY354" s="33"/>
      <c r="HZ354" s="33"/>
      <c r="IA354" s="33"/>
      <c r="IB354" s="33"/>
      <c r="IC354" s="33"/>
      <c r="ID354" s="33"/>
      <c r="IE354" s="33"/>
      <c r="IF354" s="33"/>
      <c r="IG354" s="33"/>
      <c r="IH354" s="33"/>
      <c r="II354" s="33"/>
      <c r="IJ354" s="33"/>
      <c r="IK354" s="33"/>
      <c r="IL354" s="33"/>
      <c r="IM354" s="33"/>
      <c r="IN354" s="33"/>
      <c r="IO354" s="33"/>
      <c r="IP354" s="33"/>
      <c r="IQ354" s="33"/>
      <c r="IR354" s="33"/>
      <c r="IS354" s="33"/>
      <c r="IT354" s="33"/>
      <c r="IU354" s="33"/>
      <c r="IV354" s="33"/>
      <c r="IW354" s="33"/>
      <c r="IX354" s="33"/>
      <c r="IY354" s="33"/>
      <c r="IZ354" s="33"/>
      <c r="JA354" s="33"/>
      <c r="JB354" s="33"/>
      <c r="JC354" s="33"/>
      <c r="JD354" s="33"/>
      <c r="JE354" s="33"/>
      <c r="JF354" s="33"/>
      <c r="JG354" s="33"/>
      <c r="JH354" s="33"/>
      <c r="JI354" s="33"/>
      <c r="JJ354" s="33"/>
      <c r="JK354" s="33"/>
      <c r="JL354" s="33"/>
      <c r="JM354" s="33"/>
      <c r="JN354" s="33"/>
      <c r="JO354" s="33"/>
      <c r="JP354" s="33"/>
      <c r="JQ354" s="33"/>
      <c r="JR354" s="33"/>
      <c r="KZ354" s="33"/>
      <c r="LA354" s="33"/>
      <c r="LB354" s="33"/>
      <c r="LC354" s="33"/>
      <c r="LD354" s="33"/>
      <c r="LE354" s="33"/>
      <c r="LF354" s="33"/>
      <c r="LG354" s="33"/>
      <c r="LH354" s="33"/>
      <c r="LI354" s="33"/>
      <c r="LJ354" s="33"/>
      <c r="LK354" s="33"/>
      <c r="LL354" s="33"/>
      <c r="LM354" s="33"/>
      <c r="LN354" s="33"/>
      <c r="LO354" s="33"/>
      <c r="LP354" s="44"/>
      <c r="LQ354" s="44"/>
      <c r="LR354" s="44"/>
      <c r="LS354" s="44"/>
      <c r="LT354" s="44"/>
      <c r="LU354" s="44"/>
      <c r="LV354" s="44"/>
    </row>
    <row r="355" spans="1:334" x14ac:dyDescent="0.2">
      <c r="A355" s="1" t="s">
        <v>8908</v>
      </c>
      <c r="B355" s="1" t="s">
        <v>8899</v>
      </c>
      <c r="D355" s="1" t="s">
        <v>8909</v>
      </c>
      <c r="E355" s="1" t="s">
        <v>11</v>
      </c>
      <c r="F355" s="1" t="s">
        <v>8021</v>
      </c>
      <c r="H355" s="1" t="s">
        <v>8910</v>
      </c>
      <c r="K355" s="1">
        <v>2014</v>
      </c>
      <c r="L355" s="1" t="s">
        <v>8901</v>
      </c>
      <c r="M355" s="1" t="s">
        <v>7657</v>
      </c>
      <c r="N355" s="17" t="s">
        <v>7945</v>
      </c>
      <c r="O355" s="33"/>
      <c r="P355" s="33"/>
      <c r="Q355" s="33"/>
      <c r="R355" s="33"/>
      <c r="S355" s="33">
        <v>69</v>
      </c>
      <c r="T355" s="33">
        <v>31</v>
      </c>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33"/>
      <c r="BE355" s="33"/>
      <c r="BF355" s="33"/>
      <c r="BG355" s="33"/>
      <c r="BH355" s="33"/>
      <c r="BI355" s="33"/>
      <c r="BJ355" s="33"/>
      <c r="BK355" s="33"/>
      <c r="BL355" s="33"/>
      <c r="BM355" s="33"/>
      <c r="BN355" s="33"/>
      <c r="BO355" s="33"/>
      <c r="BP355" s="33"/>
      <c r="BQ355" s="33"/>
      <c r="BR355" s="33"/>
      <c r="BS355" s="33"/>
      <c r="BT355" s="33"/>
      <c r="BU355" s="33"/>
      <c r="BV355" s="33"/>
      <c r="BW355" s="33"/>
      <c r="BX355" s="33"/>
      <c r="BY355" s="33"/>
      <c r="BZ355" s="33"/>
      <c r="CA355" s="33"/>
      <c r="CB355" s="33"/>
      <c r="CC355" s="33"/>
      <c r="CD355" s="33"/>
      <c r="CE355" s="33"/>
      <c r="CF355" s="33"/>
      <c r="CG355" s="33"/>
      <c r="CH355" s="33"/>
      <c r="CI355" s="33"/>
      <c r="CJ355" s="33"/>
      <c r="CK355" s="33"/>
      <c r="CL355" s="33"/>
      <c r="CM355" s="33"/>
      <c r="CN355" s="33"/>
      <c r="CO355" s="33"/>
      <c r="CP355" s="33"/>
      <c r="CQ355" s="33"/>
      <c r="CR355" s="33"/>
      <c r="CS355" s="33"/>
      <c r="CT355" s="33"/>
      <c r="CU355" s="33"/>
      <c r="CV355" s="33"/>
      <c r="CW355" s="33"/>
      <c r="CX355" s="33"/>
      <c r="CY355" s="33"/>
      <c r="CZ355" s="33"/>
      <c r="DA355" s="33"/>
      <c r="DB355" s="33"/>
      <c r="DC355" s="33"/>
      <c r="DD355" s="33"/>
      <c r="DE355" s="33"/>
      <c r="DF355" s="33"/>
      <c r="DG355" s="33"/>
      <c r="DH355" s="33"/>
      <c r="DI355" s="33"/>
      <c r="DJ355" s="33"/>
      <c r="DK355" s="33"/>
      <c r="DL355" s="33"/>
      <c r="DM355" s="33"/>
      <c r="DN355" s="33"/>
      <c r="DO355" s="33"/>
      <c r="DP355" s="33"/>
      <c r="DQ355" s="33"/>
      <c r="DR355" s="33"/>
      <c r="DS355" s="33"/>
      <c r="DT355" s="33"/>
      <c r="DU355" s="33"/>
      <c r="DV355" s="33"/>
      <c r="DW355" s="33"/>
      <c r="DX355" s="33"/>
      <c r="DY355" s="33"/>
      <c r="DZ355" s="33"/>
      <c r="EA355" s="33"/>
      <c r="EB355" s="33"/>
      <c r="EC355" s="33"/>
      <c r="ED355" s="33"/>
      <c r="EE355" s="33"/>
      <c r="EF355" s="33"/>
      <c r="EG355" s="33"/>
      <c r="EH355" s="33"/>
      <c r="EI355" s="33"/>
      <c r="EJ355" s="33"/>
      <c r="EK355" s="33"/>
      <c r="EL355" s="33"/>
      <c r="EM355" s="33"/>
      <c r="EN355" s="33"/>
      <c r="EO355" s="33">
        <v>9.3000000000000007</v>
      </c>
      <c r="EP355" s="33">
        <v>5.27</v>
      </c>
      <c r="EQ355" s="33">
        <v>26.97</v>
      </c>
      <c r="ER355" s="33"/>
      <c r="ES355" s="33"/>
      <c r="ET355" s="33"/>
      <c r="EU355" s="33"/>
      <c r="EV355" s="33"/>
      <c r="EW355" s="33"/>
      <c r="EX355" s="33"/>
      <c r="EY355" s="33"/>
      <c r="EZ355" s="33"/>
      <c r="FA355" s="33"/>
      <c r="FB355" s="33"/>
      <c r="FC355" s="33"/>
      <c r="FD355" s="33"/>
      <c r="FE355" s="33"/>
      <c r="FF355" s="33"/>
      <c r="FG355" s="33"/>
      <c r="FH355" s="33"/>
      <c r="FI355" s="33"/>
      <c r="FJ355" s="33"/>
      <c r="FK355" s="33"/>
      <c r="FL355" s="33"/>
      <c r="FM355" s="33"/>
      <c r="FN355" s="33"/>
      <c r="FO355" s="33"/>
      <c r="FP355" s="33"/>
      <c r="FQ355" s="33"/>
      <c r="FR355" s="33"/>
      <c r="FS355" s="33"/>
      <c r="FT355" s="33"/>
      <c r="FU355" s="33"/>
      <c r="FV355" s="33"/>
      <c r="FW355" s="33"/>
      <c r="FX355" s="33"/>
      <c r="FY355" s="33"/>
      <c r="FZ355" s="33"/>
      <c r="GA355" s="33"/>
      <c r="GB355" s="33"/>
      <c r="GC355" s="33"/>
      <c r="GD355" s="33"/>
      <c r="GE355" s="33"/>
      <c r="GF355" s="33"/>
      <c r="GG355" s="33"/>
      <c r="GH355" s="33"/>
      <c r="GI355" s="33"/>
      <c r="GJ355" s="33"/>
      <c r="GK355" s="33"/>
      <c r="GL355" s="33"/>
      <c r="GM355" s="33"/>
      <c r="GN355" s="33"/>
      <c r="GO355" s="33"/>
      <c r="GP355" s="33"/>
      <c r="GQ355" s="33"/>
      <c r="GR355" s="33"/>
      <c r="GS355" s="33"/>
      <c r="GT355" s="33"/>
      <c r="GU355" s="33"/>
      <c r="GV355" s="33"/>
      <c r="GW355" s="33"/>
      <c r="GX355" s="33"/>
      <c r="GY355" s="33"/>
      <c r="GZ355" s="33"/>
      <c r="HA355" s="33"/>
      <c r="HB355" s="33"/>
      <c r="HC355" s="33"/>
      <c r="HD355" s="33"/>
      <c r="HE355" s="33"/>
      <c r="HF355" s="33"/>
      <c r="HG355" s="33"/>
      <c r="HH355" s="33"/>
      <c r="HI355" s="33"/>
      <c r="HJ355" s="33"/>
      <c r="HK355" s="33"/>
      <c r="HL355" s="33"/>
      <c r="HM355" s="33"/>
      <c r="HN355" s="33"/>
      <c r="HO355" s="33"/>
      <c r="HP355" s="33"/>
      <c r="HQ355" s="33"/>
      <c r="HR355" s="33"/>
      <c r="HS355" s="33"/>
      <c r="HT355" s="33"/>
      <c r="HU355" s="33"/>
      <c r="HV355" s="33"/>
      <c r="HW355" s="33"/>
      <c r="HX355" s="33"/>
      <c r="HY355" s="33"/>
      <c r="HZ355" s="33"/>
      <c r="IA355" s="33"/>
      <c r="IB355" s="33"/>
      <c r="IC355" s="33"/>
      <c r="ID355" s="33"/>
      <c r="IE355" s="33"/>
      <c r="IF355" s="33"/>
      <c r="IG355" s="33"/>
      <c r="IH355" s="33"/>
      <c r="II355" s="33"/>
      <c r="IJ355" s="33"/>
      <c r="IK355" s="33"/>
      <c r="IL355" s="33"/>
      <c r="IM355" s="33"/>
      <c r="IN355" s="33"/>
      <c r="IO355" s="33"/>
      <c r="IP355" s="33"/>
      <c r="IQ355" s="33"/>
      <c r="IR355" s="33"/>
      <c r="IS355" s="33"/>
      <c r="IT355" s="33"/>
      <c r="IU355" s="33"/>
      <c r="IV355" s="33"/>
      <c r="IW355" s="33"/>
      <c r="IX355" s="33"/>
      <c r="IY355" s="33"/>
      <c r="IZ355" s="33"/>
      <c r="JA355" s="33"/>
      <c r="JB355" s="33"/>
      <c r="JC355" s="33"/>
      <c r="JD355" s="33"/>
      <c r="JE355" s="33"/>
      <c r="JF355" s="33"/>
      <c r="JG355" s="33"/>
      <c r="JH355" s="33"/>
      <c r="JI355" s="33"/>
      <c r="JJ355" s="33"/>
      <c r="JK355" s="33"/>
      <c r="JL355" s="33"/>
      <c r="JM355" s="33"/>
      <c r="JN355" s="33"/>
      <c r="JO355" s="33"/>
      <c r="JP355" s="33"/>
      <c r="JQ355" s="33"/>
      <c r="JR355" s="33"/>
      <c r="KZ355" s="33"/>
      <c r="LA355" s="33"/>
      <c r="LB355" s="33"/>
      <c r="LC355" s="33"/>
      <c r="LD355" s="33"/>
      <c r="LE355" s="33"/>
      <c r="LF355" s="33"/>
      <c r="LG355" s="33"/>
      <c r="LH355" s="33"/>
      <c r="LI355" s="33"/>
      <c r="LJ355" s="33"/>
      <c r="LK355" s="33"/>
      <c r="LL355" s="33"/>
      <c r="LM355" s="33"/>
      <c r="LN355" s="33"/>
      <c r="LO355" s="33"/>
      <c r="LP355" s="44"/>
      <c r="LQ355" s="44"/>
      <c r="LR355" s="44"/>
      <c r="LS355" s="44"/>
      <c r="LT355" s="44"/>
      <c r="LU355" s="44"/>
      <c r="LV355" s="44"/>
    </row>
    <row r="356" spans="1:334" x14ac:dyDescent="0.2">
      <c r="A356" s="1" t="s">
        <v>8911</v>
      </c>
      <c r="B356" s="1" t="s">
        <v>8899</v>
      </c>
      <c r="D356" s="1" t="s">
        <v>8909</v>
      </c>
      <c r="E356" s="1" t="s">
        <v>11</v>
      </c>
      <c r="F356" s="1" t="s">
        <v>8021</v>
      </c>
      <c r="H356" s="1" t="s">
        <v>8912</v>
      </c>
      <c r="K356" s="1">
        <v>2014</v>
      </c>
      <c r="L356" s="1" t="s">
        <v>8901</v>
      </c>
      <c r="M356" s="1" t="s">
        <v>7657</v>
      </c>
      <c r="N356" s="17" t="s">
        <v>7945</v>
      </c>
      <c r="O356" s="33"/>
      <c r="P356" s="33"/>
      <c r="Q356" s="33"/>
      <c r="R356" s="33"/>
      <c r="S356" s="33">
        <v>68</v>
      </c>
      <c r="T356" s="33">
        <v>32</v>
      </c>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33"/>
      <c r="BE356" s="33"/>
      <c r="BF356" s="33"/>
      <c r="BG356" s="33"/>
      <c r="BH356" s="33"/>
      <c r="BI356" s="33"/>
      <c r="BJ356" s="33"/>
      <c r="BK356" s="33"/>
      <c r="BL356" s="33"/>
      <c r="BM356" s="33"/>
      <c r="BN356" s="33"/>
      <c r="BO356" s="33"/>
      <c r="BP356" s="33"/>
      <c r="BQ356" s="33"/>
      <c r="BR356" s="33"/>
      <c r="BS356" s="33"/>
      <c r="BT356" s="33"/>
      <c r="BU356" s="33"/>
      <c r="BV356" s="33"/>
      <c r="BW356" s="33"/>
      <c r="BX356" s="33"/>
      <c r="BY356" s="33"/>
      <c r="BZ356" s="33"/>
      <c r="CA356" s="33"/>
      <c r="CB356" s="33"/>
      <c r="CC356" s="33"/>
      <c r="CD356" s="33"/>
      <c r="CE356" s="33"/>
      <c r="CF356" s="33"/>
      <c r="CG356" s="33"/>
      <c r="CH356" s="33"/>
      <c r="CI356" s="33"/>
      <c r="CJ356" s="33"/>
      <c r="CK356" s="33"/>
      <c r="CL356" s="33"/>
      <c r="CM356" s="33"/>
      <c r="CN356" s="33"/>
      <c r="CO356" s="33"/>
      <c r="CP356" s="33"/>
      <c r="CQ356" s="33"/>
      <c r="CR356" s="33"/>
      <c r="CS356" s="33"/>
      <c r="CT356" s="33"/>
      <c r="CU356" s="33"/>
      <c r="CV356" s="33"/>
      <c r="CW356" s="33"/>
      <c r="CX356" s="33"/>
      <c r="CY356" s="33"/>
      <c r="CZ356" s="33"/>
      <c r="DA356" s="33"/>
      <c r="DB356" s="33"/>
      <c r="DC356" s="33"/>
      <c r="DD356" s="33"/>
      <c r="DE356" s="33"/>
      <c r="DF356" s="33"/>
      <c r="DG356" s="33"/>
      <c r="DH356" s="33"/>
      <c r="DI356" s="33"/>
      <c r="DJ356" s="33"/>
      <c r="DK356" s="33"/>
      <c r="DL356" s="33"/>
      <c r="DM356" s="33"/>
      <c r="DN356" s="33"/>
      <c r="DO356" s="33"/>
      <c r="DP356" s="33"/>
      <c r="DQ356" s="33"/>
      <c r="DR356" s="33"/>
      <c r="DS356" s="33"/>
      <c r="DT356" s="33"/>
      <c r="DU356" s="33"/>
      <c r="DV356" s="33"/>
      <c r="DW356" s="33"/>
      <c r="DX356" s="33"/>
      <c r="DY356" s="33"/>
      <c r="DZ356" s="33"/>
      <c r="EA356" s="33"/>
      <c r="EB356" s="33"/>
      <c r="EC356" s="33"/>
      <c r="ED356" s="33"/>
      <c r="EE356" s="33"/>
      <c r="EF356" s="33"/>
      <c r="EG356" s="33"/>
      <c r="EH356" s="33"/>
      <c r="EI356" s="33"/>
      <c r="EJ356" s="33"/>
      <c r="EK356" s="33"/>
      <c r="EL356" s="33"/>
      <c r="EM356" s="33"/>
      <c r="EN356" s="33"/>
      <c r="EO356" s="33">
        <v>8.64</v>
      </c>
      <c r="EP356" s="33">
        <v>6.08</v>
      </c>
      <c r="EQ356" s="33">
        <v>26.88</v>
      </c>
      <c r="ER356" s="33"/>
      <c r="ES356" s="33"/>
      <c r="ET356" s="33"/>
      <c r="EU356" s="33"/>
      <c r="EV356" s="33"/>
      <c r="EW356" s="33"/>
      <c r="EX356" s="33"/>
      <c r="EY356" s="33"/>
      <c r="EZ356" s="33"/>
      <c r="FA356" s="33"/>
      <c r="FB356" s="33"/>
      <c r="FC356" s="33"/>
      <c r="FD356" s="33"/>
      <c r="FE356" s="33"/>
      <c r="FF356" s="33"/>
      <c r="FG356" s="33"/>
      <c r="FH356" s="33"/>
      <c r="FI356" s="33"/>
      <c r="FJ356" s="33"/>
      <c r="FK356" s="33"/>
      <c r="FL356" s="33"/>
      <c r="FM356" s="33"/>
      <c r="FN356" s="33"/>
      <c r="FO356" s="33"/>
      <c r="FP356" s="33"/>
      <c r="FQ356" s="33"/>
      <c r="FR356" s="33"/>
      <c r="FS356" s="33"/>
      <c r="FT356" s="33"/>
      <c r="FU356" s="33"/>
      <c r="FV356" s="33"/>
      <c r="FW356" s="33"/>
      <c r="FX356" s="33"/>
      <c r="FY356" s="33"/>
      <c r="FZ356" s="33"/>
      <c r="GA356" s="33"/>
      <c r="GB356" s="33"/>
      <c r="GC356" s="33"/>
      <c r="GD356" s="33"/>
      <c r="GE356" s="33"/>
      <c r="GF356" s="33"/>
      <c r="GG356" s="33"/>
      <c r="GH356" s="33"/>
      <c r="GI356" s="33"/>
      <c r="GJ356" s="33"/>
      <c r="GK356" s="33"/>
      <c r="GL356" s="33"/>
      <c r="GM356" s="33"/>
      <c r="GN356" s="33"/>
      <c r="GO356" s="33"/>
      <c r="GP356" s="33"/>
      <c r="GQ356" s="33"/>
      <c r="GR356" s="33"/>
      <c r="GS356" s="33"/>
      <c r="GT356" s="33"/>
      <c r="GU356" s="33"/>
      <c r="GV356" s="33"/>
      <c r="GW356" s="33"/>
      <c r="GX356" s="33"/>
      <c r="GY356" s="33"/>
      <c r="GZ356" s="33"/>
      <c r="HA356" s="33"/>
      <c r="HB356" s="33"/>
      <c r="HC356" s="33"/>
      <c r="HD356" s="33"/>
      <c r="HE356" s="33"/>
      <c r="HF356" s="33"/>
      <c r="HG356" s="33"/>
      <c r="HH356" s="33"/>
      <c r="HI356" s="33"/>
      <c r="HJ356" s="33"/>
      <c r="HK356" s="33"/>
      <c r="HL356" s="33"/>
      <c r="HM356" s="33"/>
      <c r="HN356" s="33"/>
      <c r="HO356" s="33"/>
      <c r="HP356" s="33"/>
      <c r="HQ356" s="33"/>
      <c r="HR356" s="33"/>
      <c r="HS356" s="33"/>
      <c r="HT356" s="33"/>
      <c r="HU356" s="33"/>
      <c r="HV356" s="33"/>
      <c r="HW356" s="33"/>
      <c r="HX356" s="33"/>
      <c r="HY356" s="33"/>
      <c r="HZ356" s="33"/>
      <c r="IA356" s="33"/>
      <c r="IB356" s="33"/>
      <c r="IC356" s="33"/>
      <c r="ID356" s="33"/>
      <c r="IE356" s="33"/>
      <c r="IF356" s="33"/>
      <c r="IG356" s="33"/>
      <c r="IH356" s="33"/>
      <c r="II356" s="33"/>
      <c r="IJ356" s="33"/>
      <c r="IK356" s="33"/>
      <c r="IL356" s="33"/>
      <c r="IM356" s="33"/>
      <c r="IN356" s="33"/>
      <c r="IO356" s="33"/>
      <c r="IP356" s="33"/>
      <c r="IQ356" s="33"/>
      <c r="IR356" s="33"/>
      <c r="IS356" s="33"/>
      <c r="IT356" s="33"/>
      <c r="IU356" s="33"/>
      <c r="IV356" s="33"/>
      <c r="IW356" s="33"/>
      <c r="IX356" s="33"/>
      <c r="IY356" s="33"/>
      <c r="IZ356" s="33"/>
      <c r="JA356" s="33"/>
      <c r="JB356" s="33"/>
      <c r="JC356" s="33"/>
      <c r="JD356" s="33"/>
      <c r="JE356" s="33"/>
      <c r="JF356" s="33"/>
      <c r="JG356" s="33"/>
      <c r="JH356" s="33"/>
      <c r="JI356" s="33"/>
      <c r="JJ356" s="33"/>
      <c r="JK356" s="33"/>
      <c r="JL356" s="33"/>
      <c r="JM356" s="33"/>
      <c r="JN356" s="33"/>
      <c r="JO356" s="33"/>
      <c r="JP356" s="33"/>
      <c r="JQ356" s="33"/>
      <c r="JR356" s="33"/>
      <c r="KZ356" s="33"/>
      <c r="LA356" s="33"/>
      <c r="LB356" s="33"/>
      <c r="LC356" s="33"/>
      <c r="LD356" s="33"/>
      <c r="LE356" s="33"/>
      <c r="LF356" s="33"/>
      <c r="LG356" s="33"/>
      <c r="LH356" s="33"/>
      <c r="LI356" s="33"/>
      <c r="LJ356" s="33"/>
      <c r="LK356" s="33"/>
      <c r="LL356" s="33"/>
      <c r="LM356" s="33"/>
      <c r="LN356" s="33"/>
      <c r="LO356" s="33"/>
      <c r="LP356" s="44"/>
      <c r="LQ356" s="44"/>
      <c r="LR356" s="44"/>
      <c r="LS356" s="44"/>
      <c r="LT356" s="44"/>
      <c r="LU356" s="44"/>
      <c r="LV356" s="44"/>
    </row>
    <row r="357" spans="1:334" x14ac:dyDescent="0.2">
      <c r="A357" s="1" t="s">
        <v>8913</v>
      </c>
      <c r="B357" s="1" t="s">
        <v>8899</v>
      </c>
      <c r="D357" s="1" t="s">
        <v>8909</v>
      </c>
      <c r="E357" s="1" t="s">
        <v>11</v>
      </c>
      <c r="F357" s="1" t="s">
        <v>8021</v>
      </c>
      <c r="H357" s="1" t="s">
        <v>8914</v>
      </c>
      <c r="K357" s="1">
        <v>2014</v>
      </c>
      <c r="L357" s="1" t="s">
        <v>8901</v>
      </c>
      <c r="M357" s="1" t="s">
        <v>7657</v>
      </c>
      <c r="N357" s="17" t="s">
        <v>7945</v>
      </c>
      <c r="O357" s="33"/>
      <c r="P357" s="33"/>
      <c r="Q357" s="33"/>
      <c r="R357" s="33"/>
      <c r="S357" s="33">
        <v>69</v>
      </c>
      <c r="T357" s="33">
        <v>31</v>
      </c>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33"/>
      <c r="BE357" s="33"/>
      <c r="BF357" s="33"/>
      <c r="BG357" s="33"/>
      <c r="BH357" s="33"/>
      <c r="BI357" s="33"/>
      <c r="BJ357" s="33"/>
      <c r="BK357" s="33"/>
      <c r="BL357" s="33"/>
      <c r="BM357" s="33"/>
      <c r="BN357" s="33"/>
      <c r="BO357" s="33"/>
      <c r="BP357" s="33"/>
      <c r="BQ357" s="33"/>
      <c r="BR357" s="33"/>
      <c r="BS357" s="33"/>
      <c r="BT357" s="33"/>
      <c r="BU357" s="33"/>
      <c r="BV357" s="33"/>
      <c r="BW357" s="33"/>
      <c r="BX357" s="33"/>
      <c r="BY357" s="33"/>
      <c r="BZ357" s="33"/>
      <c r="CA357" s="33"/>
      <c r="CB357" s="33"/>
      <c r="CC357" s="33"/>
      <c r="CD357" s="33"/>
      <c r="CE357" s="33"/>
      <c r="CF357" s="33"/>
      <c r="CG357" s="33"/>
      <c r="CH357" s="33"/>
      <c r="CI357" s="33"/>
      <c r="CJ357" s="33"/>
      <c r="CK357" s="33"/>
      <c r="CL357" s="33"/>
      <c r="CM357" s="33"/>
      <c r="CN357" s="33"/>
      <c r="CO357" s="33"/>
      <c r="CP357" s="33"/>
      <c r="CQ357" s="33"/>
      <c r="CR357" s="33"/>
      <c r="CS357" s="33"/>
      <c r="CT357" s="33"/>
      <c r="CU357" s="33"/>
      <c r="CV357" s="33"/>
      <c r="CW357" s="33"/>
      <c r="CX357" s="33"/>
      <c r="CY357" s="33"/>
      <c r="CZ357" s="33"/>
      <c r="DA357" s="33"/>
      <c r="DB357" s="33"/>
      <c r="DC357" s="33"/>
      <c r="DD357" s="33"/>
      <c r="DE357" s="33"/>
      <c r="DF357" s="33"/>
      <c r="DG357" s="33"/>
      <c r="DH357" s="33"/>
      <c r="DI357" s="33"/>
      <c r="DJ357" s="33"/>
      <c r="DK357" s="33"/>
      <c r="DL357" s="33"/>
      <c r="DM357" s="33"/>
      <c r="DN357" s="33"/>
      <c r="DO357" s="33"/>
      <c r="DP357" s="33"/>
      <c r="DQ357" s="33"/>
      <c r="DR357" s="33"/>
      <c r="DS357" s="33"/>
      <c r="DT357" s="33"/>
      <c r="DU357" s="33"/>
      <c r="DV357" s="33"/>
      <c r="DW357" s="33"/>
      <c r="DX357" s="33"/>
      <c r="DY357" s="33"/>
      <c r="DZ357" s="33"/>
      <c r="EA357" s="33"/>
      <c r="EB357" s="33"/>
      <c r="EC357" s="33"/>
      <c r="ED357" s="33"/>
      <c r="EE357" s="33"/>
      <c r="EF357" s="33"/>
      <c r="EG357" s="33"/>
      <c r="EH357" s="33"/>
      <c r="EI357" s="33"/>
      <c r="EJ357" s="33"/>
      <c r="EK357" s="33"/>
      <c r="EL357" s="33"/>
      <c r="EM357" s="33"/>
      <c r="EN357" s="33"/>
      <c r="EO357" s="33">
        <v>8.68</v>
      </c>
      <c r="EP357" s="33">
        <v>5.58</v>
      </c>
      <c r="EQ357" s="33">
        <v>28.21</v>
      </c>
      <c r="ER357" s="33"/>
      <c r="ES357" s="33"/>
      <c r="ET357" s="33"/>
      <c r="EU357" s="33"/>
      <c r="EV357" s="33"/>
      <c r="EW357" s="33"/>
      <c r="EX357" s="33"/>
      <c r="EY357" s="33"/>
      <c r="EZ357" s="33"/>
      <c r="FA357" s="33"/>
      <c r="FB357" s="33"/>
      <c r="FC357" s="33"/>
      <c r="FD357" s="33"/>
      <c r="FE357" s="33"/>
      <c r="FF357" s="33"/>
      <c r="FG357" s="33"/>
      <c r="FH357" s="33"/>
      <c r="FI357" s="33"/>
      <c r="FJ357" s="33"/>
      <c r="FK357" s="33"/>
      <c r="FL357" s="33"/>
      <c r="FM357" s="33"/>
      <c r="FN357" s="33"/>
      <c r="FO357" s="33"/>
      <c r="FP357" s="33"/>
      <c r="FQ357" s="33"/>
      <c r="FR357" s="33"/>
      <c r="FS357" s="33"/>
      <c r="FT357" s="33"/>
      <c r="FU357" s="33"/>
      <c r="FV357" s="33"/>
      <c r="FW357" s="33"/>
      <c r="FX357" s="33"/>
      <c r="FY357" s="33"/>
      <c r="FZ357" s="33"/>
      <c r="GA357" s="33"/>
      <c r="GB357" s="33"/>
      <c r="GC357" s="33"/>
      <c r="GD357" s="33"/>
      <c r="GE357" s="33"/>
      <c r="GF357" s="33"/>
      <c r="GG357" s="33"/>
      <c r="GH357" s="33"/>
      <c r="GI357" s="33"/>
      <c r="GJ357" s="33"/>
      <c r="GK357" s="33"/>
      <c r="GL357" s="33"/>
      <c r="GM357" s="33"/>
      <c r="GN357" s="33"/>
      <c r="GO357" s="33"/>
      <c r="GP357" s="33"/>
      <c r="GQ357" s="33"/>
      <c r="GR357" s="33"/>
      <c r="GS357" s="33"/>
      <c r="GT357" s="33"/>
      <c r="GU357" s="33"/>
      <c r="GV357" s="33"/>
      <c r="GW357" s="33"/>
      <c r="GX357" s="33"/>
      <c r="GY357" s="33"/>
      <c r="GZ357" s="33"/>
      <c r="HA357" s="33"/>
      <c r="HB357" s="33"/>
      <c r="HC357" s="33"/>
      <c r="HD357" s="33"/>
      <c r="HE357" s="33"/>
      <c r="HF357" s="33"/>
      <c r="HG357" s="33"/>
      <c r="HH357" s="33"/>
      <c r="HI357" s="33"/>
      <c r="HJ357" s="33"/>
      <c r="HK357" s="33"/>
      <c r="HL357" s="33"/>
      <c r="HM357" s="33"/>
      <c r="HN357" s="33"/>
      <c r="HO357" s="33"/>
      <c r="HP357" s="33"/>
      <c r="HQ357" s="33"/>
      <c r="HR357" s="33"/>
      <c r="HS357" s="33"/>
      <c r="HT357" s="33"/>
      <c r="HU357" s="33"/>
      <c r="HV357" s="33"/>
      <c r="HW357" s="33"/>
      <c r="HX357" s="33"/>
      <c r="HY357" s="33"/>
      <c r="HZ357" s="33"/>
      <c r="IA357" s="33"/>
      <c r="IB357" s="33"/>
      <c r="IC357" s="33"/>
      <c r="ID357" s="33"/>
      <c r="IE357" s="33"/>
      <c r="IF357" s="33"/>
      <c r="IG357" s="33"/>
      <c r="IH357" s="33"/>
      <c r="II357" s="33"/>
      <c r="IJ357" s="33"/>
      <c r="IK357" s="33"/>
      <c r="IL357" s="33"/>
      <c r="IM357" s="33"/>
      <c r="IN357" s="33"/>
      <c r="IO357" s="33"/>
      <c r="IP357" s="33"/>
      <c r="IQ357" s="33"/>
      <c r="IR357" s="33"/>
      <c r="IS357" s="33"/>
      <c r="IT357" s="33"/>
      <c r="IU357" s="33"/>
      <c r="IV357" s="33"/>
      <c r="IW357" s="33"/>
      <c r="IX357" s="33"/>
      <c r="IY357" s="33"/>
      <c r="IZ357" s="33"/>
      <c r="JA357" s="33"/>
      <c r="JB357" s="33"/>
      <c r="JC357" s="33"/>
      <c r="JD357" s="33"/>
      <c r="JE357" s="33"/>
      <c r="JF357" s="33"/>
      <c r="JG357" s="33"/>
      <c r="JH357" s="33"/>
      <c r="JI357" s="33"/>
      <c r="JJ357" s="33"/>
      <c r="JK357" s="33"/>
      <c r="JL357" s="33"/>
      <c r="JM357" s="33"/>
      <c r="JN357" s="33"/>
      <c r="JO357" s="33"/>
      <c r="JP357" s="33"/>
      <c r="JQ357" s="33"/>
      <c r="JR357" s="33"/>
      <c r="KZ357" s="33"/>
      <c r="LA357" s="33"/>
      <c r="LB357" s="33"/>
      <c r="LC357" s="33"/>
      <c r="LD357" s="33"/>
      <c r="LE357" s="33"/>
      <c r="LF357" s="33"/>
      <c r="LG357" s="33"/>
      <c r="LH357" s="33"/>
      <c r="LI357" s="33"/>
      <c r="LJ357" s="33"/>
      <c r="LK357" s="33"/>
      <c r="LL357" s="33"/>
      <c r="LM357" s="33"/>
      <c r="LN357" s="33"/>
      <c r="LO357" s="33"/>
      <c r="LP357" s="44"/>
      <c r="LQ357" s="44"/>
      <c r="LR357" s="44"/>
      <c r="LS357" s="44"/>
      <c r="LT357" s="44"/>
      <c r="LU357" s="44"/>
      <c r="LV357" s="44"/>
    </row>
    <row r="358" spans="1:334" x14ac:dyDescent="0.2">
      <c r="A358" s="1" t="s">
        <v>8915</v>
      </c>
      <c r="B358" s="1" t="s">
        <v>8899</v>
      </c>
      <c r="D358" s="1" t="s">
        <v>8909</v>
      </c>
      <c r="E358" s="1" t="s">
        <v>11</v>
      </c>
      <c r="F358" s="1" t="s">
        <v>8021</v>
      </c>
      <c r="H358" s="1" t="s">
        <v>8916</v>
      </c>
      <c r="K358" s="1">
        <v>2014</v>
      </c>
      <c r="L358" s="1" t="s">
        <v>8901</v>
      </c>
      <c r="M358" s="1" t="s">
        <v>7657</v>
      </c>
      <c r="N358" s="17" t="s">
        <v>7945</v>
      </c>
      <c r="O358" s="33"/>
      <c r="P358" s="33"/>
      <c r="Q358" s="33"/>
      <c r="R358" s="33"/>
      <c r="S358" s="33">
        <v>70</v>
      </c>
      <c r="T358" s="33">
        <v>30</v>
      </c>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c r="BC358" s="33"/>
      <c r="BD358" s="33"/>
      <c r="BE358" s="33"/>
      <c r="BF358" s="33"/>
      <c r="BG358" s="33"/>
      <c r="BH358" s="33"/>
      <c r="BI358" s="33"/>
      <c r="BJ358" s="33"/>
      <c r="BK358" s="33"/>
      <c r="BL358" s="33"/>
      <c r="BM358" s="33"/>
      <c r="BN358" s="33"/>
      <c r="BO358" s="33"/>
      <c r="BP358" s="33"/>
      <c r="BQ358" s="33"/>
      <c r="BR358" s="33"/>
      <c r="BS358" s="33"/>
      <c r="BT358" s="33"/>
      <c r="BU358" s="33"/>
      <c r="BV358" s="33"/>
      <c r="BW358" s="33"/>
      <c r="BX358" s="33"/>
      <c r="BY358" s="33"/>
      <c r="BZ358" s="33"/>
      <c r="CA358" s="33"/>
      <c r="CB358" s="33"/>
      <c r="CC358" s="33"/>
      <c r="CD358" s="33"/>
      <c r="CE358" s="33"/>
      <c r="CF358" s="33"/>
      <c r="CG358" s="33"/>
      <c r="CH358" s="33"/>
      <c r="CI358" s="33"/>
      <c r="CJ358" s="33"/>
      <c r="CK358" s="33"/>
      <c r="CL358" s="33"/>
      <c r="CM358" s="33"/>
      <c r="CN358" s="33"/>
      <c r="CO358" s="33"/>
      <c r="CP358" s="33"/>
      <c r="CQ358" s="33"/>
      <c r="CR358" s="33"/>
      <c r="CS358" s="33"/>
      <c r="CT358" s="33"/>
      <c r="CU358" s="33"/>
      <c r="CV358" s="33"/>
      <c r="CW358" s="33"/>
      <c r="CX358" s="33"/>
      <c r="CY358" s="33"/>
      <c r="CZ358" s="33"/>
      <c r="DA358" s="33"/>
      <c r="DB358" s="33"/>
      <c r="DC358" s="33"/>
      <c r="DD358" s="33"/>
      <c r="DE358" s="33"/>
      <c r="DF358" s="33"/>
      <c r="DG358" s="33"/>
      <c r="DH358" s="33"/>
      <c r="DI358" s="33"/>
      <c r="DJ358" s="33"/>
      <c r="DK358" s="33"/>
      <c r="DL358" s="33"/>
      <c r="DM358" s="33"/>
      <c r="DN358" s="33"/>
      <c r="DO358" s="33"/>
      <c r="DP358" s="33"/>
      <c r="DQ358" s="33"/>
      <c r="DR358" s="33"/>
      <c r="DS358" s="33"/>
      <c r="DT358" s="33"/>
      <c r="DU358" s="33"/>
      <c r="DV358" s="33"/>
      <c r="DW358" s="33"/>
      <c r="DX358" s="33"/>
      <c r="DY358" s="33"/>
      <c r="DZ358" s="33"/>
      <c r="EA358" s="33"/>
      <c r="EB358" s="33"/>
      <c r="EC358" s="33"/>
      <c r="ED358" s="33"/>
      <c r="EE358" s="33"/>
      <c r="EF358" s="33"/>
      <c r="EG358" s="33"/>
      <c r="EH358" s="33"/>
      <c r="EI358" s="33"/>
      <c r="EJ358" s="33"/>
      <c r="EK358" s="33"/>
      <c r="EL358" s="33"/>
      <c r="EM358" s="33"/>
      <c r="EN358" s="33"/>
      <c r="EO358" s="33">
        <v>9.3000000000000007</v>
      </c>
      <c r="EP358" s="33">
        <v>5.4</v>
      </c>
      <c r="EQ358" s="33">
        <v>26.4</v>
      </c>
      <c r="ER358" s="33"/>
      <c r="ES358" s="33"/>
      <c r="ET358" s="33"/>
      <c r="EU358" s="33"/>
      <c r="EV358" s="33"/>
      <c r="EW358" s="33"/>
      <c r="EX358" s="33"/>
      <c r="EY358" s="33"/>
      <c r="EZ358" s="33"/>
      <c r="FA358" s="33"/>
      <c r="FB358" s="33"/>
      <c r="FC358" s="33"/>
      <c r="FD358" s="33"/>
      <c r="FE358" s="33"/>
      <c r="FF358" s="33"/>
      <c r="FG358" s="33"/>
      <c r="FH358" s="33"/>
      <c r="FI358" s="33"/>
      <c r="FJ358" s="33"/>
      <c r="FK358" s="33"/>
      <c r="FL358" s="33"/>
      <c r="FM358" s="33"/>
      <c r="FN358" s="33"/>
      <c r="FO358" s="33"/>
      <c r="FP358" s="33"/>
      <c r="FQ358" s="33"/>
      <c r="FR358" s="33"/>
      <c r="FS358" s="33"/>
      <c r="FT358" s="33"/>
      <c r="FU358" s="33"/>
      <c r="FV358" s="33"/>
      <c r="FW358" s="33"/>
      <c r="FX358" s="33"/>
      <c r="FY358" s="33"/>
      <c r="FZ358" s="33"/>
      <c r="GA358" s="33"/>
      <c r="GB358" s="33"/>
      <c r="GC358" s="33"/>
      <c r="GD358" s="33"/>
      <c r="GE358" s="33"/>
      <c r="GF358" s="33"/>
      <c r="GG358" s="33"/>
      <c r="GH358" s="33"/>
      <c r="GI358" s="33"/>
      <c r="GJ358" s="33"/>
      <c r="GK358" s="33"/>
      <c r="GL358" s="33"/>
      <c r="GM358" s="33"/>
      <c r="GN358" s="33"/>
      <c r="GO358" s="33"/>
      <c r="GP358" s="33"/>
      <c r="GQ358" s="33"/>
      <c r="GR358" s="33"/>
      <c r="GS358" s="33"/>
      <c r="GT358" s="33"/>
      <c r="GU358" s="33"/>
      <c r="GV358" s="33"/>
      <c r="GW358" s="33"/>
      <c r="GX358" s="33"/>
      <c r="GY358" s="33"/>
      <c r="GZ358" s="33"/>
      <c r="HA358" s="33"/>
      <c r="HB358" s="33"/>
      <c r="HC358" s="33"/>
      <c r="HD358" s="33"/>
      <c r="HE358" s="33"/>
      <c r="HF358" s="33"/>
      <c r="HG358" s="33"/>
      <c r="HH358" s="33"/>
      <c r="HI358" s="33"/>
      <c r="HJ358" s="33"/>
      <c r="HK358" s="33"/>
      <c r="HL358" s="33"/>
      <c r="HM358" s="33"/>
      <c r="HN358" s="33"/>
      <c r="HO358" s="33"/>
      <c r="HP358" s="33"/>
      <c r="HQ358" s="33"/>
      <c r="HR358" s="33"/>
      <c r="HS358" s="33"/>
      <c r="HT358" s="33"/>
      <c r="HU358" s="33"/>
      <c r="HV358" s="33"/>
      <c r="HW358" s="33"/>
      <c r="HX358" s="33"/>
      <c r="HY358" s="33"/>
      <c r="HZ358" s="33"/>
      <c r="IA358" s="33"/>
      <c r="IB358" s="33"/>
      <c r="IC358" s="33"/>
      <c r="ID358" s="33"/>
      <c r="IE358" s="33"/>
      <c r="IF358" s="33"/>
      <c r="IG358" s="33"/>
      <c r="IH358" s="33"/>
      <c r="II358" s="33"/>
      <c r="IJ358" s="33"/>
      <c r="IK358" s="33"/>
      <c r="IL358" s="33"/>
      <c r="IM358" s="33"/>
      <c r="IN358" s="33"/>
      <c r="IO358" s="33"/>
      <c r="IP358" s="33"/>
      <c r="IQ358" s="33"/>
      <c r="IR358" s="33"/>
      <c r="IS358" s="33"/>
      <c r="IT358" s="33"/>
      <c r="IU358" s="33"/>
      <c r="IV358" s="33"/>
      <c r="IW358" s="33"/>
      <c r="IX358" s="33"/>
      <c r="IY358" s="33"/>
      <c r="IZ358" s="33"/>
      <c r="JA358" s="33"/>
      <c r="JB358" s="33"/>
      <c r="JC358" s="33"/>
      <c r="JD358" s="33"/>
      <c r="JE358" s="33"/>
      <c r="JF358" s="33"/>
      <c r="JG358" s="33"/>
      <c r="JH358" s="33"/>
      <c r="JI358" s="33"/>
      <c r="JJ358" s="33"/>
      <c r="JK358" s="33"/>
      <c r="JL358" s="33"/>
      <c r="JM358" s="33"/>
      <c r="JN358" s="33"/>
      <c r="JO358" s="33"/>
      <c r="JP358" s="33"/>
      <c r="JQ358" s="33"/>
      <c r="JR358" s="33"/>
      <c r="KZ358" s="33"/>
      <c r="LA358" s="33"/>
      <c r="LB358" s="33"/>
      <c r="LC358" s="33"/>
      <c r="LD358" s="33"/>
      <c r="LE358" s="33"/>
      <c r="LF358" s="33"/>
      <c r="LG358" s="33"/>
      <c r="LH358" s="33"/>
      <c r="LI358" s="33"/>
      <c r="LJ358" s="33"/>
      <c r="LK358" s="33"/>
      <c r="LL358" s="33"/>
      <c r="LM358" s="33"/>
      <c r="LN358" s="33"/>
      <c r="LO358" s="33"/>
      <c r="LP358" s="44"/>
      <c r="LQ358" s="44"/>
      <c r="LR358" s="44"/>
      <c r="LS358" s="44"/>
      <c r="LT358" s="44"/>
      <c r="LU358" s="44"/>
      <c r="LV358" s="44"/>
    </row>
    <row r="359" spans="1:334" x14ac:dyDescent="0.2">
      <c r="A359" s="1" t="s">
        <v>8917</v>
      </c>
      <c r="B359" s="1" t="s">
        <v>8899</v>
      </c>
      <c r="D359" s="1" t="s">
        <v>8638</v>
      </c>
      <c r="E359" s="1" t="s">
        <v>7966</v>
      </c>
      <c r="F359" s="1" t="s">
        <v>688</v>
      </c>
      <c r="K359" s="1">
        <v>2014</v>
      </c>
      <c r="L359" s="1" t="s">
        <v>8901</v>
      </c>
      <c r="M359" s="1" t="s">
        <v>7657</v>
      </c>
      <c r="N359" s="17" t="s">
        <v>7945</v>
      </c>
      <c r="O359" s="33"/>
      <c r="P359" s="33"/>
      <c r="Q359" s="33"/>
      <c r="R359" s="33"/>
      <c r="S359" s="33">
        <v>11</v>
      </c>
      <c r="T359" s="33">
        <v>89</v>
      </c>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33"/>
      <c r="BE359" s="33"/>
      <c r="BF359" s="33"/>
      <c r="BG359" s="33"/>
      <c r="BH359" s="33"/>
      <c r="BI359" s="33"/>
      <c r="BJ359" s="33"/>
      <c r="BK359" s="33"/>
      <c r="BL359" s="33"/>
      <c r="BM359" s="33"/>
      <c r="BN359" s="33"/>
      <c r="BO359" s="33"/>
      <c r="BP359" s="33"/>
      <c r="BQ359" s="33"/>
      <c r="BR359" s="33"/>
      <c r="BS359" s="33"/>
      <c r="BT359" s="33"/>
      <c r="BU359" s="33"/>
      <c r="BV359" s="33"/>
      <c r="BW359" s="33"/>
      <c r="BX359" s="33"/>
      <c r="BY359" s="33"/>
      <c r="BZ359" s="33"/>
      <c r="CA359" s="33"/>
      <c r="CB359" s="33"/>
      <c r="CC359" s="33"/>
      <c r="CD359" s="33"/>
      <c r="CE359" s="33"/>
      <c r="CF359" s="33"/>
      <c r="CG359" s="33"/>
      <c r="CH359" s="33"/>
      <c r="CI359" s="33"/>
      <c r="CJ359" s="33"/>
      <c r="CK359" s="33"/>
      <c r="CL359" s="33"/>
      <c r="CM359" s="33"/>
      <c r="CN359" s="33"/>
      <c r="CO359" s="33"/>
      <c r="CP359" s="33"/>
      <c r="CQ359" s="33"/>
      <c r="CR359" s="33"/>
      <c r="CS359" s="33"/>
      <c r="CT359" s="33"/>
      <c r="CU359" s="33"/>
      <c r="CV359" s="33"/>
      <c r="CW359" s="33"/>
      <c r="CX359" s="33"/>
      <c r="CY359" s="33"/>
      <c r="CZ359" s="33"/>
      <c r="DA359" s="33"/>
      <c r="DB359" s="33"/>
      <c r="DC359" s="33"/>
      <c r="DD359" s="33"/>
      <c r="DE359" s="33"/>
      <c r="DF359" s="33"/>
      <c r="DG359" s="33"/>
      <c r="DH359" s="33"/>
      <c r="DI359" s="33"/>
      <c r="DJ359" s="33"/>
      <c r="DK359" s="33"/>
      <c r="DL359" s="33"/>
      <c r="DM359" s="33"/>
      <c r="DN359" s="33"/>
      <c r="DO359" s="33"/>
      <c r="DP359" s="33"/>
      <c r="DQ359" s="33"/>
      <c r="DR359" s="33"/>
      <c r="DS359" s="33"/>
      <c r="DT359" s="33"/>
      <c r="DU359" s="33"/>
      <c r="DV359" s="33"/>
      <c r="DW359" s="33"/>
      <c r="DX359" s="33"/>
      <c r="DY359" s="33"/>
      <c r="DZ359" s="33"/>
      <c r="EA359" s="33"/>
      <c r="EB359" s="33"/>
      <c r="EC359" s="33"/>
      <c r="ED359" s="33"/>
      <c r="EE359" s="33"/>
      <c r="EF359" s="33"/>
      <c r="EG359" s="33"/>
      <c r="EH359" s="33"/>
      <c r="EI359" s="33"/>
      <c r="EJ359" s="33"/>
      <c r="EK359" s="33"/>
      <c r="EL359" s="33"/>
      <c r="EM359" s="33"/>
      <c r="EN359" s="33"/>
      <c r="EO359" s="33">
        <v>12.46</v>
      </c>
      <c r="EP359" s="33">
        <v>23.14</v>
      </c>
      <c r="EQ359" s="33">
        <v>173.55</v>
      </c>
      <c r="ER359" s="33"/>
      <c r="ES359" s="33"/>
      <c r="ET359" s="33"/>
      <c r="EU359" s="33"/>
      <c r="EV359" s="33"/>
      <c r="EW359" s="33"/>
      <c r="EX359" s="33"/>
      <c r="EY359" s="33"/>
      <c r="EZ359" s="33"/>
      <c r="FA359" s="33"/>
      <c r="FB359" s="33"/>
      <c r="FC359" s="33"/>
      <c r="FD359" s="33"/>
      <c r="FE359" s="33"/>
      <c r="FF359" s="33"/>
      <c r="FG359" s="33"/>
      <c r="FH359" s="33"/>
      <c r="FI359" s="33"/>
      <c r="FJ359" s="33"/>
      <c r="FK359" s="33"/>
      <c r="FL359" s="33"/>
      <c r="FM359" s="33"/>
      <c r="FN359" s="33"/>
      <c r="FO359" s="33"/>
      <c r="FP359" s="33"/>
      <c r="FQ359" s="33"/>
      <c r="FR359" s="33"/>
      <c r="FS359" s="33"/>
      <c r="FT359" s="33"/>
      <c r="FU359" s="33"/>
      <c r="FV359" s="33"/>
      <c r="FW359" s="33"/>
      <c r="FX359" s="33"/>
      <c r="FY359" s="33"/>
      <c r="FZ359" s="33"/>
      <c r="GA359" s="33"/>
      <c r="GB359" s="33"/>
      <c r="GC359" s="33"/>
      <c r="GD359" s="33"/>
      <c r="GE359" s="33"/>
      <c r="GF359" s="33"/>
      <c r="GG359" s="33"/>
      <c r="GH359" s="33"/>
      <c r="GI359" s="33"/>
      <c r="GJ359" s="33"/>
      <c r="GK359" s="33"/>
      <c r="GL359" s="33"/>
      <c r="GM359" s="33"/>
      <c r="GN359" s="33"/>
      <c r="GO359" s="33"/>
      <c r="GP359" s="33"/>
      <c r="GQ359" s="33"/>
      <c r="GR359" s="33"/>
      <c r="GS359" s="33"/>
      <c r="GT359" s="33"/>
      <c r="GU359" s="33"/>
      <c r="GV359" s="33"/>
      <c r="GW359" s="33"/>
      <c r="GX359" s="33"/>
      <c r="GY359" s="33"/>
      <c r="GZ359" s="33"/>
      <c r="HA359" s="33"/>
      <c r="HB359" s="33"/>
      <c r="HC359" s="33"/>
      <c r="HD359" s="33"/>
      <c r="HE359" s="33"/>
      <c r="HF359" s="33"/>
      <c r="HG359" s="33"/>
      <c r="HH359" s="33"/>
      <c r="HI359" s="33"/>
      <c r="HJ359" s="33"/>
      <c r="HK359" s="33"/>
      <c r="HL359" s="33"/>
      <c r="HM359" s="33"/>
      <c r="HN359" s="33"/>
      <c r="HO359" s="33"/>
      <c r="HP359" s="33"/>
      <c r="HQ359" s="33"/>
      <c r="HR359" s="33"/>
      <c r="HS359" s="33"/>
      <c r="HT359" s="33"/>
      <c r="HU359" s="33"/>
      <c r="HV359" s="33"/>
      <c r="HW359" s="33"/>
      <c r="HX359" s="33"/>
      <c r="HY359" s="33"/>
      <c r="HZ359" s="33"/>
      <c r="IA359" s="33"/>
      <c r="IB359" s="33"/>
      <c r="IC359" s="33"/>
      <c r="ID359" s="33"/>
      <c r="IE359" s="33"/>
      <c r="IF359" s="33"/>
      <c r="IG359" s="33"/>
      <c r="IH359" s="33"/>
      <c r="II359" s="33"/>
      <c r="IJ359" s="33"/>
      <c r="IK359" s="33"/>
      <c r="IL359" s="33"/>
      <c r="IM359" s="33"/>
      <c r="IN359" s="33"/>
      <c r="IO359" s="33"/>
      <c r="IP359" s="33"/>
      <c r="IQ359" s="33"/>
      <c r="IR359" s="33"/>
      <c r="IS359" s="33"/>
      <c r="IT359" s="33"/>
      <c r="IU359" s="33"/>
      <c r="IV359" s="33"/>
      <c r="IW359" s="33"/>
      <c r="IX359" s="33"/>
      <c r="IY359" s="33"/>
      <c r="IZ359" s="33"/>
      <c r="JA359" s="33"/>
      <c r="JB359" s="33"/>
      <c r="JC359" s="33"/>
      <c r="JD359" s="33"/>
      <c r="JE359" s="33"/>
      <c r="JF359" s="33"/>
      <c r="JG359" s="33"/>
      <c r="JH359" s="33"/>
      <c r="JI359" s="33"/>
      <c r="JJ359" s="33"/>
      <c r="JK359" s="33"/>
      <c r="JL359" s="33"/>
      <c r="JM359" s="33"/>
      <c r="JN359" s="33"/>
      <c r="JO359" s="33"/>
      <c r="JP359" s="33"/>
      <c r="JQ359" s="33"/>
      <c r="JR359" s="33"/>
      <c r="KZ359" s="33"/>
      <c r="LA359" s="33"/>
      <c r="LB359" s="33"/>
      <c r="LC359" s="33"/>
      <c r="LD359" s="33"/>
      <c r="LE359" s="33"/>
      <c r="LF359" s="33"/>
      <c r="LG359" s="33"/>
      <c r="LH359" s="33"/>
      <c r="LI359" s="33"/>
      <c r="LJ359" s="33"/>
      <c r="LK359" s="33"/>
      <c r="LL359" s="33"/>
      <c r="LM359" s="33"/>
      <c r="LN359" s="33"/>
      <c r="LO359" s="33"/>
      <c r="LP359" s="44"/>
      <c r="LQ359" s="44"/>
      <c r="LR359" s="44"/>
      <c r="LS359" s="44"/>
      <c r="LT359" s="44"/>
      <c r="LU359" s="44"/>
      <c r="LV359" s="44"/>
    </row>
    <row r="360" spans="1:334" x14ac:dyDescent="0.2">
      <c r="A360" s="1" t="s">
        <v>8918</v>
      </c>
      <c r="B360" s="1" t="s">
        <v>8899</v>
      </c>
      <c r="D360" s="1" t="s">
        <v>8919</v>
      </c>
      <c r="E360" s="1" t="s">
        <v>8099</v>
      </c>
      <c r="F360" s="1" t="s">
        <v>688</v>
      </c>
      <c r="H360" s="1" t="s">
        <v>8904</v>
      </c>
      <c r="K360" s="1">
        <v>2014</v>
      </c>
      <c r="L360" s="1" t="s">
        <v>8901</v>
      </c>
      <c r="M360" s="1" t="s">
        <v>7657</v>
      </c>
      <c r="N360" s="17" t="s">
        <v>7945</v>
      </c>
      <c r="O360" s="33"/>
      <c r="P360" s="33"/>
      <c r="Q360" s="33"/>
      <c r="R360" s="33"/>
      <c r="S360" s="33">
        <v>56</v>
      </c>
      <c r="T360" s="33">
        <v>44</v>
      </c>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33"/>
      <c r="BC360" s="33"/>
      <c r="BD360" s="33"/>
      <c r="BE360" s="33"/>
      <c r="BF360" s="33"/>
      <c r="BG360" s="33"/>
      <c r="BH360" s="33"/>
      <c r="BI360" s="33"/>
      <c r="BJ360" s="33"/>
      <c r="BK360" s="33"/>
      <c r="BL360" s="33"/>
      <c r="BM360" s="33"/>
      <c r="BN360" s="33"/>
      <c r="BO360" s="33"/>
      <c r="BP360" s="33"/>
      <c r="BQ360" s="33"/>
      <c r="BR360" s="33"/>
      <c r="BS360" s="33"/>
      <c r="BT360" s="33"/>
      <c r="BU360" s="33"/>
      <c r="BV360" s="33"/>
      <c r="BW360" s="33"/>
      <c r="BX360" s="33"/>
      <c r="BY360" s="33"/>
      <c r="BZ360" s="33"/>
      <c r="CA360" s="33"/>
      <c r="CB360" s="33"/>
      <c r="CC360" s="33"/>
      <c r="CD360" s="33"/>
      <c r="CE360" s="33"/>
      <c r="CF360" s="33"/>
      <c r="CG360" s="33"/>
      <c r="CH360" s="33"/>
      <c r="CI360" s="33"/>
      <c r="CJ360" s="33"/>
      <c r="CK360" s="33"/>
      <c r="CL360" s="33"/>
      <c r="CM360" s="33"/>
      <c r="CN360" s="33"/>
      <c r="CO360" s="33"/>
      <c r="CP360" s="33"/>
      <c r="CQ360" s="33"/>
      <c r="CR360" s="33"/>
      <c r="CS360" s="33"/>
      <c r="CT360" s="33"/>
      <c r="CU360" s="33"/>
      <c r="CV360" s="33"/>
      <c r="CW360" s="33"/>
      <c r="CX360" s="33"/>
      <c r="CY360" s="33"/>
      <c r="CZ360" s="33"/>
      <c r="DA360" s="33"/>
      <c r="DB360" s="33"/>
      <c r="DC360" s="33"/>
      <c r="DD360" s="33"/>
      <c r="DE360" s="33"/>
      <c r="DF360" s="33"/>
      <c r="DG360" s="33"/>
      <c r="DH360" s="33"/>
      <c r="DI360" s="33"/>
      <c r="DJ360" s="33"/>
      <c r="DK360" s="33"/>
      <c r="DL360" s="33"/>
      <c r="DM360" s="33"/>
      <c r="DN360" s="33"/>
      <c r="DO360" s="33"/>
      <c r="DP360" s="33"/>
      <c r="DQ360" s="33"/>
      <c r="DR360" s="33"/>
      <c r="DS360" s="33"/>
      <c r="DT360" s="33"/>
      <c r="DU360" s="33"/>
      <c r="DV360" s="33"/>
      <c r="DW360" s="33"/>
      <c r="DX360" s="33"/>
      <c r="DY360" s="33"/>
      <c r="DZ360" s="33"/>
      <c r="EA360" s="33"/>
      <c r="EB360" s="33"/>
      <c r="EC360" s="33"/>
      <c r="ED360" s="33"/>
      <c r="EE360" s="33"/>
      <c r="EF360" s="33"/>
      <c r="EG360" s="33"/>
      <c r="EH360" s="33"/>
      <c r="EI360" s="33"/>
      <c r="EJ360" s="33"/>
      <c r="EK360" s="33"/>
      <c r="EL360" s="33"/>
      <c r="EM360" s="33"/>
      <c r="EN360" s="33"/>
      <c r="EO360" s="33" t="s">
        <v>15</v>
      </c>
      <c r="EP360" s="33">
        <v>11</v>
      </c>
      <c r="EQ360" s="33">
        <v>145.19999999999999</v>
      </c>
      <c r="ER360" s="33"/>
      <c r="ES360" s="33"/>
      <c r="ET360" s="33"/>
      <c r="EU360" s="33"/>
      <c r="EV360" s="33"/>
      <c r="EW360" s="33"/>
      <c r="EX360" s="33"/>
      <c r="EY360" s="33"/>
      <c r="EZ360" s="33"/>
      <c r="FA360" s="33"/>
      <c r="FB360" s="33"/>
      <c r="FC360" s="33"/>
      <c r="FD360" s="33"/>
      <c r="FE360" s="33"/>
      <c r="FF360" s="33"/>
      <c r="FG360" s="33"/>
      <c r="FH360" s="33"/>
      <c r="FI360" s="33"/>
      <c r="FJ360" s="33"/>
      <c r="FK360" s="33"/>
      <c r="FL360" s="33"/>
      <c r="FM360" s="33"/>
      <c r="FN360" s="33"/>
      <c r="FO360" s="33"/>
      <c r="FP360" s="33"/>
      <c r="FQ360" s="33"/>
      <c r="FR360" s="33"/>
      <c r="FS360" s="33"/>
      <c r="FT360" s="33"/>
      <c r="FU360" s="33"/>
      <c r="FV360" s="33"/>
      <c r="FW360" s="33"/>
      <c r="FX360" s="33"/>
      <c r="FY360" s="33"/>
      <c r="FZ360" s="33"/>
      <c r="GA360" s="33"/>
      <c r="GB360" s="33"/>
      <c r="GC360" s="33"/>
      <c r="GD360" s="33"/>
      <c r="GE360" s="33"/>
      <c r="GF360" s="33"/>
      <c r="GG360" s="33"/>
      <c r="GH360" s="33"/>
      <c r="GI360" s="33"/>
      <c r="GJ360" s="33"/>
      <c r="GK360" s="33"/>
      <c r="GL360" s="33"/>
      <c r="GM360" s="33"/>
      <c r="GN360" s="33"/>
      <c r="GO360" s="33"/>
      <c r="GP360" s="33"/>
      <c r="GQ360" s="33"/>
      <c r="GR360" s="33"/>
      <c r="GS360" s="33"/>
      <c r="GT360" s="33"/>
      <c r="GU360" s="33"/>
      <c r="GV360" s="33"/>
      <c r="GW360" s="33"/>
      <c r="GX360" s="33"/>
      <c r="GY360" s="33"/>
      <c r="GZ360" s="33"/>
      <c r="HA360" s="33"/>
      <c r="HB360" s="33"/>
      <c r="HC360" s="33"/>
      <c r="HD360" s="33"/>
      <c r="HE360" s="33"/>
      <c r="HF360" s="33"/>
      <c r="HG360" s="33"/>
      <c r="HH360" s="33"/>
      <c r="HI360" s="33"/>
      <c r="HJ360" s="33"/>
      <c r="HK360" s="33"/>
      <c r="HL360" s="33"/>
      <c r="HM360" s="33"/>
      <c r="HN360" s="33"/>
      <c r="HO360" s="33"/>
      <c r="HP360" s="33"/>
      <c r="HQ360" s="33"/>
      <c r="HR360" s="33"/>
      <c r="HS360" s="33"/>
      <c r="HT360" s="33"/>
      <c r="HU360" s="33"/>
      <c r="HV360" s="33"/>
      <c r="HW360" s="33"/>
      <c r="HX360" s="33"/>
      <c r="HY360" s="33"/>
      <c r="HZ360" s="33"/>
      <c r="IA360" s="33"/>
      <c r="IB360" s="33"/>
      <c r="IC360" s="33"/>
      <c r="ID360" s="33"/>
      <c r="IE360" s="33"/>
      <c r="IF360" s="33"/>
      <c r="IG360" s="33"/>
      <c r="IH360" s="33"/>
      <c r="II360" s="33"/>
      <c r="IJ360" s="33"/>
      <c r="IK360" s="33"/>
      <c r="IL360" s="33"/>
      <c r="IM360" s="33"/>
      <c r="IN360" s="33"/>
      <c r="IO360" s="33"/>
      <c r="IP360" s="33"/>
      <c r="IQ360" s="33"/>
      <c r="IR360" s="33"/>
      <c r="IS360" s="33"/>
      <c r="IT360" s="33"/>
      <c r="IU360" s="33"/>
      <c r="IV360" s="33"/>
      <c r="IW360" s="33"/>
      <c r="IX360" s="33"/>
      <c r="IY360" s="33"/>
      <c r="IZ360" s="33"/>
      <c r="JA360" s="33"/>
      <c r="JB360" s="33"/>
      <c r="JC360" s="33"/>
      <c r="JD360" s="33"/>
      <c r="JE360" s="33"/>
      <c r="JF360" s="33"/>
      <c r="JG360" s="33"/>
      <c r="JH360" s="33"/>
      <c r="JI360" s="33"/>
      <c r="JJ360" s="33"/>
      <c r="JK360" s="33"/>
      <c r="JL360" s="33"/>
      <c r="JM360" s="33"/>
      <c r="JN360" s="33"/>
      <c r="JO360" s="33"/>
      <c r="JP360" s="33"/>
      <c r="JQ360" s="33"/>
      <c r="JR360" s="33"/>
      <c r="KZ360" s="33"/>
      <c r="LA360" s="33"/>
      <c r="LB360" s="33"/>
      <c r="LC360" s="33"/>
      <c r="LD360" s="33"/>
      <c r="LE360" s="33"/>
      <c r="LF360" s="33"/>
      <c r="LG360" s="33"/>
      <c r="LH360" s="33"/>
      <c r="LI360" s="33"/>
      <c r="LJ360" s="33"/>
      <c r="LK360" s="33"/>
      <c r="LL360" s="33"/>
      <c r="LM360" s="33"/>
      <c r="LN360" s="33"/>
      <c r="LO360" s="33"/>
      <c r="LP360" s="44"/>
      <c r="LQ360" s="44"/>
      <c r="LR360" s="44"/>
      <c r="LS360" s="44"/>
      <c r="LT360" s="44"/>
      <c r="LU360" s="44"/>
      <c r="LV360" s="44"/>
    </row>
    <row r="361" spans="1:334" x14ac:dyDescent="0.2">
      <c r="A361" s="1" t="s">
        <v>8920</v>
      </c>
      <c r="B361" s="1" t="s">
        <v>8899</v>
      </c>
      <c r="D361" s="1" t="s">
        <v>8921</v>
      </c>
      <c r="E361" s="1" t="s">
        <v>11</v>
      </c>
      <c r="F361" s="1" t="s">
        <v>688</v>
      </c>
      <c r="H361" s="1" t="s">
        <v>8907</v>
      </c>
      <c r="K361" s="1">
        <v>2014</v>
      </c>
      <c r="L361" s="1" t="s">
        <v>8901</v>
      </c>
      <c r="M361" s="1" t="s">
        <v>7657</v>
      </c>
      <c r="N361" s="17" t="s">
        <v>7945</v>
      </c>
      <c r="O361" s="33"/>
      <c r="P361" s="33"/>
      <c r="Q361" s="33"/>
      <c r="R361" s="33"/>
      <c r="S361" s="33">
        <v>60</v>
      </c>
      <c r="T361" s="33">
        <v>40</v>
      </c>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c r="CA361" s="33"/>
      <c r="CB361" s="33"/>
      <c r="CC361" s="33"/>
      <c r="CD361" s="33"/>
      <c r="CE361" s="33"/>
      <c r="CF361" s="33"/>
      <c r="CG361" s="33"/>
      <c r="CH361" s="33"/>
      <c r="CI361" s="33"/>
      <c r="CJ361" s="33"/>
      <c r="CK361" s="33"/>
      <c r="CL361" s="33"/>
      <c r="CM361" s="33"/>
      <c r="CN361" s="33"/>
      <c r="CO361" s="33"/>
      <c r="CP361" s="33"/>
      <c r="CQ361" s="33"/>
      <c r="CR361" s="33"/>
      <c r="CS361" s="33"/>
      <c r="CT361" s="33"/>
      <c r="CU361" s="33"/>
      <c r="CV361" s="33"/>
      <c r="CW361" s="33"/>
      <c r="CX361" s="33"/>
      <c r="CY361" s="33"/>
      <c r="CZ361" s="33"/>
      <c r="DA361" s="33"/>
      <c r="DB361" s="33"/>
      <c r="DC361" s="33"/>
      <c r="DD361" s="33"/>
      <c r="DE361" s="33"/>
      <c r="DF361" s="33"/>
      <c r="DG361" s="33"/>
      <c r="DH361" s="33"/>
      <c r="DI361" s="33"/>
      <c r="DJ361" s="33"/>
      <c r="DK361" s="33"/>
      <c r="DL361" s="33"/>
      <c r="DM361" s="33"/>
      <c r="DN361" s="33"/>
      <c r="DO361" s="33"/>
      <c r="DP361" s="33"/>
      <c r="DQ361" s="33"/>
      <c r="DR361" s="33"/>
      <c r="DS361" s="33"/>
      <c r="DT361" s="33"/>
      <c r="DU361" s="33"/>
      <c r="DV361" s="33"/>
      <c r="DW361" s="33"/>
      <c r="DX361" s="33"/>
      <c r="DY361" s="33"/>
      <c r="DZ361" s="33"/>
      <c r="EA361" s="33"/>
      <c r="EB361" s="33"/>
      <c r="EC361" s="33"/>
      <c r="ED361" s="33"/>
      <c r="EE361" s="33"/>
      <c r="EF361" s="33"/>
      <c r="EG361" s="33"/>
      <c r="EH361" s="33"/>
      <c r="EI361" s="33"/>
      <c r="EJ361" s="33"/>
      <c r="EK361" s="33"/>
      <c r="EL361" s="33"/>
      <c r="EM361" s="33"/>
      <c r="EN361" s="33"/>
      <c r="EO361" s="33">
        <v>1.2</v>
      </c>
      <c r="EP361" s="33">
        <v>5.2</v>
      </c>
      <c r="EQ361" s="33">
        <v>106.4</v>
      </c>
      <c r="ER361" s="33"/>
      <c r="ES361" s="33"/>
      <c r="ET361" s="33"/>
      <c r="EU361" s="33"/>
      <c r="EV361" s="33"/>
      <c r="EW361" s="33"/>
      <c r="EX361" s="33"/>
      <c r="EY361" s="33"/>
      <c r="EZ361" s="33"/>
      <c r="FA361" s="33"/>
      <c r="FB361" s="33"/>
      <c r="FC361" s="33"/>
      <c r="FD361" s="33"/>
      <c r="FE361" s="33"/>
      <c r="FF361" s="33"/>
      <c r="FG361" s="33"/>
      <c r="FH361" s="33"/>
      <c r="FI361" s="33"/>
      <c r="FJ361" s="33"/>
      <c r="FK361" s="33"/>
      <c r="FL361" s="33"/>
      <c r="FM361" s="33"/>
      <c r="FN361" s="33"/>
      <c r="FO361" s="33"/>
      <c r="FP361" s="33"/>
      <c r="FQ361" s="33"/>
      <c r="FR361" s="33"/>
      <c r="FS361" s="33"/>
      <c r="FT361" s="33"/>
      <c r="FU361" s="33"/>
      <c r="FV361" s="33"/>
      <c r="FW361" s="33"/>
      <c r="FX361" s="33"/>
      <c r="FY361" s="33"/>
      <c r="FZ361" s="33"/>
      <c r="GA361" s="33"/>
      <c r="GB361" s="33"/>
      <c r="GC361" s="33"/>
      <c r="GD361" s="33"/>
      <c r="GE361" s="33"/>
      <c r="GF361" s="33"/>
      <c r="GG361" s="33"/>
      <c r="GH361" s="33"/>
      <c r="GI361" s="33"/>
      <c r="GJ361" s="33"/>
      <c r="GK361" s="33"/>
      <c r="GL361" s="33"/>
      <c r="GM361" s="33"/>
      <c r="GN361" s="33"/>
      <c r="GO361" s="33"/>
      <c r="GP361" s="33"/>
      <c r="GQ361" s="33"/>
      <c r="GR361" s="33"/>
      <c r="GS361" s="33"/>
      <c r="GT361" s="33"/>
      <c r="GU361" s="33"/>
      <c r="GV361" s="33"/>
      <c r="GW361" s="33"/>
      <c r="GX361" s="33"/>
      <c r="GY361" s="33"/>
      <c r="GZ361" s="33"/>
      <c r="HA361" s="33"/>
      <c r="HB361" s="33"/>
      <c r="HC361" s="33"/>
      <c r="HD361" s="33"/>
      <c r="HE361" s="33"/>
      <c r="HF361" s="33"/>
      <c r="HG361" s="33"/>
      <c r="HH361" s="33"/>
      <c r="HI361" s="33"/>
      <c r="HJ361" s="33"/>
      <c r="HK361" s="33"/>
      <c r="HL361" s="33"/>
      <c r="HM361" s="33"/>
      <c r="HN361" s="33"/>
      <c r="HO361" s="33"/>
      <c r="HP361" s="33"/>
      <c r="HQ361" s="33"/>
      <c r="HR361" s="33"/>
      <c r="HS361" s="33"/>
      <c r="HT361" s="33"/>
      <c r="HU361" s="33"/>
      <c r="HV361" s="33"/>
      <c r="HW361" s="33"/>
      <c r="HX361" s="33"/>
      <c r="HY361" s="33"/>
      <c r="HZ361" s="33"/>
      <c r="IA361" s="33"/>
      <c r="IB361" s="33"/>
      <c r="IC361" s="33"/>
      <c r="ID361" s="33"/>
      <c r="IE361" s="33"/>
      <c r="IF361" s="33"/>
      <c r="IG361" s="33"/>
      <c r="IH361" s="33"/>
      <c r="II361" s="33"/>
      <c r="IJ361" s="33"/>
      <c r="IK361" s="33"/>
      <c r="IL361" s="33"/>
      <c r="IM361" s="33"/>
      <c r="IN361" s="33"/>
      <c r="IO361" s="33"/>
      <c r="IP361" s="33"/>
      <c r="IQ361" s="33"/>
      <c r="IR361" s="33"/>
      <c r="IS361" s="33"/>
      <c r="IT361" s="33"/>
      <c r="IU361" s="33"/>
      <c r="IV361" s="33"/>
      <c r="IW361" s="33"/>
      <c r="IX361" s="33"/>
      <c r="IY361" s="33"/>
      <c r="IZ361" s="33"/>
      <c r="JA361" s="33"/>
      <c r="JB361" s="33"/>
      <c r="JC361" s="33"/>
      <c r="JD361" s="33"/>
      <c r="JE361" s="33"/>
      <c r="JF361" s="33"/>
      <c r="JG361" s="33"/>
      <c r="JH361" s="33"/>
      <c r="JI361" s="33"/>
      <c r="JJ361" s="33"/>
      <c r="JK361" s="33"/>
      <c r="JL361" s="33"/>
      <c r="JM361" s="33"/>
      <c r="JN361" s="33"/>
      <c r="JO361" s="33"/>
      <c r="JP361" s="33"/>
      <c r="JQ361" s="33"/>
      <c r="JR361" s="33"/>
      <c r="KZ361" s="33"/>
      <c r="LA361" s="33"/>
      <c r="LB361" s="33"/>
      <c r="LC361" s="33"/>
      <c r="LD361" s="33"/>
      <c r="LE361" s="33"/>
      <c r="LF361" s="33"/>
      <c r="LG361" s="33"/>
      <c r="LH361" s="33"/>
      <c r="LI361" s="33"/>
      <c r="LJ361" s="33"/>
      <c r="LK361" s="33"/>
      <c r="LL361" s="33"/>
      <c r="LM361" s="33"/>
      <c r="LN361" s="33"/>
      <c r="LO361" s="33"/>
      <c r="LP361" s="44"/>
      <c r="LQ361" s="44"/>
      <c r="LR361" s="44"/>
      <c r="LS361" s="44"/>
      <c r="LT361" s="44"/>
      <c r="LU361" s="44"/>
      <c r="LV361" s="44"/>
    </row>
    <row r="362" spans="1:334" x14ac:dyDescent="0.2">
      <c r="A362" s="1" t="s">
        <v>8922</v>
      </c>
      <c r="B362" s="1" t="s">
        <v>8899</v>
      </c>
      <c r="D362" s="1" t="s">
        <v>8923</v>
      </c>
      <c r="E362" s="1" t="s">
        <v>11</v>
      </c>
      <c r="F362" s="1" t="s">
        <v>688</v>
      </c>
      <c r="H362" s="1" t="s">
        <v>8910</v>
      </c>
      <c r="K362" s="1">
        <v>2014</v>
      </c>
      <c r="L362" s="1" t="s">
        <v>8901</v>
      </c>
      <c r="M362" s="1" t="s">
        <v>7657</v>
      </c>
      <c r="N362" s="17" t="s">
        <v>7945</v>
      </c>
      <c r="O362" s="33"/>
      <c r="P362" s="33"/>
      <c r="Q362" s="33"/>
      <c r="R362" s="33"/>
      <c r="S362" s="33">
        <v>63</v>
      </c>
      <c r="T362" s="33">
        <v>37</v>
      </c>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c r="CA362" s="33"/>
      <c r="CB362" s="33"/>
      <c r="CC362" s="33"/>
      <c r="CD362" s="33"/>
      <c r="CE362" s="33"/>
      <c r="CF362" s="33"/>
      <c r="CG362" s="33"/>
      <c r="CH362" s="33"/>
      <c r="CI362" s="33"/>
      <c r="CJ362" s="33"/>
      <c r="CK362" s="33"/>
      <c r="CL362" s="33"/>
      <c r="CM362" s="33"/>
      <c r="CN362" s="33"/>
      <c r="CO362" s="33"/>
      <c r="CP362" s="33"/>
      <c r="CQ362" s="33"/>
      <c r="CR362" s="33"/>
      <c r="CS362" s="33"/>
      <c r="CT362" s="33"/>
      <c r="CU362" s="33"/>
      <c r="CV362" s="33"/>
      <c r="CW362" s="33"/>
      <c r="CX362" s="33"/>
      <c r="CY362" s="33"/>
      <c r="CZ362" s="33"/>
      <c r="DA362" s="33"/>
      <c r="DB362" s="33"/>
      <c r="DC362" s="33"/>
      <c r="DD362" s="33"/>
      <c r="DE362" s="33"/>
      <c r="DF362" s="33"/>
      <c r="DG362" s="33"/>
      <c r="DH362" s="33"/>
      <c r="DI362" s="33"/>
      <c r="DJ362" s="33"/>
      <c r="DK362" s="33"/>
      <c r="DL362" s="33"/>
      <c r="DM362" s="33"/>
      <c r="DN362" s="33"/>
      <c r="DO362" s="33"/>
      <c r="DP362" s="33"/>
      <c r="DQ362" s="33"/>
      <c r="DR362" s="33"/>
      <c r="DS362" s="33"/>
      <c r="DT362" s="33"/>
      <c r="DU362" s="33"/>
      <c r="DV362" s="33"/>
      <c r="DW362" s="33"/>
      <c r="DX362" s="33"/>
      <c r="DY362" s="33"/>
      <c r="DZ362" s="33"/>
      <c r="EA362" s="33"/>
      <c r="EB362" s="33"/>
      <c r="EC362" s="33"/>
      <c r="ED362" s="33"/>
      <c r="EE362" s="33"/>
      <c r="EF362" s="33"/>
      <c r="EG362" s="33"/>
      <c r="EH362" s="33"/>
      <c r="EI362" s="33"/>
      <c r="EJ362" s="33"/>
      <c r="EK362" s="33"/>
      <c r="EL362" s="33"/>
      <c r="EM362" s="33"/>
      <c r="EN362" s="33"/>
      <c r="EO362" s="33">
        <v>2.2200000000000002</v>
      </c>
      <c r="EP362" s="33">
        <v>4.8099999999999996</v>
      </c>
      <c r="EQ362" s="33">
        <v>62.53</v>
      </c>
      <c r="ER362" s="33"/>
      <c r="ES362" s="33"/>
      <c r="ET362" s="33"/>
      <c r="EU362" s="33"/>
      <c r="EV362" s="33"/>
      <c r="EW362" s="33"/>
      <c r="EX362" s="33"/>
      <c r="EY362" s="33"/>
      <c r="EZ362" s="33"/>
      <c r="FA362" s="33"/>
      <c r="FB362" s="33"/>
      <c r="FC362" s="33"/>
      <c r="FD362" s="33"/>
      <c r="FE362" s="33"/>
      <c r="FF362" s="33"/>
      <c r="FG362" s="33"/>
      <c r="FH362" s="33"/>
      <c r="FI362" s="33"/>
      <c r="FJ362" s="33"/>
      <c r="FK362" s="33"/>
      <c r="FL362" s="33"/>
      <c r="FM362" s="33"/>
      <c r="FN362" s="33"/>
      <c r="FO362" s="33"/>
      <c r="FP362" s="33"/>
      <c r="FQ362" s="33"/>
      <c r="FR362" s="33"/>
      <c r="FS362" s="33"/>
      <c r="FT362" s="33"/>
      <c r="FU362" s="33"/>
      <c r="FV362" s="33"/>
      <c r="FW362" s="33"/>
      <c r="FX362" s="33"/>
      <c r="FY362" s="33"/>
      <c r="FZ362" s="33"/>
      <c r="GA362" s="33"/>
      <c r="GB362" s="33"/>
      <c r="GC362" s="33"/>
      <c r="GD362" s="33"/>
      <c r="GE362" s="33"/>
      <c r="GF362" s="33"/>
      <c r="GG362" s="33"/>
      <c r="GH362" s="33"/>
      <c r="GI362" s="33"/>
      <c r="GJ362" s="33"/>
      <c r="GK362" s="33"/>
      <c r="GL362" s="33"/>
      <c r="GM362" s="33"/>
      <c r="GN362" s="33"/>
      <c r="GO362" s="33"/>
      <c r="GP362" s="33"/>
      <c r="GQ362" s="33"/>
      <c r="GR362" s="33"/>
      <c r="GS362" s="33"/>
      <c r="GT362" s="33"/>
      <c r="GU362" s="33"/>
      <c r="GV362" s="33"/>
      <c r="GW362" s="33"/>
      <c r="GX362" s="33"/>
      <c r="GY362" s="33"/>
      <c r="GZ362" s="33"/>
      <c r="HA362" s="33"/>
      <c r="HB362" s="33"/>
      <c r="HC362" s="33"/>
      <c r="HD362" s="33"/>
      <c r="HE362" s="33"/>
      <c r="HF362" s="33"/>
      <c r="HG362" s="33"/>
      <c r="HH362" s="33"/>
      <c r="HI362" s="33"/>
      <c r="HJ362" s="33"/>
      <c r="HK362" s="33"/>
      <c r="HL362" s="33"/>
      <c r="HM362" s="33"/>
      <c r="HN362" s="33"/>
      <c r="HO362" s="33"/>
      <c r="HP362" s="33"/>
      <c r="HQ362" s="33"/>
      <c r="HR362" s="33"/>
      <c r="HS362" s="33"/>
      <c r="HT362" s="33"/>
      <c r="HU362" s="33"/>
      <c r="HV362" s="33"/>
      <c r="HW362" s="33"/>
      <c r="HX362" s="33"/>
      <c r="HY362" s="33"/>
      <c r="HZ362" s="33"/>
      <c r="IA362" s="33"/>
      <c r="IB362" s="33"/>
      <c r="IC362" s="33"/>
      <c r="ID362" s="33"/>
      <c r="IE362" s="33"/>
      <c r="IF362" s="33"/>
      <c r="IG362" s="33"/>
      <c r="IH362" s="33"/>
      <c r="II362" s="33"/>
      <c r="IJ362" s="33"/>
      <c r="IK362" s="33"/>
      <c r="IL362" s="33"/>
      <c r="IM362" s="33"/>
      <c r="IN362" s="33"/>
      <c r="IO362" s="33"/>
      <c r="IP362" s="33"/>
      <c r="IQ362" s="33"/>
      <c r="IR362" s="33"/>
      <c r="IS362" s="33"/>
      <c r="IT362" s="33"/>
      <c r="IU362" s="33"/>
      <c r="IV362" s="33"/>
      <c r="IW362" s="33"/>
      <c r="IX362" s="33"/>
      <c r="IY362" s="33"/>
      <c r="IZ362" s="33"/>
      <c r="JA362" s="33"/>
      <c r="JB362" s="33"/>
      <c r="JC362" s="33"/>
      <c r="JD362" s="33"/>
      <c r="JE362" s="33"/>
      <c r="JF362" s="33"/>
      <c r="JG362" s="33"/>
      <c r="JH362" s="33"/>
      <c r="JI362" s="33"/>
      <c r="JJ362" s="33"/>
      <c r="JK362" s="33"/>
      <c r="JL362" s="33"/>
      <c r="JM362" s="33"/>
      <c r="JN362" s="33"/>
      <c r="JO362" s="33"/>
      <c r="JP362" s="33"/>
      <c r="JQ362" s="33"/>
      <c r="JR362" s="33"/>
      <c r="KZ362" s="33"/>
      <c r="LA362" s="33"/>
      <c r="LB362" s="33"/>
      <c r="LC362" s="33"/>
      <c r="LD362" s="33"/>
      <c r="LE362" s="33"/>
      <c r="LF362" s="33"/>
      <c r="LG362" s="33"/>
      <c r="LH362" s="33"/>
      <c r="LI362" s="33"/>
      <c r="LJ362" s="33"/>
      <c r="LK362" s="33"/>
      <c r="LL362" s="33"/>
      <c r="LM362" s="33"/>
      <c r="LN362" s="33"/>
      <c r="LO362" s="33"/>
      <c r="LP362" s="44"/>
      <c r="LQ362" s="44"/>
      <c r="LR362" s="44"/>
      <c r="LS362" s="44"/>
      <c r="LT362" s="44"/>
      <c r="LU362" s="44"/>
      <c r="LV362" s="44"/>
    </row>
    <row r="363" spans="1:334" x14ac:dyDescent="0.2">
      <c r="A363" s="1" t="s">
        <v>8924</v>
      </c>
      <c r="B363" s="1" t="s">
        <v>8899</v>
      </c>
      <c r="D363" s="1" t="s">
        <v>8923</v>
      </c>
      <c r="E363" s="1" t="s">
        <v>11</v>
      </c>
      <c r="F363" s="1" t="s">
        <v>688</v>
      </c>
      <c r="H363" s="1" t="s">
        <v>8912</v>
      </c>
      <c r="K363" s="1">
        <v>2014</v>
      </c>
      <c r="L363" s="1" t="s">
        <v>8901</v>
      </c>
      <c r="M363" s="1" t="s">
        <v>7657</v>
      </c>
      <c r="N363" s="17" t="s">
        <v>7945</v>
      </c>
      <c r="O363" s="33"/>
      <c r="P363" s="33"/>
      <c r="Q363" s="33"/>
      <c r="R363" s="33"/>
      <c r="S363" s="33">
        <v>63</v>
      </c>
      <c r="T363" s="33">
        <v>37</v>
      </c>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c r="CA363" s="33"/>
      <c r="CB363" s="33"/>
      <c r="CC363" s="33"/>
      <c r="CD363" s="33"/>
      <c r="CE363" s="33"/>
      <c r="CF363" s="33"/>
      <c r="CG363" s="33"/>
      <c r="CH363" s="33"/>
      <c r="CI363" s="33"/>
      <c r="CJ363" s="33"/>
      <c r="CK363" s="33"/>
      <c r="CL363" s="33"/>
      <c r="CM363" s="33"/>
      <c r="CN363" s="33"/>
      <c r="CO363" s="33"/>
      <c r="CP363" s="33"/>
      <c r="CQ363" s="33"/>
      <c r="CR363" s="33"/>
      <c r="CS363" s="33"/>
      <c r="CT363" s="33"/>
      <c r="CU363" s="33"/>
      <c r="CV363" s="33"/>
      <c r="CW363" s="33"/>
      <c r="CX363" s="33"/>
      <c r="CY363" s="33"/>
      <c r="CZ363" s="33"/>
      <c r="DA363" s="33"/>
      <c r="DB363" s="33"/>
      <c r="DC363" s="33"/>
      <c r="DD363" s="33"/>
      <c r="DE363" s="33"/>
      <c r="DF363" s="33"/>
      <c r="DG363" s="33"/>
      <c r="DH363" s="33"/>
      <c r="DI363" s="33"/>
      <c r="DJ363" s="33"/>
      <c r="DK363" s="33"/>
      <c r="DL363" s="33"/>
      <c r="DM363" s="33"/>
      <c r="DN363" s="33"/>
      <c r="DO363" s="33"/>
      <c r="DP363" s="33"/>
      <c r="DQ363" s="33"/>
      <c r="DR363" s="33"/>
      <c r="DS363" s="33"/>
      <c r="DT363" s="33"/>
      <c r="DU363" s="33"/>
      <c r="DV363" s="33"/>
      <c r="DW363" s="33"/>
      <c r="DX363" s="33"/>
      <c r="DY363" s="33"/>
      <c r="DZ363" s="33"/>
      <c r="EA363" s="33"/>
      <c r="EB363" s="33"/>
      <c r="EC363" s="33"/>
      <c r="ED363" s="33"/>
      <c r="EE363" s="33"/>
      <c r="EF363" s="33"/>
      <c r="EG363" s="33"/>
      <c r="EH363" s="33"/>
      <c r="EI363" s="33"/>
      <c r="EJ363" s="33"/>
      <c r="EK363" s="33"/>
      <c r="EL363" s="33"/>
      <c r="EM363" s="33"/>
      <c r="EN363" s="33"/>
      <c r="EO363" s="33">
        <v>1.48</v>
      </c>
      <c r="EP363" s="33">
        <v>4.4400000000000004</v>
      </c>
      <c r="EQ363" s="33">
        <v>69.19</v>
      </c>
      <c r="ER363" s="33"/>
      <c r="ES363" s="33"/>
      <c r="ET363" s="33"/>
      <c r="EU363" s="33"/>
      <c r="EV363" s="33"/>
      <c r="EW363" s="33"/>
      <c r="EX363" s="33"/>
      <c r="EY363" s="33"/>
      <c r="EZ363" s="33"/>
      <c r="FA363" s="33"/>
      <c r="FB363" s="33"/>
      <c r="FC363" s="33"/>
      <c r="FD363" s="33"/>
      <c r="FE363" s="33"/>
      <c r="FF363" s="33"/>
      <c r="FG363" s="33"/>
      <c r="FH363" s="33"/>
      <c r="FI363" s="33"/>
      <c r="FJ363" s="33"/>
      <c r="FK363" s="33"/>
      <c r="FL363" s="33"/>
      <c r="FM363" s="33"/>
      <c r="FN363" s="33"/>
      <c r="FO363" s="33"/>
      <c r="FP363" s="33"/>
      <c r="FQ363" s="33"/>
      <c r="FR363" s="33"/>
      <c r="FS363" s="33"/>
      <c r="FT363" s="33"/>
      <c r="FU363" s="33"/>
      <c r="FV363" s="33"/>
      <c r="FW363" s="33"/>
      <c r="FX363" s="33"/>
      <c r="FY363" s="33"/>
      <c r="FZ363" s="33"/>
      <c r="GA363" s="33"/>
      <c r="GB363" s="33"/>
      <c r="GC363" s="33"/>
      <c r="GD363" s="33"/>
      <c r="GE363" s="33"/>
      <c r="GF363" s="33"/>
      <c r="GG363" s="33"/>
      <c r="GH363" s="33"/>
      <c r="GI363" s="33"/>
      <c r="GJ363" s="33"/>
      <c r="GK363" s="33"/>
      <c r="GL363" s="33"/>
      <c r="GM363" s="33"/>
      <c r="GN363" s="33"/>
      <c r="GO363" s="33"/>
      <c r="GP363" s="33"/>
      <c r="GQ363" s="33"/>
      <c r="GR363" s="33"/>
      <c r="GS363" s="33"/>
      <c r="GT363" s="33"/>
      <c r="GU363" s="33"/>
      <c r="GV363" s="33"/>
      <c r="GW363" s="33"/>
      <c r="GX363" s="33"/>
      <c r="GY363" s="33"/>
      <c r="GZ363" s="33"/>
      <c r="HA363" s="33"/>
      <c r="HB363" s="33"/>
      <c r="HC363" s="33"/>
      <c r="HD363" s="33"/>
      <c r="HE363" s="33"/>
      <c r="HF363" s="33"/>
      <c r="HG363" s="33"/>
      <c r="HH363" s="33"/>
      <c r="HI363" s="33"/>
      <c r="HJ363" s="33"/>
      <c r="HK363" s="33"/>
      <c r="HL363" s="33"/>
      <c r="HM363" s="33"/>
      <c r="HN363" s="33"/>
      <c r="HO363" s="33"/>
      <c r="HP363" s="33"/>
      <c r="HQ363" s="33"/>
      <c r="HR363" s="33"/>
      <c r="HS363" s="33"/>
      <c r="HT363" s="33"/>
      <c r="HU363" s="33"/>
      <c r="HV363" s="33"/>
      <c r="HW363" s="33"/>
      <c r="HX363" s="33"/>
      <c r="HY363" s="33"/>
      <c r="HZ363" s="33"/>
      <c r="IA363" s="33"/>
      <c r="IB363" s="33"/>
      <c r="IC363" s="33"/>
      <c r="ID363" s="33"/>
      <c r="IE363" s="33"/>
      <c r="IF363" s="33"/>
      <c r="IG363" s="33"/>
      <c r="IH363" s="33"/>
      <c r="II363" s="33"/>
      <c r="IJ363" s="33"/>
      <c r="IK363" s="33"/>
      <c r="IL363" s="33"/>
      <c r="IM363" s="33"/>
      <c r="IN363" s="33"/>
      <c r="IO363" s="33"/>
      <c r="IP363" s="33"/>
      <c r="IQ363" s="33"/>
      <c r="IR363" s="33"/>
      <c r="IS363" s="33"/>
      <c r="IT363" s="33"/>
      <c r="IU363" s="33"/>
      <c r="IV363" s="33"/>
      <c r="IW363" s="33"/>
      <c r="IX363" s="33"/>
      <c r="IY363" s="33"/>
      <c r="IZ363" s="33"/>
      <c r="JA363" s="33"/>
      <c r="JB363" s="33"/>
      <c r="JC363" s="33"/>
      <c r="JD363" s="33"/>
      <c r="JE363" s="33"/>
      <c r="JF363" s="33"/>
      <c r="JG363" s="33"/>
      <c r="JH363" s="33"/>
      <c r="JI363" s="33"/>
      <c r="JJ363" s="33"/>
      <c r="JK363" s="33"/>
      <c r="JL363" s="33"/>
      <c r="JM363" s="33"/>
      <c r="JN363" s="33"/>
      <c r="JO363" s="33"/>
      <c r="JP363" s="33"/>
      <c r="JQ363" s="33"/>
      <c r="JR363" s="33"/>
      <c r="KZ363" s="33"/>
      <c r="LA363" s="33"/>
      <c r="LB363" s="33"/>
      <c r="LC363" s="33"/>
      <c r="LD363" s="33"/>
      <c r="LE363" s="33"/>
      <c r="LF363" s="33"/>
      <c r="LG363" s="33"/>
      <c r="LH363" s="33"/>
      <c r="LI363" s="33"/>
      <c r="LJ363" s="33"/>
      <c r="LK363" s="33"/>
      <c r="LL363" s="33"/>
      <c r="LM363" s="33"/>
      <c r="LN363" s="33"/>
      <c r="LO363" s="33"/>
      <c r="LP363" s="44"/>
      <c r="LQ363" s="44"/>
      <c r="LR363" s="44"/>
      <c r="LS363" s="44"/>
      <c r="LT363" s="44"/>
      <c r="LU363" s="44"/>
      <c r="LV363" s="44"/>
    </row>
    <row r="364" spans="1:334" x14ac:dyDescent="0.2">
      <c r="A364" s="1" t="s">
        <v>8925</v>
      </c>
      <c r="B364" s="1" t="s">
        <v>8899</v>
      </c>
      <c r="D364" s="1" t="s">
        <v>8923</v>
      </c>
      <c r="E364" s="1" t="s">
        <v>11</v>
      </c>
      <c r="F364" s="1" t="s">
        <v>688</v>
      </c>
      <c r="H364" s="1" t="s">
        <v>8914</v>
      </c>
      <c r="K364" s="1">
        <v>2014</v>
      </c>
      <c r="L364" s="1" t="s">
        <v>8901</v>
      </c>
      <c r="M364" s="1" t="s">
        <v>7657</v>
      </c>
      <c r="N364" s="17" t="s">
        <v>7945</v>
      </c>
      <c r="O364" s="33"/>
      <c r="P364" s="33"/>
      <c r="Q364" s="33"/>
      <c r="R364" s="33"/>
      <c r="S364" s="33">
        <v>63</v>
      </c>
      <c r="T364" s="33">
        <v>37</v>
      </c>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33"/>
      <c r="BC364" s="33"/>
      <c r="BD364" s="33"/>
      <c r="BE364" s="33"/>
      <c r="BF364" s="33"/>
      <c r="BG364" s="33"/>
      <c r="BH364" s="33"/>
      <c r="BI364" s="33"/>
      <c r="BJ364" s="33"/>
      <c r="BK364" s="33"/>
      <c r="BL364" s="33"/>
      <c r="BM364" s="33"/>
      <c r="BN364" s="33"/>
      <c r="BO364" s="33"/>
      <c r="BP364" s="33"/>
      <c r="BQ364" s="33"/>
      <c r="BR364" s="33"/>
      <c r="BS364" s="33"/>
      <c r="BT364" s="33"/>
      <c r="BU364" s="33"/>
      <c r="BV364" s="33"/>
      <c r="BW364" s="33"/>
      <c r="BX364" s="33"/>
      <c r="BY364" s="33"/>
      <c r="BZ364" s="33"/>
      <c r="CA364" s="33"/>
      <c r="CB364" s="33"/>
      <c r="CC364" s="33"/>
      <c r="CD364" s="33"/>
      <c r="CE364" s="33"/>
      <c r="CF364" s="33"/>
      <c r="CG364" s="33"/>
      <c r="CH364" s="33"/>
      <c r="CI364" s="33"/>
      <c r="CJ364" s="33"/>
      <c r="CK364" s="33"/>
      <c r="CL364" s="33"/>
      <c r="CM364" s="33"/>
      <c r="CN364" s="33"/>
      <c r="CO364" s="33"/>
      <c r="CP364" s="33"/>
      <c r="CQ364" s="33"/>
      <c r="CR364" s="33"/>
      <c r="CS364" s="33"/>
      <c r="CT364" s="33"/>
      <c r="CU364" s="33"/>
      <c r="CV364" s="33"/>
      <c r="CW364" s="33"/>
      <c r="CX364" s="33"/>
      <c r="CY364" s="33"/>
      <c r="CZ364" s="33"/>
      <c r="DA364" s="33"/>
      <c r="DB364" s="33"/>
      <c r="DC364" s="33"/>
      <c r="DD364" s="33"/>
      <c r="DE364" s="33"/>
      <c r="DF364" s="33"/>
      <c r="DG364" s="33"/>
      <c r="DH364" s="33"/>
      <c r="DI364" s="33"/>
      <c r="DJ364" s="33"/>
      <c r="DK364" s="33"/>
      <c r="DL364" s="33"/>
      <c r="DM364" s="33"/>
      <c r="DN364" s="33"/>
      <c r="DO364" s="33"/>
      <c r="DP364" s="33"/>
      <c r="DQ364" s="33"/>
      <c r="DR364" s="33"/>
      <c r="DS364" s="33"/>
      <c r="DT364" s="33"/>
      <c r="DU364" s="33"/>
      <c r="DV364" s="33"/>
      <c r="DW364" s="33"/>
      <c r="DX364" s="33"/>
      <c r="DY364" s="33"/>
      <c r="DZ364" s="33"/>
      <c r="EA364" s="33"/>
      <c r="EB364" s="33"/>
      <c r="EC364" s="33"/>
      <c r="ED364" s="33"/>
      <c r="EE364" s="33"/>
      <c r="EF364" s="33"/>
      <c r="EG364" s="33"/>
      <c r="EH364" s="33"/>
      <c r="EI364" s="33"/>
      <c r="EJ364" s="33"/>
      <c r="EK364" s="33"/>
      <c r="EL364" s="33"/>
      <c r="EM364" s="33"/>
      <c r="EN364" s="33"/>
      <c r="EO364" s="33">
        <v>2.59</v>
      </c>
      <c r="EP364" s="33">
        <v>3.7</v>
      </c>
      <c r="EQ364" s="33">
        <v>54.76</v>
      </c>
      <c r="ER364" s="33"/>
      <c r="ES364" s="33"/>
      <c r="ET364" s="33"/>
      <c r="EU364" s="33"/>
      <c r="EV364" s="33"/>
      <c r="EW364" s="33"/>
      <c r="EX364" s="33"/>
      <c r="EY364" s="33"/>
      <c r="EZ364" s="33"/>
      <c r="FA364" s="33"/>
      <c r="FB364" s="33"/>
      <c r="FC364" s="33"/>
      <c r="FD364" s="33"/>
      <c r="FE364" s="33"/>
      <c r="FF364" s="33"/>
      <c r="FG364" s="33"/>
      <c r="FH364" s="33"/>
      <c r="FI364" s="33"/>
      <c r="FJ364" s="33"/>
      <c r="FK364" s="33"/>
      <c r="FL364" s="33"/>
      <c r="FM364" s="33"/>
      <c r="FN364" s="33"/>
      <c r="FO364" s="33"/>
      <c r="FP364" s="33"/>
      <c r="FQ364" s="33"/>
      <c r="FR364" s="33"/>
      <c r="FS364" s="33"/>
      <c r="FT364" s="33"/>
      <c r="FU364" s="33"/>
      <c r="FV364" s="33"/>
      <c r="FW364" s="33"/>
      <c r="FX364" s="33"/>
      <c r="FY364" s="33"/>
      <c r="FZ364" s="33"/>
      <c r="GA364" s="33"/>
      <c r="GB364" s="33"/>
      <c r="GC364" s="33"/>
      <c r="GD364" s="33"/>
      <c r="GE364" s="33"/>
      <c r="GF364" s="33"/>
      <c r="GG364" s="33"/>
      <c r="GH364" s="33"/>
      <c r="GI364" s="33"/>
      <c r="GJ364" s="33"/>
      <c r="GK364" s="33"/>
      <c r="GL364" s="33"/>
      <c r="GM364" s="33"/>
      <c r="GN364" s="33"/>
      <c r="GO364" s="33"/>
      <c r="GP364" s="33"/>
      <c r="GQ364" s="33"/>
      <c r="GR364" s="33"/>
      <c r="GS364" s="33"/>
      <c r="GT364" s="33"/>
      <c r="GU364" s="33"/>
      <c r="GV364" s="33"/>
      <c r="GW364" s="33"/>
      <c r="GX364" s="33"/>
      <c r="GY364" s="33"/>
      <c r="GZ364" s="33"/>
      <c r="HA364" s="33"/>
      <c r="HB364" s="33"/>
      <c r="HC364" s="33"/>
      <c r="HD364" s="33"/>
      <c r="HE364" s="33"/>
      <c r="HF364" s="33"/>
      <c r="HG364" s="33"/>
      <c r="HH364" s="33"/>
      <c r="HI364" s="33"/>
      <c r="HJ364" s="33"/>
      <c r="HK364" s="33"/>
      <c r="HL364" s="33"/>
      <c r="HM364" s="33"/>
      <c r="HN364" s="33"/>
      <c r="HO364" s="33"/>
      <c r="HP364" s="33"/>
      <c r="HQ364" s="33"/>
      <c r="HR364" s="33"/>
      <c r="HS364" s="33"/>
      <c r="HT364" s="33"/>
      <c r="HU364" s="33"/>
      <c r="HV364" s="33"/>
      <c r="HW364" s="33"/>
      <c r="HX364" s="33"/>
      <c r="HY364" s="33"/>
      <c r="HZ364" s="33"/>
      <c r="IA364" s="33"/>
      <c r="IB364" s="33"/>
      <c r="IC364" s="33"/>
      <c r="ID364" s="33"/>
      <c r="IE364" s="33"/>
      <c r="IF364" s="33"/>
      <c r="IG364" s="33"/>
      <c r="IH364" s="33"/>
      <c r="II364" s="33"/>
      <c r="IJ364" s="33"/>
      <c r="IK364" s="33"/>
      <c r="IL364" s="33"/>
      <c r="IM364" s="33"/>
      <c r="IN364" s="33"/>
      <c r="IO364" s="33"/>
      <c r="IP364" s="33"/>
      <c r="IQ364" s="33"/>
      <c r="IR364" s="33"/>
      <c r="IS364" s="33"/>
      <c r="IT364" s="33"/>
      <c r="IU364" s="33"/>
      <c r="IV364" s="33"/>
      <c r="IW364" s="33"/>
      <c r="IX364" s="33"/>
      <c r="IY364" s="33"/>
      <c r="IZ364" s="33"/>
      <c r="JA364" s="33"/>
      <c r="JB364" s="33"/>
      <c r="JC364" s="33"/>
      <c r="JD364" s="33"/>
      <c r="JE364" s="33"/>
      <c r="JF364" s="33"/>
      <c r="JG364" s="33"/>
      <c r="JH364" s="33"/>
      <c r="JI364" s="33"/>
      <c r="JJ364" s="33"/>
      <c r="JK364" s="33"/>
      <c r="JL364" s="33"/>
      <c r="JM364" s="33"/>
      <c r="JN364" s="33"/>
      <c r="JO364" s="33"/>
      <c r="JP364" s="33"/>
      <c r="JQ364" s="33"/>
      <c r="JR364" s="33"/>
      <c r="KZ364" s="33"/>
      <c r="LA364" s="33"/>
      <c r="LB364" s="33"/>
      <c r="LC364" s="33"/>
      <c r="LD364" s="33"/>
      <c r="LE364" s="33"/>
      <c r="LF364" s="33"/>
      <c r="LG364" s="33"/>
      <c r="LH364" s="33"/>
      <c r="LI364" s="33"/>
      <c r="LJ364" s="33"/>
      <c r="LK364" s="33"/>
      <c r="LL364" s="33"/>
      <c r="LM364" s="33"/>
      <c r="LN364" s="33"/>
      <c r="LO364" s="33"/>
      <c r="LP364" s="44"/>
      <c r="LQ364" s="44"/>
      <c r="LR364" s="44"/>
      <c r="LS364" s="44"/>
      <c r="LT364" s="44"/>
      <c r="LU364" s="44"/>
      <c r="LV364" s="44"/>
    </row>
    <row r="365" spans="1:334" x14ac:dyDescent="0.2">
      <c r="A365" s="1" t="s">
        <v>8926</v>
      </c>
      <c r="B365" s="1" t="s">
        <v>8899</v>
      </c>
      <c r="D365" s="1" t="s">
        <v>8923</v>
      </c>
      <c r="E365" s="1" t="s">
        <v>11</v>
      </c>
      <c r="F365" s="1" t="s">
        <v>688</v>
      </c>
      <c r="H365" s="1" t="s">
        <v>8916</v>
      </c>
      <c r="K365" s="1">
        <v>2014</v>
      </c>
      <c r="L365" s="1" t="s">
        <v>8901</v>
      </c>
      <c r="M365" s="1" t="s">
        <v>7657</v>
      </c>
      <c r="N365" s="17" t="s">
        <v>7945</v>
      </c>
      <c r="O365" s="33"/>
      <c r="P365" s="33"/>
      <c r="Q365" s="33"/>
      <c r="R365" s="33"/>
      <c r="S365" s="33">
        <v>63</v>
      </c>
      <c r="T365" s="33">
        <v>37</v>
      </c>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c r="CA365" s="33"/>
      <c r="CB365" s="33"/>
      <c r="CC365" s="33"/>
      <c r="CD365" s="33"/>
      <c r="CE365" s="33"/>
      <c r="CF365" s="33"/>
      <c r="CG365" s="33"/>
      <c r="CH365" s="33"/>
      <c r="CI365" s="33"/>
      <c r="CJ365" s="33"/>
      <c r="CK365" s="33"/>
      <c r="CL365" s="33"/>
      <c r="CM365" s="33"/>
      <c r="CN365" s="33"/>
      <c r="CO365" s="33"/>
      <c r="CP365" s="33"/>
      <c r="CQ365" s="33"/>
      <c r="CR365" s="33"/>
      <c r="CS365" s="33"/>
      <c r="CT365" s="33"/>
      <c r="CU365" s="33"/>
      <c r="CV365" s="33"/>
      <c r="CW365" s="33"/>
      <c r="CX365" s="33"/>
      <c r="CY365" s="33"/>
      <c r="CZ365" s="33"/>
      <c r="DA365" s="33"/>
      <c r="DB365" s="33"/>
      <c r="DC365" s="33"/>
      <c r="DD365" s="33"/>
      <c r="DE365" s="33"/>
      <c r="DF365" s="33"/>
      <c r="DG365" s="33"/>
      <c r="DH365" s="33"/>
      <c r="DI365" s="33"/>
      <c r="DJ365" s="33"/>
      <c r="DK365" s="33"/>
      <c r="DL365" s="33"/>
      <c r="DM365" s="33"/>
      <c r="DN365" s="33"/>
      <c r="DO365" s="33"/>
      <c r="DP365" s="33"/>
      <c r="DQ365" s="33"/>
      <c r="DR365" s="33"/>
      <c r="DS365" s="33"/>
      <c r="DT365" s="33"/>
      <c r="DU365" s="33"/>
      <c r="DV365" s="33"/>
      <c r="DW365" s="33"/>
      <c r="DX365" s="33"/>
      <c r="DY365" s="33"/>
      <c r="DZ365" s="33"/>
      <c r="EA365" s="33"/>
      <c r="EB365" s="33"/>
      <c r="EC365" s="33"/>
      <c r="ED365" s="33"/>
      <c r="EE365" s="33"/>
      <c r="EF365" s="33"/>
      <c r="EG365" s="33"/>
      <c r="EH365" s="33"/>
      <c r="EI365" s="33"/>
      <c r="EJ365" s="33"/>
      <c r="EK365" s="33"/>
      <c r="EL365" s="33"/>
      <c r="EM365" s="33"/>
      <c r="EN365" s="33"/>
      <c r="EO365" s="33">
        <v>2.2200000000000002</v>
      </c>
      <c r="EP365" s="33">
        <v>4.4400000000000004</v>
      </c>
      <c r="EQ365" s="33">
        <v>52.54</v>
      </c>
      <c r="ER365" s="33"/>
      <c r="ES365" s="33"/>
      <c r="ET365" s="33"/>
      <c r="EU365" s="33"/>
      <c r="EV365" s="33"/>
      <c r="EW365" s="33"/>
      <c r="EX365" s="33"/>
      <c r="EY365" s="33"/>
      <c r="EZ365" s="33"/>
      <c r="FA365" s="33"/>
      <c r="FB365" s="33"/>
      <c r="FC365" s="33"/>
      <c r="FD365" s="33"/>
      <c r="FE365" s="33"/>
      <c r="FF365" s="33"/>
      <c r="FG365" s="33"/>
      <c r="FH365" s="33"/>
      <c r="FI365" s="33"/>
      <c r="FJ365" s="33"/>
      <c r="FK365" s="33"/>
      <c r="FL365" s="33"/>
      <c r="FM365" s="33"/>
      <c r="FN365" s="33"/>
      <c r="FO365" s="33"/>
      <c r="FP365" s="33"/>
      <c r="FQ365" s="33"/>
      <c r="FR365" s="33"/>
      <c r="FS365" s="33"/>
      <c r="FT365" s="33"/>
      <c r="FU365" s="33"/>
      <c r="FV365" s="33"/>
      <c r="FW365" s="33"/>
      <c r="FX365" s="33"/>
      <c r="FY365" s="33"/>
      <c r="FZ365" s="33"/>
      <c r="GA365" s="33"/>
      <c r="GB365" s="33"/>
      <c r="GC365" s="33"/>
      <c r="GD365" s="33"/>
      <c r="GE365" s="33"/>
      <c r="GF365" s="33"/>
      <c r="GG365" s="33"/>
      <c r="GH365" s="33"/>
      <c r="GI365" s="33"/>
      <c r="GJ365" s="33"/>
      <c r="GK365" s="33"/>
      <c r="GL365" s="33"/>
      <c r="GM365" s="33"/>
      <c r="GN365" s="33"/>
      <c r="GO365" s="33"/>
      <c r="GP365" s="33"/>
      <c r="GQ365" s="33"/>
      <c r="GR365" s="33"/>
      <c r="GS365" s="33"/>
      <c r="GT365" s="33"/>
      <c r="GU365" s="33"/>
      <c r="GV365" s="33"/>
      <c r="GW365" s="33"/>
      <c r="GX365" s="33"/>
      <c r="GY365" s="33"/>
      <c r="GZ365" s="33"/>
      <c r="HA365" s="33"/>
      <c r="HB365" s="33"/>
      <c r="HC365" s="33"/>
      <c r="HD365" s="33"/>
      <c r="HE365" s="33"/>
      <c r="HF365" s="33"/>
      <c r="HG365" s="33"/>
      <c r="HH365" s="33"/>
      <c r="HI365" s="33"/>
      <c r="HJ365" s="33"/>
      <c r="HK365" s="33"/>
      <c r="HL365" s="33"/>
      <c r="HM365" s="33"/>
      <c r="HN365" s="33"/>
      <c r="HO365" s="33"/>
      <c r="HP365" s="33"/>
      <c r="HQ365" s="33"/>
      <c r="HR365" s="33"/>
      <c r="HS365" s="33"/>
      <c r="HT365" s="33"/>
      <c r="HU365" s="33"/>
      <c r="HV365" s="33"/>
      <c r="HW365" s="33"/>
      <c r="HX365" s="33"/>
      <c r="HY365" s="33"/>
      <c r="HZ365" s="33"/>
      <c r="IA365" s="33"/>
      <c r="IB365" s="33"/>
      <c r="IC365" s="33"/>
      <c r="ID365" s="33"/>
      <c r="IE365" s="33"/>
      <c r="IF365" s="33"/>
      <c r="IG365" s="33"/>
      <c r="IH365" s="33"/>
      <c r="II365" s="33"/>
      <c r="IJ365" s="33"/>
      <c r="IK365" s="33"/>
      <c r="IL365" s="33"/>
      <c r="IM365" s="33"/>
      <c r="IN365" s="33"/>
      <c r="IO365" s="33"/>
      <c r="IP365" s="33"/>
      <c r="IQ365" s="33"/>
      <c r="IR365" s="33"/>
      <c r="IS365" s="33"/>
      <c r="IT365" s="33"/>
      <c r="IU365" s="33"/>
      <c r="IV365" s="33"/>
      <c r="IW365" s="33"/>
      <c r="IX365" s="33"/>
      <c r="IY365" s="33"/>
      <c r="IZ365" s="33"/>
      <c r="JA365" s="33"/>
      <c r="JB365" s="33"/>
      <c r="JC365" s="33"/>
      <c r="JD365" s="33"/>
      <c r="JE365" s="33"/>
      <c r="JF365" s="33"/>
      <c r="JG365" s="33"/>
      <c r="JH365" s="33"/>
      <c r="JI365" s="33"/>
      <c r="JJ365" s="33"/>
      <c r="JK365" s="33"/>
      <c r="JL365" s="33"/>
      <c r="JM365" s="33"/>
      <c r="JN365" s="33"/>
      <c r="JO365" s="33"/>
      <c r="JP365" s="33"/>
      <c r="JQ365" s="33"/>
      <c r="JR365" s="33"/>
      <c r="KZ365" s="33"/>
      <c r="LA365" s="33"/>
      <c r="LB365" s="33"/>
      <c r="LC365" s="33"/>
      <c r="LD365" s="33"/>
      <c r="LE365" s="33"/>
      <c r="LF365" s="33"/>
      <c r="LG365" s="33"/>
      <c r="LH365" s="33"/>
      <c r="LI365" s="33"/>
      <c r="LJ365" s="33"/>
      <c r="LK365" s="33"/>
      <c r="LL365" s="33"/>
      <c r="LM365" s="33"/>
      <c r="LN365" s="33"/>
      <c r="LO365" s="33"/>
      <c r="LP365" s="44"/>
      <c r="LQ365" s="44"/>
      <c r="LR365" s="44"/>
      <c r="LS365" s="44"/>
      <c r="LT365" s="44"/>
      <c r="LU365" s="44"/>
      <c r="LV365" s="44"/>
    </row>
    <row r="366" spans="1:334" x14ac:dyDescent="0.2">
      <c r="A366" s="1" t="s">
        <v>8927</v>
      </c>
      <c r="B366" s="1" t="s">
        <v>8899</v>
      </c>
      <c r="D366" s="1" t="s">
        <v>8900</v>
      </c>
      <c r="E366" s="1" t="s">
        <v>7966</v>
      </c>
      <c r="F366" s="1" t="s">
        <v>8021</v>
      </c>
      <c r="K366" s="1">
        <v>2014</v>
      </c>
      <c r="L366" s="1" t="s">
        <v>8901</v>
      </c>
      <c r="M366" s="1" t="s">
        <v>7657</v>
      </c>
      <c r="N366" s="17" t="s">
        <v>7945</v>
      </c>
      <c r="O366" s="33"/>
      <c r="P366" s="33"/>
      <c r="Q366" s="33"/>
      <c r="R366" s="33"/>
      <c r="S366" s="33">
        <v>11</v>
      </c>
      <c r="T366" s="33">
        <v>89</v>
      </c>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33"/>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c r="CA366" s="33"/>
      <c r="CB366" s="33"/>
      <c r="CC366" s="33"/>
      <c r="CD366" s="33"/>
      <c r="CE366" s="33"/>
      <c r="CF366" s="33"/>
      <c r="CG366" s="33"/>
      <c r="CH366" s="33"/>
      <c r="CI366" s="33"/>
      <c r="CJ366" s="33"/>
      <c r="CK366" s="33"/>
      <c r="CL366" s="33"/>
      <c r="CM366" s="33"/>
      <c r="CN366" s="33"/>
      <c r="CO366" s="33"/>
      <c r="CP366" s="33"/>
      <c r="CQ366" s="33"/>
      <c r="CR366" s="33"/>
      <c r="CS366" s="33"/>
      <c r="CT366" s="33"/>
      <c r="CU366" s="33"/>
      <c r="CV366" s="33"/>
      <c r="CW366" s="33"/>
      <c r="CX366" s="33"/>
      <c r="CY366" s="33"/>
      <c r="CZ366" s="33"/>
      <c r="DA366" s="33"/>
      <c r="DB366" s="33"/>
      <c r="DC366" s="33"/>
      <c r="DD366" s="33"/>
      <c r="DE366" s="33"/>
      <c r="DF366" s="33"/>
      <c r="DG366" s="33"/>
      <c r="DH366" s="33"/>
      <c r="DI366" s="33"/>
      <c r="DJ366" s="33"/>
      <c r="DK366" s="33"/>
      <c r="DL366" s="33"/>
      <c r="DM366" s="33"/>
      <c r="DN366" s="33"/>
      <c r="DO366" s="33"/>
      <c r="DP366" s="33"/>
      <c r="DQ366" s="33"/>
      <c r="DR366" s="33"/>
      <c r="DS366" s="33"/>
      <c r="DT366" s="33"/>
      <c r="DU366" s="33"/>
      <c r="DV366" s="33"/>
      <c r="DW366" s="33"/>
      <c r="DX366" s="33"/>
      <c r="DY366" s="33"/>
      <c r="DZ366" s="33"/>
      <c r="EA366" s="33"/>
      <c r="EB366" s="33"/>
      <c r="EC366" s="33"/>
      <c r="ED366" s="33"/>
      <c r="EE366" s="33"/>
      <c r="EF366" s="33"/>
      <c r="EG366" s="33"/>
      <c r="EH366" s="33"/>
      <c r="EI366" s="33"/>
      <c r="EJ366" s="33"/>
      <c r="EK366" s="33"/>
      <c r="EL366" s="33"/>
      <c r="EM366" s="33"/>
      <c r="EN366" s="33"/>
      <c r="EO366" s="33">
        <v>24.92</v>
      </c>
      <c r="EP366" s="33">
        <v>34.71</v>
      </c>
      <c r="EQ366" s="33">
        <v>41.83</v>
      </c>
      <c r="ER366" s="33"/>
      <c r="ES366" s="33"/>
      <c r="ET366" s="33"/>
      <c r="EU366" s="33"/>
      <c r="EV366" s="33"/>
      <c r="EW366" s="33"/>
      <c r="EX366" s="33"/>
      <c r="EY366" s="33"/>
      <c r="EZ366" s="33"/>
      <c r="FA366" s="33"/>
      <c r="FB366" s="33"/>
      <c r="FC366" s="33"/>
      <c r="FD366" s="33"/>
      <c r="FE366" s="33"/>
      <c r="FF366" s="33"/>
      <c r="FG366" s="33"/>
      <c r="FH366" s="33"/>
      <c r="FI366" s="33"/>
      <c r="FJ366" s="33"/>
      <c r="FK366" s="33"/>
      <c r="FL366" s="33"/>
      <c r="FM366" s="33"/>
      <c r="FN366" s="33"/>
      <c r="FO366" s="33"/>
      <c r="FP366" s="33"/>
      <c r="FQ366" s="33"/>
      <c r="FR366" s="33"/>
      <c r="FS366" s="33"/>
      <c r="FT366" s="33"/>
      <c r="FU366" s="33"/>
      <c r="FV366" s="33"/>
      <c r="FW366" s="33"/>
      <c r="FX366" s="33"/>
      <c r="FY366" s="33"/>
      <c r="FZ366" s="33"/>
      <c r="GA366" s="33"/>
      <c r="GB366" s="33"/>
      <c r="GC366" s="33"/>
      <c r="GD366" s="33"/>
      <c r="GE366" s="33"/>
      <c r="GF366" s="33"/>
      <c r="GG366" s="33"/>
      <c r="GH366" s="33"/>
      <c r="GI366" s="33"/>
      <c r="GJ366" s="33"/>
      <c r="GK366" s="33"/>
      <c r="GL366" s="33"/>
      <c r="GM366" s="33"/>
      <c r="GN366" s="33"/>
      <c r="GO366" s="33"/>
      <c r="GP366" s="33"/>
      <c r="GQ366" s="33"/>
      <c r="GR366" s="33"/>
      <c r="GS366" s="33"/>
      <c r="GT366" s="33"/>
      <c r="GU366" s="33"/>
      <c r="GV366" s="33"/>
      <c r="GW366" s="33"/>
      <c r="GX366" s="33"/>
      <c r="GY366" s="33"/>
      <c r="GZ366" s="33"/>
      <c r="HA366" s="33"/>
      <c r="HB366" s="33"/>
      <c r="HC366" s="33"/>
      <c r="HD366" s="33"/>
      <c r="HE366" s="33"/>
      <c r="HF366" s="33"/>
      <c r="HG366" s="33"/>
      <c r="HH366" s="33"/>
      <c r="HI366" s="33"/>
      <c r="HJ366" s="33"/>
      <c r="HK366" s="33"/>
      <c r="HL366" s="33"/>
      <c r="HM366" s="33"/>
      <c r="HN366" s="33"/>
      <c r="HO366" s="33"/>
      <c r="HP366" s="33"/>
      <c r="HQ366" s="33"/>
      <c r="HR366" s="33"/>
      <c r="HS366" s="33"/>
      <c r="HT366" s="33"/>
      <c r="HU366" s="33"/>
      <c r="HV366" s="33"/>
      <c r="HW366" s="33"/>
      <c r="HX366" s="33"/>
      <c r="HY366" s="33"/>
      <c r="HZ366" s="33"/>
      <c r="IA366" s="33"/>
      <c r="IB366" s="33"/>
      <c r="IC366" s="33"/>
      <c r="ID366" s="33"/>
      <c r="IE366" s="33"/>
      <c r="IF366" s="33"/>
      <c r="IG366" s="33"/>
      <c r="IH366" s="33"/>
      <c r="II366" s="33"/>
      <c r="IJ366" s="33"/>
      <c r="IK366" s="33"/>
      <c r="IL366" s="33"/>
      <c r="IM366" s="33"/>
      <c r="IN366" s="33"/>
      <c r="IO366" s="33"/>
      <c r="IP366" s="33"/>
      <c r="IQ366" s="33"/>
      <c r="IR366" s="33"/>
      <c r="IS366" s="33"/>
      <c r="IT366" s="33"/>
      <c r="IU366" s="33"/>
      <c r="IV366" s="33"/>
      <c r="IW366" s="33"/>
      <c r="IX366" s="33"/>
      <c r="IY366" s="33"/>
      <c r="IZ366" s="33"/>
      <c r="JA366" s="33"/>
      <c r="JB366" s="33"/>
      <c r="JC366" s="33"/>
      <c r="JD366" s="33"/>
      <c r="JE366" s="33"/>
      <c r="JF366" s="33"/>
      <c r="JG366" s="33"/>
      <c r="JH366" s="33"/>
      <c r="JI366" s="33"/>
      <c r="JJ366" s="33"/>
      <c r="JK366" s="33"/>
      <c r="JL366" s="33"/>
      <c r="JM366" s="33"/>
      <c r="JN366" s="33"/>
      <c r="JO366" s="33"/>
      <c r="JP366" s="33"/>
      <c r="JQ366" s="33"/>
      <c r="JR366" s="33"/>
      <c r="KZ366" s="33"/>
      <c r="LA366" s="33"/>
      <c r="LB366" s="33"/>
      <c r="LC366" s="33"/>
      <c r="LD366" s="33"/>
      <c r="LE366" s="33"/>
      <c r="LF366" s="33"/>
      <c r="LG366" s="33"/>
      <c r="LH366" s="33"/>
      <c r="LI366" s="33"/>
      <c r="LJ366" s="33"/>
      <c r="LK366" s="33"/>
      <c r="LL366" s="33"/>
      <c r="LM366" s="33"/>
      <c r="LN366" s="33"/>
      <c r="LO366" s="33"/>
      <c r="LP366" s="44"/>
      <c r="LQ366" s="44"/>
      <c r="LR366" s="44"/>
      <c r="LS366" s="44"/>
      <c r="LT366" s="44"/>
      <c r="LU366" s="44"/>
      <c r="LV366" s="44"/>
    </row>
    <row r="367" spans="1:334" x14ac:dyDescent="0.2">
      <c r="A367" s="1" t="s">
        <v>8928</v>
      </c>
      <c r="B367" s="1" t="s">
        <v>8899</v>
      </c>
      <c r="D367" s="1" t="s">
        <v>8903</v>
      </c>
      <c r="E367" s="1" t="s">
        <v>8099</v>
      </c>
      <c r="F367" s="1" t="s">
        <v>8021</v>
      </c>
      <c r="H367" s="1" t="s">
        <v>8929</v>
      </c>
      <c r="K367" s="1">
        <v>2014</v>
      </c>
      <c r="L367" s="1" t="s">
        <v>8901</v>
      </c>
      <c r="M367" s="1" t="s">
        <v>7657</v>
      </c>
      <c r="N367" s="17" t="s">
        <v>7945</v>
      </c>
      <c r="O367" s="33"/>
      <c r="P367" s="33"/>
      <c r="Q367" s="33"/>
      <c r="R367" s="33"/>
      <c r="S367" s="33">
        <v>59</v>
      </c>
      <c r="T367" s="33">
        <v>41</v>
      </c>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33"/>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c r="CA367" s="33"/>
      <c r="CB367" s="33"/>
      <c r="CC367" s="33"/>
      <c r="CD367" s="33"/>
      <c r="CE367" s="33"/>
      <c r="CF367" s="33"/>
      <c r="CG367" s="33"/>
      <c r="CH367" s="33"/>
      <c r="CI367" s="33"/>
      <c r="CJ367" s="33"/>
      <c r="CK367" s="33"/>
      <c r="CL367" s="33"/>
      <c r="CM367" s="33"/>
      <c r="CN367" s="33"/>
      <c r="CO367" s="33"/>
      <c r="CP367" s="33"/>
      <c r="CQ367" s="33"/>
      <c r="CR367" s="33"/>
      <c r="CS367" s="33"/>
      <c r="CT367" s="33"/>
      <c r="CU367" s="33"/>
      <c r="CV367" s="33"/>
      <c r="CW367" s="33"/>
      <c r="CX367" s="33"/>
      <c r="CY367" s="33"/>
      <c r="CZ367" s="33"/>
      <c r="DA367" s="33"/>
      <c r="DB367" s="33"/>
      <c r="DC367" s="33"/>
      <c r="DD367" s="33"/>
      <c r="DE367" s="33"/>
      <c r="DF367" s="33"/>
      <c r="DG367" s="33"/>
      <c r="DH367" s="33"/>
      <c r="DI367" s="33"/>
      <c r="DJ367" s="33"/>
      <c r="DK367" s="33"/>
      <c r="DL367" s="33"/>
      <c r="DM367" s="33"/>
      <c r="DN367" s="33"/>
      <c r="DO367" s="33"/>
      <c r="DP367" s="33"/>
      <c r="DQ367" s="33"/>
      <c r="DR367" s="33"/>
      <c r="DS367" s="33"/>
      <c r="DT367" s="33"/>
      <c r="DU367" s="33"/>
      <c r="DV367" s="33"/>
      <c r="DW367" s="33"/>
      <c r="DX367" s="33"/>
      <c r="DY367" s="33"/>
      <c r="DZ367" s="33"/>
      <c r="EA367" s="33"/>
      <c r="EB367" s="33"/>
      <c r="EC367" s="33"/>
      <c r="ED367" s="33"/>
      <c r="EE367" s="33"/>
      <c r="EF367" s="33"/>
      <c r="EG367" s="33"/>
      <c r="EH367" s="33"/>
      <c r="EI367" s="33"/>
      <c r="EJ367" s="33"/>
      <c r="EK367" s="33"/>
      <c r="EL367" s="33"/>
      <c r="EM367" s="33"/>
      <c r="EN367" s="33"/>
      <c r="EO367" s="33">
        <v>8.61</v>
      </c>
      <c r="EP367" s="33">
        <v>4.51</v>
      </c>
      <c r="EQ367" s="33">
        <v>52.48</v>
      </c>
      <c r="ER367" s="33"/>
      <c r="ES367" s="33"/>
      <c r="ET367" s="33"/>
      <c r="EU367" s="33"/>
      <c r="EV367" s="33"/>
      <c r="EW367" s="33"/>
      <c r="EX367" s="33"/>
      <c r="EY367" s="33"/>
      <c r="EZ367" s="33"/>
      <c r="FA367" s="33"/>
      <c r="FB367" s="33"/>
      <c r="FC367" s="33"/>
      <c r="FD367" s="33"/>
      <c r="FE367" s="33"/>
      <c r="FF367" s="33"/>
      <c r="FG367" s="33"/>
      <c r="FH367" s="33"/>
      <c r="FI367" s="33"/>
      <c r="FJ367" s="33"/>
      <c r="FK367" s="33"/>
      <c r="FL367" s="33"/>
      <c r="FM367" s="33"/>
      <c r="FN367" s="33"/>
      <c r="FO367" s="33"/>
      <c r="FP367" s="33"/>
      <c r="FQ367" s="33"/>
      <c r="FR367" s="33"/>
      <c r="FS367" s="33"/>
      <c r="FT367" s="33"/>
      <c r="FU367" s="33"/>
      <c r="FV367" s="33"/>
      <c r="FW367" s="33"/>
      <c r="FX367" s="33"/>
      <c r="FY367" s="33"/>
      <c r="FZ367" s="33"/>
      <c r="GA367" s="33"/>
      <c r="GB367" s="33"/>
      <c r="GC367" s="33"/>
      <c r="GD367" s="33"/>
      <c r="GE367" s="33"/>
      <c r="GF367" s="33"/>
      <c r="GG367" s="33"/>
      <c r="GH367" s="33"/>
      <c r="GI367" s="33"/>
      <c r="GJ367" s="33"/>
      <c r="GK367" s="33"/>
      <c r="GL367" s="33"/>
      <c r="GM367" s="33"/>
      <c r="GN367" s="33"/>
      <c r="GO367" s="33"/>
      <c r="GP367" s="33"/>
      <c r="GQ367" s="33"/>
      <c r="GR367" s="33"/>
      <c r="GS367" s="33"/>
      <c r="GT367" s="33"/>
      <c r="GU367" s="33"/>
      <c r="GV367" s="33"/>
      <c r="GW367" s="33"/>
      <c r="GX367" s="33"/>
      <c r="GY367" s="33"/>
      <c r="GZ367" s="33"/>
      <c r="HA367" s="33"/>
      <c r="HB367" s="33"/>
      <c r="HC367" s="33"/>
      <c r="HD367" s="33"/>
      <c r="HE367" s="33"/>
      <c r="HF367" s="33"/>
      <c r="HG367" s="33"/>
      <c r="HH367" s="33"/>
      <c r="HI367" s="33"/>
      <c r="HJ367" s="33"/>
      <c r="HK367" s="33"/>
      <c r="HL367" s="33"/>
      <c r="HM367" s="33"/>
      <c r="HN367" s="33"/>
      <c r="HO367" s="33"/>
      <c r="HP367" s="33"/>
      <c r="HQ367" s="33"/>
      <c r="HR367" s="33"/>
      <c r="HS367" s="33"/>
      <c r="HT367" s="33"/>
      <c r="HU367" s="33"/>
      <c r="HV367" s="33"/>
      <c r="HW367" s="33"/>
      <c r="HX367" s="33"/>
      <c r="HY367" s="33"/>
      <c r="HZ367" s="33"/>
      <c r="IA367" s="33"/>
      <c r="IB367" s="33"/>
      <c r="IC367" s="33"/>
      <c r="ID367" s="33"/>
      <c r="IE367" s="33"/>
      <c r="IF367" s="33"/>
      <c r="IG367" s="33"/>
      <c r="IH367" s="33"/>
      <c r="II367" s="33"/>
      <c r="IJ367" s="33"/>
      <c r="IK367" s="33"/>
      <c r="IL367" s="33"/>
      <c r="IM367" s="33"/>
      <c r="IN367" s="33"/>
      <c r="IO367" s="33"/>
      <c r="IP367" s="33"/>
      <c r="IQ367" s="33"/>
      <c r="IR367" s="33"/>
      <c r="IS367" s="33"/>
      <c r="IT367" s="33"/>
      <c r="IU367" s="33"/>
      <c r="IV367" s="33"/>
      <c r="IW367" s="33"/>
      <c r="IX367" s="33"/>
      <c r="IY367" s="33"/>
      <c r="IZ367" s="33"/>
      <c r="JA367" s="33"/>
      <c r="JB367" s="33"/>
      <c r="JC367" s="33"/>
      <c r="JD367" s="33"/>
      <c r="JE367" s="33"/>
      <c r="JF367" s="33"/>
      <c r="JG367" s="33"/>
      <c r="JH367" s="33"/>
      <c r="JI367" s="33"/>
      <c r="JJ367" s="33"/>
      <c r="JK367" s="33"/>
      <c r="JL367" s="33"/>
      <c r="JM367" s="33"/>
      <c r="JN367" s="33"/>
      <c r="JO367" s="33"/>
      <c r="JP367" s="33"/>
      <c r="JQ367" s="33"/>
      <c r="JR367" s="33"/>
      <c r="KZ367" s="33"/>
      <c r="LA367" s="33"/>
      <c r="LB367" s="33"/>
      <c r="LC367" s="33"/>
      <c r="LD367" s="33"/>
      <c r="LE367" s="33"/>
      <c r="LF367" s="33"/>
      <c r="LG367" s="33"/>
      <c r="LH367" s="33"/>
      <c r="LI367" s="33"/>
      <c r="LJ367" s="33"/>
      <c r="LK367" s="33"/>
      <c r="LL367" s="33"/>
      <c r="LM367" s="33"/>
      <c r="LN367" s="33"/>
      <c r="LO367" s="33"/>
      <c r="LP367" s="44"/>
      <c r="LQ367" s="44"/>
      <c r="LR367" s="44"/>
      <c r="LS367" s="44"/>
      <c r="LT367" s="44"/>
      <c r="LU367" s="44"/>
      <c r="LV367" s="44"/>
    </row>
    <row r="368" spans="1:334" x14ac:dyDescent="0.2">
      <c r="A368" s="1" t="s">
        <v>8930</v>
      </c>
      <c r="B368" s="1" t="s">
        <v>8899</v>
      </c>
      <c r="D368" s="1" t="s">
        <v>8931</v>
      </c>
      <c r="E368" s="1" t="s">
        <v>8099</v>
      </c>
      <c r="F368" s="1" t="s">
        <v>8021</v>
      </c>
      <c r="H368" s="1" t="s">
        <v>8929</v>
      </c>
      <c r="K368" s="1">
        <v>2014</v>
      </c>
      <c r="L368" s="1" t="s">
        <v>8901</v>
      </c>
      <c r="M368" s="1" t="s">
        <v>7657</v>
      </c>
      <c r="N368" s="17" t="s">
        <v>7945</v>
      </c>
      <c r="O368" s="33"/>
      <c r="P368" s="33"/>
      <c r="Q368" s="33"/>
      <c r="R368" s="33"/>
      <c r="S368" s="33">
        <v>58</v>
      </c>
      <c r="T368" s="33">
        <v>42</v>
      </c>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33"/>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c r="CA368" s="33"/>
      <c r="CB368" s="33"/>
      <c r="CC368" s="33"/>
      <c r="CD368" s="33"/>
      <c r="CE368" s="33"/>
      <c r="CF368" s="33"/>
      <c r="CG368" s="33"/>
      <c r="CH368" s="33"/>
      <c r="CI368" s="33"/>
      <c r="CJ368" s="33"/>
      <c r="CK368" s="33"/>
      <c r="CL368" s="33"/>
      <c r="CM368" s="33"/>
      <c r="CN368" s="33"/>
      <c r="CO368" s="33"/>
      <c r="CP368" s="33"/>
      <c r="CQ368" s="33"/>
      <c r="CR368" s="33"/>
      <c r="CS368" s="33"/>
      <c r="CT368" s="33"/>
      <c r="CU368" s="33"/>
      <c r="CV368" s="33"/>
      <c r="CW368" s="33"/>
      <c r="CX368" s="33"/>
      <c r="CY368" s="33"/>
      <c r="CZ368" s="33"/>
      <c r="DA368" s="33"/>
      <c r="DB368" s="33"/>
      <c r="DC368" s="33"/>
      <c r="DD368" s="33"/>
      <c r="DE368" s="33"/>
      <c r="DF368" s="33"/>
      <c r="DG368" s="33"/>
      <c r="DH368" s="33"/>
      <c r="DI368" s="33"/>
      <c r="DJ368" s="33"/>
      <c r="DK368" s="33"/>
      <c r="DL368" s="33"/>
      <c r="DM368" s="33"/>
      <c r="DN368" s="33"/>
      <c r="DO368" s="33"/>
      <c r="DP368" s="33"/>
      <c r="DQ368" s="33"/>
      <c r="DR368" s="33"/>
      <c r="DS368" s="33"/>
      <c r="DT368" s="33"/>
      <c r="DU368" s="33"/>
      <c r="DV368" s="33"/>
      <c r="DW368" s="33"/>
      <c r="DX368" s="33"/>
      <c r="DY368" s="33"/>
      <c r="DZ368" s="33"/>
      <c r="EA368" s="33"/>
      <c r="EB368" s="33"/>
      <c r="EC368" s="33"/>
      <c r="ED368" s="33"/>
      <c r="EE368" s="33"/>
      <c r="EF368" s="33"/>
      <c r="EG368" s="33"/>
      <c r="EH368" s="33"/>
      <c r="EI368" s="33"/>
      <c r="EJ368" s="33"/>
      <c r="EK368" s="33"/>
      <c r="EL368" s="33"/>
      <c r="EM368" s="33"/>
      <c r="EN368" s="33"/>
      <c r="EO368" s="33">
        <v>9.66</v>
      </c>
      <c r="EP368" s="33">
        <v>5.04</v>
      </c>
      <c r="EQ368" s="33">
        <v>48.72</v>
      </c>
      <c r="ER368" s="33"/>
      <c r="ES368" s="33"/>
      <c r="ET368" s="33"/>
      <c r="EU368" s="33"/>
      <c r="EV368" s="33"/>
      <c r="EW368" s="33"/>
      <c r="EX368" s="33"/>
      <c r="EY368" s="33"/>
      <c r="EZ368" s="33"/>
      <c r="FA368" s="33"/>
      <c r="FB368" s="33"/>
      <c r="FC368" s="33"/>
      <c r="FD368" s="33"/>
      <c r="FE368" s="33"/>
      <c r="FF368" s="33"/>
      <c r="FG368" s="33"/>
      <c r="FH368" s="33"/>
      <c r="FI368" s="33"/>
      <c r="FJ368" s="33"/>
      <c r="FK368" s="33"/>
      <c r="FL368" s="33"/>
      <c r="FM368" s="33"/>
      <c r="FN368" s="33"/>
      <c r="FO368" s="33"/>
      <c r="FP368" s="33"/>
      <c r="FQ368" s="33"/>
      <c r="FR368" s="33"/>
      <c r="FS368" s="33"/>
      <c r="FT368" s="33"/>
      <c r="FU368" s="33"/>
      <c r="FV368" s="33"/>
      <c r="FW368" s="33"/>
      <c r="FX368" s="33"/>
      <c r="FY368" s="33"/>
      <c r="FZ368" s="33"/>
      <c r="GA368" s="33"/>
      <c r="GB368" s="33"/>
      <c r="GC368" s="33"/>
      <c r="GD368" s="33"/>
      <c r="GE368" s="33"/>
      <c r="GF368" s="33"/>
      <c r="GG368" s="33"/>
      <c r="GH368" s="33"/>
      <c r="GI368" s="33"/>
      <c r="GJ368" s="33"/>
      <c r="GK368" s="33"/>
      <c r="GL368" s="33"/>
      <c r="GM368" s="33"/>
      <c r="GN368" s="33"/>
      <c r="GO368" s="33"/>
      <c r="GP368" s="33"/>
      <c r="GQ368" s="33"/>
      <c r="GR368" s="33"/>
      <c r="GS368" s="33"/>
      <c r="GT368" s="33"/>
      <c r="GU368" s="33"/>
      <c r="GV368" s="33"/>
      <c r="GW368" s="33"/>
      <c r="GX368" s="33"/>
      <c r="GY368" s="33"/>
      <c r="GZ368" s="33"/>
      <c r="HA368" s="33"/>
      <c r="HB368" s="33"/>
      <c r="HC368" s="33"/>
      <c r="HD368" s="33"/>
      <c r="HE368" s="33"/>
      <c r="HF368" s="33"/>
      <c r="HG368" s="33"/>
      <c r="HH368" s="33"/>
      <c r="HI368" s="33"/>
      <c r="HJ368" s="33"/>
      <c r="HK368" s="33"/>
      <c r="HL368" s="33"/>
      <c r="HM368" s="33"/>
      <c r="HN368" s="33"/>
      <c r="HO368" s="33"/>
      <c r="HP368" s="33"/>
      <c r="HQ368" s="33"/>
      <c r="HR368" s="33"/>
      <c r="HS368" s="33"/>
      <c r="HT368" s="33"/>
      <c r="HU368" s="33"/>
      <c r="HV368" s="33"/>
      <c r="HW368" s="33"/>
      <c r="HX368" s="33"/>
      <c r="HY368" s="33"/>
      <c r="HZ368" s="33"/>
      <c r="IA368" s="33"/>
      <c r="IB368" s="33"/>
      <c r="IC368" s="33"/>
      <c r="ID368" s="33"/>
      <c r="IE368" s="33"/>
      <c r="IF368" s="33"/>
      <c r="IG368" s="33"/>
      <c r="IH368" s="33"/>
      <c r="II368" s="33"/>
      <c r="IJ368" s="33"/>
      <c r="IK368" s="33"/>
      <c r="IL368" s="33"/>
      <c r="IM368" s="33"/>
      <c r="IN368" s="33"/>
      <c r="IO368" s="33"/>
      <c r="IP368" s="33"/>
      <c r="IQ368" s="33"/>
      <c r="IR368" s="33"/>
      <c r="IS368" s="33"/>
      <c r="IT368" s="33"/>
      <c r="IU368" s="33"/>
      <c r="IV368" s="33"/>
      <c r="IW368" s="33"/>
      <c r="IX368" s="33"/>
      <c r="IY368" s="33"/>
      <c r="IZ368" s="33"/>
      <c r="JA368" s="33"/>
      <c r="JB368" s="33"/>
      <c r="JC368" s="33"/>
      <c r="JD368" s="33"/>
      <c r="JE368" s="33"/>
      <c r="JF368" s="33"/>
      <c r="JG368" s="33"/>
      <c r="JH368" s="33"/>
      <c r="JI368" s="33"/>
      <c r="JJ368" s="33"/>
      <c r="JK368" s="33"/>
      <c r="JL368" s="33"/>
      <c r="JM368" s="33"/>
      <c r="JN368" s="33"/>
      <c r="JO368" s="33"/>
      <c r="JP368" s="33"/>
      <c r="JQ368" s="33"/>
      <c r="JR368" s="33"/>
      <c r="KZ368" s="33"/>
      <c r="LA368" s="33"/>
      <c r="LB368" s="33"/>
      <c r="LC368" s="33"/>
      <c r="LD368" s="33"/>
      <c r="LE368" s="33"/>
      <c r="LF368" s="33"/>
      <c r="LG368" s="33"/>
      <c r="LH368" s="33"/>
      <c r="LI368" s="33"/>
      <c r="LJ368" s="33"/>
      <c r="LK368" s="33"/>
      <c r="LL368" s="33"/>
      <c r="LM368" s="33"/>
      <c r="LN368" s="33"/>
      <c r="LO368" s="33"/>
      <c r="LP368" s="44"/>
      <c r="LQ368" s="44"/>
      <c r="LR368" s="44"/>
      <c r="LS368" s="44"/>
      <c r="LT368" s="44"/>
      <c r="LU368" s="44"/>
      <c r="LV368" s="44"/>
    </row>
    <row r="369" spans="1:334" x14ac:dyDescent="0.2">
      <c r="A369" s="1" t="s">
        <v>8932</v>
      </c>
      <c r="B369" s="1" t="s">
        <v>8899</v>
      </c>
      <c r="D369" s="1" t="s">
        <v>8933</v>
      </c>
      <c r="E369" s="1" t="s">
        <v>8099</v>
      </c>
      <c r="F369" s="1" t="s">
        <v>8021</v>
      </c>
      <c r="H369" s="1" t="s">
        <v>8929</v>
      </c>
      <c r="K369" s="1">
        <v>2014</v>
      </c>
      <c r="L369" s="1" t="s">
        <v>8901</v>
      </c>
      <c r="M369" s="1" t="s">
        <v>7657</v>
      </c>
      <c r="N369" s="17" t="s">
        <v>7945</v>
      </c>
      <c r="O369" s="33"/>
      <c r="P369" s="33"/>
      <c r="Q369" s="33"/>
      <c r="R369" s="33"/>
      <c r="S369" s="33">
        <v>60</v>
      </c>
      <c r="T369" s="33">
        <v>40</v>
      </c>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c r="BO369" s="33"/>
      <c r="BP369" s="33"/>
      <c r="BQ369" s="33"/>
      <c r="BR369" s="33"/>
      <c r="BS369" s="33"/>
      <c r="BT369" s="33"/>
      <c r="BU369" s="33"/>
      <c r="BV369" s="33"/>
      <c r="BW369" s="33"/>
      <c r="BX369" s="33"/>
      <c r="BY369" s="33"/>
      <c r="BZ369" s="33"/>
      <c r="CA369" s="33"/>
      <c r="CB369" s="33"/>
      <c r="CC369" s="33"/>
      <c r="CD369" s="33"/>
      <c r="CE369" s="33"/>
      <c r="CF369" s="33"/>
      <c r="CG369" s="33"/>
      <c r="CH369" s="33"/>
      <c r="CI369" s="33"/>
      <c r="CJ369" s="33"/>
      <c r="CK369" s="33"/>
      <c r="CL369" s="33"/>
      <c r="CM369" s="33"/>
      <c r="CN369" s="33"/>
      <c r="CO369" s="33"/>
      <c r="CP369" s="33"/>
      <c r="CQ369" s="33"/>
      <c r="CR369" s="33"/>
      <c r="CS369" s="33"/>
      <c r="CT369" s="33"/>
      <c r="CU369" s="33"/>
      <c r="CV369" s="33"/>
      <c r="CW369" s="33"/>
      <c r="CX369" s="33"/>
      <c r="CY369" s="33"/>
      <c r="CZ369" s="33"/>
      <c r="DA369" s="33"/>
      <c r="DB369" s="33"/>
      <c r="DC369" s="33"/>
      <c r="DD369" s="33"/>
      <c r="DE369" s="33"/>
      <c r="DF369" s="33"/>
      <c r="DG369" s="33"/>
      <c r="DH369" s="33"/>
      <c r="DI369" s="33"/>
      <c r="DJ369" s="33"/>
      <c r="DK369" s="33"/>
      <c r="DL369" s="33"/>
      <c r="DM369" s="33"/>
      <c r="DN369" s="33"/>
      <c r="DO369" s="33"/>
      <c r="DP369" s="33"/>
      <c r="DQ369" s="33"/>
      <c r="DR369" s="33"/>
      <c r="DS369" s="33"/>
      <c r="DT369" s="33"/>
      <c r="DU369" s="33"/>
      <c r="DV369" s="33"/>
      <c r="DW369" s="33"/>
      <c r="DX369" s="33"/>
      <c r="DY369" s="33"/>
      <c r="DZ369" s="33"/>
      <c r="EA369" s="33"/>
      <c r="EB369" s="33"/>
      <c r="EC369" s="33"/>
      <c r="ED369" s="33"/>
      <c r="EE369" s="33"/>
      <c r="EF369" s="33"/>
      <c r="EG369" s="33"/>
      <c r="EH369" s="33"/>
      <c r="EI369" s="33"/>
      <c r="EJ369" s="33"/>
      <c r="EK369" s="33"/>
      <c r="EL369" s="33"/>
      <c r="EM369" s="33"/>
      <c r="EN369" s="33"/>
      <c r="EO369" s="33">
        <v>7.2</v>
      </c>
      <c r="EP369" s="33">
        <v>6.4</v>
      </c>
      <c r="EQ369" s="33">
        <v>64.8</v>
      </c>
      <c r="ER369" s="33"/>
      <c r="ES369" s="33"/>
      <c r="ET369" s="33"/>
      <c r="EU369" s="33"/>
      <c r="EV369" s="33"/>
      <c r="EW369" s="33"/>
      <c r="EX369" s="33"/>
      <c r="EY369" s="33"/>
      <c r="EZ369" s="33"/>
      <c r="FA369" s="33"/>
      <c r="FB369" s="33"/>
      <c r="FC369" s="33"/>
      <c r="FD369" s="33"/>
      <c r="FE369" s="33"/>
      <c r="FF369" s="33"/>
      <c r="FG369" s="33"/>
      <c r="FH369" s="33"/>
      <c r="FI369" s="33"/>
      <c r="FJ369" s="33"/>
      <c r="FK369" s="33"/>
      <c r="FL369" s="33"/>
      <c r="FM369" s="33"/>
      <c r="FN369" s="33"/>
      <c r="FO369" s="33"/>
      <c r="FP369" s="33"/>
      <c r="FQ369" s="33"/>
      <c r="FR369" s="33"/>
      <c r="FS369" s="33"/>
      <c r="FT369" s="33"/>
      <c r="FU369" s="33"/>
      <c r="FV369" s="33"/>
      <c r="FW369" s="33"/>
      <c r="FX369" s="33"/>
      <c r="FY369" s="33"/>
      <c r="FZ369" s="33"/>
      <c r="GA369" s="33"/>
      <c r="GB369" s="33"/>
      <c r="GC369" s="33"/>
      <c r="GD369" s="33"/>
      <c r="GE369" s="33"/>
      <c r="GF369" s="33"/>
      <c r="GG369" s="33"/>
      <c r="GH369" s="33"/>
      <c r="GI369" s="33"/>
      <c r="GJ369" s="33"/>
      <c r="GK369" s="33"/>
      <c r="GL369" s="33"/>
      <c r="GM369" s="33"/>
      <c r="GN369" s="33"/>
      <c r="GO369" s="33"/>
      <c r="GP369" s="33"/>
      <c r="GQ369" s="33"/>
      <c r="GR369" s="33"/>
      <c r="GS369" s="33"/>
      <c r="GT369" s="33"/>
      <c r="GU369" s="33"/>
      <c r="GV369" s="33"/>
      <c r="GW369" s="33"/>
      <c r="GX369" s="33"/>
      <c r="GY369" s="33"/>
      <c r="GZ369" s="33"/>
      <c r="HA369" s="33"/>
      <c r="HB369" s="33"/>
      <c r="HC369" s="33"/>
      <c r="HD369" s="33"/>
      <c r="HE369" s="33"/>
      <c r="HF369" s="33"/>
      <c r="HG369" s="33"/>
      <c r="HH369" s="33"/>
      <c r="HI369" s="33"/>
      <c r="HJ369" s="33"/>
      <c r="HK369" s="33"/>
      <c r="HL369" s="33"/>
      <c r="HM369" s="33"/>
      <c r="HN369" s="33"/>
      <c r="HO369" s="33"/>
      <c r="HP369" s="33"/>
      <c r="HQ369" s="33"/>
      <c r="HR369" s="33"/>
      <c r="HS369" s="33"/>
      <c r="HT369" s="33"/>
      <c r="HU369" s="33"/>
      <c r="HV369" s="33"/>
      <c r="HW369" s="33"/>
      <c r="HX369" s="33"/>
      <c r="HY369" s="33"/>
      <c r="HZ369" s="33"/>
      <c r="IA369" s="33"/>
      <c r="IB369" s="33"/>
      <c r="IC369" s="33"/>
      <c r="ID369" s="33"/>
      <c r="IE369" s="33"/>
      <c r="IF369" s="33"/>
      <c r="IG369" s="33"/>
      <c r="IH369" s="33"/>
      <c r="II369" s="33"/>
      <c r="IJ369" s="33"/>
      <c r="IK369" s="33"/>
      <c r="IL369" s="33"/>
      <c r="IM369" s="33"/>
      <c r="IN369" s="33"/>
      <c r="IO369" s="33"/>
      <c r="IP369" s="33"/>
      <c r="IQ369" s="33"/>
      <c r="IR369" s="33"/>
      <c r="IS369" s="33"/>
      <c r="IT369" s="33"/>
      <c r="IU369" s="33"/>
      <c r="IV369" s="33"/>
      <c r="IW369" s="33"/>
      <c r="IX369" s="33"/>
      <c r="IY369" s="33"/>
      <c r="IZ369" s="33"/>
      <c r="JA369" s="33"/>
      <c r="JB369" s="33"/>
      <c r="JC369" s="33"/>
      <c r="JD369" s="33"/>
      <c r="JE369" s="33"/>
      <c r="JF369" s="33"/>
      <c r="JG369" s="33"/>
      <c r="JH369" s="33"/>
      <c r="JI369" s="33"/>
      <c r="JJ369" s="33"/>
      <c r="JK369" s="33"/>
      <c r="JL369" s="33"/>
      <c r="JM369" s="33"/>
      <c r="JN369" s="33"/>
      <c r="JO369" s="33"/>
      <c r="JP369" s="33"/>
      <c r="JQ369" s="33"/>
      <c r="JR369" s="33"/>
      <c r="KZ369" s="33"/>
      <c r="LA369" s="33"/>
      <c r="LB369" s="33"/>
      <c r="LC369" s="33"/>
      <c r="LD369" s="33"/>
      <c r="LE369" s="33"/>
      <c r="LF369" s="33"/>
      <c r="LG369" s="33"/>
      <c r="LH369" s="33"/>
      <c r="LI369" s="33"/>
      <c r="LJ369" s="33"/>
      <c r="LK369" s="33"/>
      <c r="LL369" s="33"/>
      <c r="LM369" s="33"/>
      <c r="LN369" s="33"/>
      <c r="LO369" s="33"/>
      <c r="LP369" s="44"/>
      <c r="LQ369" s="44"/>
      <c r="LR369" s="44"/>
      <c r="LS369" s="44"/>
      <c r="LT369" s="44"/>
      <c r="LU369" s="44"/>
      <c r="LV369" s="44"/>
    </row>
    <row r="370" spans="1:334" x14ac:dyDescent="0.2">
      <c r="A370" s="1" t="s">
        <v>8934</v>
      </c>
      <c r="B370" s="1" t="s">
        <v>8899</v>
      </c>
      <c r="D370" s="1" t="s">
        <v>8935</v>
      </c>
      <c r="E370" s="1" t="s">
        <v>8099</v>
      </c>
      <c r="F370" s="1" t="s">
        <v>8021</v>
      </c>
      <c r="H370" s="1" t="s">
        <v>8929</v>
      </c>
      <c r="K370" s="1">
        <v>2014</v>
      </c>
      <c r="L370" s="1" t="s">
        <v>8901</v>
      </c>
      <c r="M370" s="1" t="s">
        <v>7657</v>
      </c>
      <c r="N370" s="17" t="s">
        <v>7945</v>
      </c>
      <c r="O370" s="33"/>
      <c r="P370" s="33"/>
      <c r="Q370" s="33"/>
      <c r="R370" s="33"/>
      <c r="S370" s="33">
        <v>63</v>
      </c>
      <c r="T370" s="33">
        <v>37</v>
      </c>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33"/>
      <c r="BE370" s="33"/>
      <c r="BF370" s="33"/>
      <c r="BG370" s="33"/>
      <c r="BH370" s="33"/>
      <c r="BI370" s="33"/>
      <c r="BJ370" s="33"/>
      <c r="BK370" s="33"/>
      <c r="BL370" s="33"/>
      <c r="BM370" s="33"/>
      <c r="BN370" s="33"/>
      <c r="BO370" s="33"/>
      <c r="BP370" s="33"/>
      <c r="BQ370" s="33"/>
      <c r="BR370" s="33"/>
      <c r="BS370" s="33"/>
      <c r="BT370" s="33"/>
      <c r="BU370" s="33"/>
      <c r="BV370" s="33"/>
      <c r="BW370" s="33"/>
      <c r="BX370" s="33"/>
      <c r="BY370" s="33"/>
      <c r="BZ370" s="33"/>
      <c r="CA370" s="33"/>
      <c r="CB370" s="33"/>
      <c r="CC370" s="33"/>
      <c r="CD370" s="33"/>
      <c r="CE370" s="33"/>
      <c r="CF370" s="33"/>
      <c r="CG370" s="33"/>
      <c r="CH370" s="33"/>
      <c r="CI370" s="33"/>
      <c r="CJ370" s="33"/>
      <c r="CK370" s="33"/>
      <c r="CL370" s="33"/>
      <c r="CM370" s="33"/>
      <c r="CN370" s="33"/>
      <c r="CO370" s="33"/>
      <c r="CP370" s="33"/>
      <c r="CQ370" s="33"/>
      <c r="CR370" s="33"/>
      <c r="CS370" s="33"/>
      <c r="CT370" s="33"/>
      <c r="CU370" s="33"/>
      <c r="CV370" s="33"/>
      <c r="CW370" s="33"/>
      <c r="CX370" s="33"/>
      <c r="CY370" s="33"/>
      <c r="CZ370" s="33"/>
      <c r="DA370" s="33"/>
      <c r="DB370" s="33"/>
      <c r="DC370" s="33"/>
      <c r="DD370" s="33"/>
      <c r="DE370" s="33"/>
      <c r="DF370" s="33"/>
      <c r="DG370" s="33"/>
      <c r="DH370" s="33"/>
      <c r="DI370" s="33"/>
      <c r="DJ370" s="33"/>
      <c r="DK370" s="33"/>
      <c r="DL370" s="33"/>
      <c r="DM370" s="33"/>
      <c r="DN370" s="33"/>
      <c r="DO370" s="33"/>
      <c r="DP370" s="33"/>
      <c r="DQ370" s="33"/>
      <c r="DR370" s="33"/>
      <c r="DS370" s="33"/>
      <c r="DT370" s="33"/>
      <c r="DU370" s="33"/>
      <c r="DV370" s="33"/>
      <c r="DW370" s="33"/>
      <c r="DX370" s="33"/>
      <c r="DY370" s="33"/>
      <c r="DZ370" s="33"/>
      <c r="EA370" s="33"/>
      <c r="EB370" s="33"/>
      <c r="EC370" s="33"/>
      <c r="ED370" s="33"/>
      <c r="EE370" s="33"/>
      <c r="EF370" s="33"/>
      <c r="EG370" s="33"/>
      <c r="EH370" s="33"/>
      <c r="EI370" s="33"/>
      <c r="EJ370" s="33"/>
      <c r="EK370" s="33"/>
      <c r="EL370" s="33"/>
      <c r="EM370" s="33"/>
      <c r="EN370" s="33"/>
      <c r="EO370" s="33">
        <v>8.8800000000000008</v>
      </c>
      <c r="EP370" s="33">
        <v>11.47</v>
      </c>
      <c r="EQ370" s="33">
        <v>96.57</v>
      </c>
      <c r="ER370" s="33"/>
      <c r="ES370" s="33"/>
      <c r="ET370" s="33"/>
      <c r="EU370" s="33"/>
      <c r="EV370" s="33"/>
      <c r="EW370" s="33"/>
      <c r="EX370" s="33"/>
      <c r="EY370" s="33"/>
      <c r="EZ370" s="33"/>
      <c r="FA370" s="33"/>
      <c r="FB370" s="33"/>
      <c r="FC370" s="33"/>
      <c r="FD370" s="33"/>
      <c r="FE370" s="33"/>
      <c r="FF370" s="33"/>
      <c r="FG370" s="33"/>
      <c r="FH370" s="33"/>
      <c r="FI370" s="33"/>
      <c r="FJ370" s="33"/>
      <c r="FK370" s="33"/>
      <c r="FL370" s="33"/>
      <c r="FM370" s="33"/>
      <c r="FN370" s="33"/>
      <c r="FO370" s="33"/>
      <c r="FP370" s="33"/>
      <c r="FQ370" s="33"/>
      <c r="FR370" s="33"/>
      <c r="FS370" s="33"/>
      <c r="FT370" s="33"/>
      <c r="FU370" s="33"/>
      <c r="FV370" s="33"/>
      <c r="FW370" s="33"/>
      <c r="FX370" s="33"/>
      <c r="FY370" s="33"/>
      <c r="FZ370" s="33"/>
      <c r="GA370" s="33"/>
      <c r="GB370" s="33"/>
      <c r="GC370" s="33"/>
      <c r="GD370" s="33"/>
      <c r="GE370" s="33"/>
      <c r="GF370" s="33"/>
      <c r="GG370" s="33"/>
      <c r="GH370" s="33"/>
      <c r="GI370" s="33"/>
      <c r="GJ370" s="33"/>
      <c r="GK370" s="33"/>
      <c r="GL370" s="33"/>
      <c r="GM370" s="33"/>
      <c r="GN370" s="33"/>
      <c r="GO370" s="33"/>
      <c r="GP370" s="33"/>
      <c r="GQ370" s="33"/>
      <c r="GR370" s="33"/>
      <c r="GS370" s="33"/>
      <c r="GT370" s="33"/>
      <c r="GU370" s="33"/>
      <c r="GV370" s="33"/>
      <c r="GW370" s="33"/>
      <c r="GX370" s="33"/>
      <c r="GY370" s="33"/>
      <c r="GZ370" s="33"/>
      <c r="HA370" s="33"/>
      <c r="HB370" s="33"/>
      <c r="HC370" s="33"/>
      <c r="HD370" s="33"/>
      <c r="HE370" s="33"/>
      <c r="HF370" s="33"/>
      <c r="HG370" s="33"/>
      <c r="HH370" s="33"/>
      <c r="HI370" s="33"/>
      <c r="HJ370" s="33"/>
      <c r="HK370" s="33"/>
      <c r="HL370" s="33"/>
      <c r="HM370" s="33"/>
      <c r="HN370" s="33"/>
      <c r="HO370" s="33"/>
      <c r="HP370" s="33"/>
      <c r="HQ370" s="33"/>
      <c r="HR370" s="33"/>
      <c r="HS370" s="33"/>
      <c r="HT370" s="33"/>
      <c r="HU370" s="33"/>
      <c r="HV370" s="33"/>
      <c r="HW370" s="33"/>
      <c r="HX370" s="33"/>
      <c r="HY370" s="33"/>
      <c r="HZ370" s="33"/>
      <c r="IA370" s="33"/>
      <c r="IB370" s="33"/>
      <c r="IC370" s="33"/>
      <c r="ID370" s="33"/>
      <c r="IE370" s="33"/>
      <c r="IF370" s="33"/>
      <c r="IG370" s="33"/>
      <c r="IH370" s="33"/>
      <c r="II370" s="33"/>
      <c r="IJ370" s="33"/>
      <c r="IK370" s="33"/>
      <c r="IL370" s="33"/>
      <c r="IM370" s="33"/>
      <c r="IN370" s="33"/>
      <c r="IO370" s="33"/>
      <c r="IP370" s="33"/>
      <c r="IQ370" s="33"/>
      <c r="IR370" s="33"/>
      <c r="IS370" s="33"/>
      <c r="IT370" s="33"/>
      <c r="IU370" s="33"/>
      <c r="IV370" s="33"/>
      <c r="IW370" s="33"/>
      <c r="IX370" s="33"/>
      <c r="IY370" s="33"/>
      <c r="IZ370" s="33"/>
      <c r="JA370" s="33"/>
      <c r="JB370" s="33"/>
      <c r="JC370" s="33"/>
      <c r="JD370" s="33"/>
      <c r="JE370" s="33"/>
      <c r="JF370" s="33"/>
      <c r="JG370" s="33"/>
      <c r="JH370" s="33"/>
      <c r="JI370" s="33"/>
      <c r="JJ370" s="33"/>
      <c r="JK370" s="33"/>
      <c r="JL370" s="33"/>
      <c r="JM370" s="33"/>
      <c r="JN370" s="33"/>
      <c r="JO370" s="33"/>
      <c r="JP370" s="33"/>
      <c r="JQ370" s="33"/>
      <c r="JR370" s="33"/>
      <c r="KZ370" s="33"/>
      <c r="LA370" s="33"/>
      <c r="LB370" s="33"/>
      <c r="LC370" s="33"/>
      <c r="LD370" s="33"/>
      <c r="LE370" s="33"/>
      <c r="LF370" s="33"/>
      <c r="LG370" s="33"/>
      <c r="LH370" s="33"/>
      <c r="LI370" s="33"/>
      <c r="LJ370" s="33"/>
      <c r="LK370" s="33"/>
      <c r="LL370" s="33"/>
      <c r="LM370" s="33"/>
      <c r="LN370" s="33"/>
      <c r="LO370" s="33"/>
      <c r="LP370" s="44"/>
      <c r="LQ370" s="44"/>
      <c r="LR370" s="44"/>
      <c r="LS370" s="44"/>
      <c r="LT370" s="44"/>
      <c r="LU370" s="44"/>
      <c r="LV370" s="44"/>
    </row>
    <row r="371" spans="1:334" x14ac:dyDescent="0.2">
      <c r="A371" s="1" t="s">
        <v>8936</v>
      </c>
      <c r="B371" s="1" t="s">
        <v>8899</v>
      </c>
      <c r="D371" s="1" t="s">
        <v>8638</v>
      </c>
      <c r="E371" s="1" t="s">
        <v>7966</v>
      </c>
      <c r="F371" s="1" t="s">
        <v>688</v>
      </c>
      <c r="K371" s="1">
        <v>2014</v>
      </c>
      <c r="L371" s="1" t="s">
        <v>8901</v>
      </c>
      <c r="M371" s="1" t="s">
        <v>7657</v>
      </c>
      <c r="N371" s="17" t="s">
        <v>7945</v>
      </c>
      <c r="O371" s="33"/>
      <c r="P371" s="33"/>
      <c r="Q371" s="33"/>
      <c r="R371" s="33"/>
      <c r="S371" s="33">
        <v>10</v>
      </c>
      <c r="T371" s="33">
        <v>90</v>
      </c>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33"/>
      <c r="BE371" s="33"/>
      <c r="BF371" s="33"/>
      <c r="BG371" s="33"/>
      <c r="BH371" s="33"/>
      <c r="BI371" s="33"/>
      <c r="BJ371" s="33"/>
      <c r="BK371" s="33"/>
      <c r="BL371" s="33"/>
      <c r="BM371" s="33"/>
      <c r="BN371" s="33"/>
      <c r="BO371" s="33"/>
      <c r="BP371" s="33"/>
      <c r="BQ371" s="33"/>
      <c r="BR371" s="33"/>
      <c r="BS371" s="33"/>
      <c r="BT371" s="33"/>
      <c r="BU371" s="33"/>
      <c r="BV371" s="33"/>
      <c r="BW371" s="33"/>
      <c r="BX371" s="33"/>
      <c r="BY371" s="33"/>
      <c r="BZ371" s="33"/>
      <c r="CA371" s="33"/>
      <c r="CB371" s="33"/>
      <c r="CC371" s="33"/>
      <c r="CD371" s="33"/>
      <c r="CE371" s="33"/>
      <c r="CF371" s="33"/>
      <c r="CG371" s="33"/>
      <c r="CH371" s="33"/>
      <c r="CI371" s="33"/>
      <c r="CJ371" s="33"/>
      <c r="CK371" s="33"/>
      <c r="CL371" s="33"/>
      <c r="CM371" s="33"/>
      <c r="CN371" s="33"/>
      <c r="CO371" s="33"/>
      <c r="CP371" s="33"/>
      <c r="CQ371" s="33"/>
      <c r="CR371" s="33"/>
      <c r="CS371" s="33"/>
      <c r="CT371" s="33"/>
      <c r="CU371" s="33"/>
      <c r="CV371" s="33"/>
      <c r="CW371" s="33"/>
      <c r="CX371" s="33"/>
      <c r="CY371" s="33"/>
      <c r="CZ371" s="33"/>
      <c r="DA371" s="33"/>
      <c r="DB371" s="33"/>
      <c r="DC371" s="33"/>
      <c r="DD371" s="33"/>
      <c r="DE371" s="33"/>
      <c r="DF371" s="33"/>
      <c r="DG371" s="33"/>
      <c r="DH371" s="33"/>
      <c r="DI371" s="33"/>
      <c r="DJ371" s="33"/>
      <c r="DK371" s="33"/>
      <c r="DL371" s="33"/>
      <c r="DM371" s="33"/>
      <c r="DN371" s="33"/>
      <c r="DO371" s="33"/>
      <c r="DP371" s="33"/>
      <c r="DQ371" s="33"/>
      <c r="DR371" s="33"/>
      <c r="DS371" s="33"/>
      <c r="DT371" s="33"/>
      <c r="DU371" s="33"/>
      <c r="DV371" s="33"/>
      <c r="DW371" s="33"/>
      <c r="DX371" s="33"/>
      <c r="DY371" s="33"/>
      <c r="DZ371" s="33"/>
      <c r="EA371" s="33"/>
      <c r="EB371" s="33"/>
      <c r="EC371" s="33"/>
      <c r="ED371" s="33"/>
      <c r="EE371" s="33"/>
      <c r="EF371" s="33"/>
      <c r="EG371" s="33"/>
      <c r="EH371" s="33"/>
      <c r="EI371" s="33"/>
      <c r="EJ371" s="33"/>
      <c r="EK371" s="33"/>
      <c r="EL371" s="33"/>
      <c r="EM371" s="33"/>
      <c r="EN371" s="33"/>
      <c r="EO371" s="33">
        <v>12.6</v>
      </c>
      <c r="EP371" s="33">
        <v>23.4</v>
      </c>
      <c r="EQ371" s="33">
        <v>175.5</v>
      </c>
      <c r="ER371" s="33"/>
      <c r="ES371" s="33"/>
      <c r="ET371" s="33"/>
      <c r="EU371" s="33"/>
      <c r="EV371" s="33"/>
      <c r="EW371" s="33"/>
      <c r="EX371" s="33"/>
      <c r="EY371" s="33"/>
      <c r="EZ371" s="33"/>
      <c r="FA371" s="33"/>
      <c r="FB371" s="33"/>
      <c r="FC371" s="33"/>
      <c r="FD371" s="33"/>
      <c r="FE371" s="33"/>
      <c r="FF371" s="33"/>
      <c r="FG371" s="33"/>
      <c r="FH371" s="33"/>
      <c r="FI371" s="33"/>
      <c r="FJ371" s="33"/>
      <c r="FK371" s="33"/>
      <c r="FL371" s="33"/>
      <c r="FM371" s="33"/>
      <c r="FN371" s="33"/>
      <c r="FO371" s="33"/>
      <c r="FP371" s="33"/>
      <c r="FQ371" s="33"/>
      <c r="FR371" s="33"/>
      <c r="FS371" s="33"/>
      <c r="FT371" s="33"/>
      <c r="FU371" s="33"/>
      <c r="FV371" s="33"/>
      <c r="FW371" s="33"/>
      <c r="FX371" s="33"/>
      <c r="FY371" s="33"/>
      <c r="FZ371" s="33"/>
      <c r="GA371" s="33"/>
      <c r="GB371" s="33"/>
      <c r="GC371" s="33"/>
      <c r="GD371" s="33"/>
      <c r="GE371" s="33"/>
      <c r="GF371" s="33"/>
      <c r="GG371" s="33"/>
      <c r="GH371" s="33"/>
      <c r="GI371" s="33"/>
      <c r="GJ371" s="33"/>
      <c r="GK371" s="33"/>
      <c r="GL371" s="33"/>
      <c r="GM371" s="33"/>
      <c r="GN371" s="33"/>
      <c r="GO371" s="33"/>
      <c r="GP371" s="33"/>
      <c r="GQ371" s="33"/>
      <c r="GR371" s="33"/>
      <c r="GS371" s="33"/>
      <c r="GT371" s="33"/>
      <c r="GU371" s="33"/>
      <c r="GV371" s="33"/>
      <c r="GW371" s="33"/>
      <c r="GX371" s="33"/>
      <c r="GY371" s="33"/>
      <c r="GZ371" s="33"/>
      <c r="HA371" s="33"/>
      <c r="HB371" s="33"/>
      <c r="HC371" s="33"/>
      <c r="HD371" s="33"/>
      <c r="HE371" s="33"/>
      <c r="HF371" s="33"/>
      <c r="HG371" s="33"/>
      <c r="HH371" s="33"/>
      <c r="HI371" s="33"/>
      <c r="HJ371" s="33"/>
      <c r="HK371" s="33"/>
      <c r="HL371" s="33"/>
      <c r="HM371" s="33"/>
      <c r="HN371" s="33"/>
      <c r="HO371" s="33"/>
      <c r="HP371" s="33"/>
      <c r="HQ371" s="33"/>
      <c r="HR371" s="33"/>
      <c r="HS371" s="33"/>
      <c r="HT371" s="33"/>
      <c r="HU371" s="33"/>
      <c r="HV371" s="33"/>
      <c r="HW371" s="33"/>
      <c r="HX371" s="33"/>
      <c r="HY371" s="33"/>
      <c r="HZ371" s="33"/>
      <c r="IA371" s="33"/>
      <c r="IB371" s="33"/>
      <c r="IC371" s="33"/>
      <c r="ID371" s="33"/>
      <c r="IE371" s="33"/>
      <c r="IF371" s="33"/>
      <c r="IG371" s="33"/>
      <c r="IH371" s="33"/>
      <c r="II371" s="33"/>
      <c r="IJ371" s="33"/>
      <c r="IK371" s="33"/>
      <c r="IL371" s="33"/>
      <c r="IM371" s="33"/>
      <c r="IN371" s="33"/>
      <c r="IO371" s="33"/>
      <c r="IP371" s="33"/>
      <c r="IQ371" s="33"/>
      <c r="IR371" s="33"/>
      <c r="IS371" s="33"/>
      <c r="IT371" s="33"/>
      <c r="IU371" s="33"/>
      <c r="IV371" s="33"/>
      <c r="IW371" s="33"/>
      <c r="IX371" s="33"/>
      <c r="IY371" s="33"/>
      <c r="IZ371" s="33"/>
      <c r="JA371" s="33"/>
      <c r="JB371" s="33"/>
      <c r="JC371" s="33"/>
      <c r="JD371" s="33"/>
      <c r="JE371" s="33"/>
      <c r="JF371" s="33"/>
      <c r="JG371" s="33"/>
      <c r="JH371" s="33"/>
      <c r="JI371" s="33"/>
      <c r="JJ371" s="33"/>
      <c r="JK371" s="33"/>
      <c r="JL371" s="33"/>
      <c r="JM371" s="33"/>
      <c r="JN371" s="33"/>
      <c r="JO371" s="33"/>
      <c r="JP371" s="33"/>
      <c r="JQ371" s="33"/>
      <c r="JR371" s="33"/>
      <c r="KZ371" s="33"/>
      <c r="LA371" s="33"/>
      <c r="LB371" s="33"/>
      <c r="LC371" s="33"/>
      <c r="LD371" s="33"/>
      <c r="LE371" s="33"/>
      <c r="LF371" s="33"/>
      <c r="LG371" s="33"/>
      <c r="LH371" s="33"/>
      <c r="LI371" s="33"/>
      <c r="LJ371" s="33"/>
      <c r="LK371" s="33"/>
      <c r="LL371" s="33"/>
      <c r="LM371" s="33"/>
      <c r="LN371" s="33"/>
      <c r="LO371" s="33"/>
      <c r="LP371" s="44"/>
      <c r="LQ371" s="44"/>
      <c r="LR371" s="44"/>
      <c r="LS371" s="44"/>
      <c r="LT371" s="44"/>
      <c r="LU371" s="44"/>
      <c r="LV371" s="44"/>
    </row>
    <row r="372" spans="1:334" x14ac:dyDescent="0.2">
      <c r="A372" s="1" t="s">
        <v>8937</v>
      </c>
      <c r="B372" s="1" t="s">
        <v>8899</v>
      </c>
      <c r="D372" s="1" t="s">
        <v>8919</v>
      </c>
      <c r="E372" s="1" t="s">
        <v>8099</v>
      </c>
      <c r="F372" s="1" t="s">
        <v>688</v>
      </c>
      <c r="H372" s="1" t="s">
        <v>8929</v>
      </c>
      <c r="K372" s="1">
        <v>2014</v>
      </c>
      <c r="L372" s="1" t="s">
        <v>8901</v>
      </c>
      <c r="M372" s="1" t="s">
        <v>7657</v>
      </c>
      <c r="N372" s="17" t="s">
        <v>7945</v>
      </c>
      <c r="O372" s="33"/>
      <c r="P372" s="33"/>
      <c r="Q372" s="33"/>
      <c r="R372" s="33"/>
      <c r="S372" s="33">
        <v>57</v>
      </c>
      <c r="T372" s="33">
        <v>43</v>
      </c>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33"/>
      <c r="BE372" s="33"/>
      <c r="BF372" s="33"/>
      <c r="BG372" s="33"/>
      <c r="BH372" s="33"/>
      <c r="BI372" s="33"/>
      <c r="BJ372" s="33"/>
      <c r="BK372" s="33"/>
      <c r="BL372" s="33"/>
      <c r="BM372" s="33"/>
      <c r="BN372" s="33"/>
      <c r="BO372" s="33"/>
      <c r="BP372" s="33"/>
      <c r="BQ372" s="33"/>
      <c r="BR372" s="33"/>
      <c r="BS372" s="33"/>
      <c r="BT372" s="33"/>
      <c r="BU372" s="33"/>
      <c r="BV372" s="33"/>
      <c r="BW372" s="33"/>
      <c r="BX372" s="33"/>
      <c r="BY372" s="33"/>
      <c r="BZ372" s="33"/>
      <c r="CA372" s="33"/>
      <c r="CB372" s="33"/>
      <c r="CC372" s="33"/>
      <c r="CD372" s="33"/>
      <c r="CE372" s="33"/>
      <c r="CF372" s="33"/>
      <c r="CG372" s="33"/>
      <c r="CH372" s="33"/>
      <c r="CI372" s="33"/>
      <c r="CJ372" s="33"/>
      <c r="CK372" s="33"/>
      <c r="CL372" s="33"/>
      <c r="CM372" s="33"/>
      <c r="CN372" s="33"/>
      <c r="CO372" s="33"/>
      <c r="CP372" s="33"/>
      <c r="CQ372" s="33"/>
      <c r="CR372" s="33"/>
      <c r="CS372" s="33"/>
      <c r="CT372" s="33"/>
      <c r="CU372" s="33"/>
      <c r="CV372" s="33"/>
      <c r="CW372" s="33"/>
      <c r="CX372" s="33"/>
      <c r="CY372" s="33"/>
      <c r="CZ372" s="33"/>
      <c r="DA372" s="33"/>
      <c r="DB372" s="33"/>
      <c r="DC372" s="33"/>
      <c r="DD372" s="33"/>
      <c r="DE372" s="33"/>
      <c r="DF372" s="33"/>
      <c r="DG372" s="33"/>
      <c r="DH372" s="33"/>
      <c r="DI372" s="33"/>
      <c r="DJ372" s="33"/>
      <c r="DK372" s="33"/>
      <c r="DL372" s="33"/>
      <c r="DM372" s="33"/>
      <c r="DN372" s="33"/>
      <c r="DO372" s="33"/>
      <c r="DP372" s="33"/>
      <c r="DQ372" s="33"/>
      <c r="DR372" s="33"/>
      <c r="DS372" s="33"/>
      <c r="DT372" s="33"/>
      <c r="DU372" s="33"/>
      <c r="DV372" s="33"/>
      <c r="DW372" s="33"/>
      <c r="DX372" s="33"/>
      <c r="DY372" s="33"/>
      <c r="DZ372" s="33"/>
      <c r="EA372" s="33"/>
      <c r="EB372" s="33"/>
      <c r="EC372" s="33"/>
      <c r="ED372" s="33"/>
      <c r="EE372" s="33"/>
      <c r="EF372" s="33"/>
      <c r="EG372" s="33"/>
      <c r="EH372" s="33"/>
      <c r="EI372" s="33"/>
      <c r="EJ372" s="33"/>
      <c r="EK372" s="33"/>
      <c r="EL372" s="33"/>
      <c r="EM372" s="33"/>
      <c r="EN372" s="33"/>
      <c r="EO372" s="33">
        <v>0.43</v>
      </c>
      <c r="EP372" s="33">
        <v>5.59</v>
      </c>
      <c r="EQ372" s="33">
        <v>162.54</v>
      </c>
      <c r="ER372" s="33"/>
      <c r="ES372" s="33"/>
      <c r="ET372" s="33"/>
      <c r="EU372" s="33"/>
      <c r="EV372" s="33"/>
      <c r="EW372" s="33"/>
      <c r="EX372" s="33"/>
      <c r="EY372" s="33"/>
      <c r="EZ372" s="33"/>
      <c r="FA372" s="33"/>
      <c r="FB372" s="33"/>
      <c r="FC372" s="33"/>
      <c r="FD372" s="33"/>
      <c r="FE372" s="33"/>
      <c r="FF372" s="33"/>
      <c r="FG372" s="33"/>
      <c r="FH372" s="33"/>
      <c r="FI372" s="33"/>
      <c r="FJ372" s="33"/>
      <c r="FK372" s="33"/>
      <c r="FL372" s="33"/>
      <c r="FM372" s="33"/>
      <c r="FN372" s="33"/>
      <c r="FO372" s="33"/>
      <c r="FP372" s="33"/>
      <c r="FQ372" s="33"/>
      <c r="FR372" s="33"/>
      <c r="FS372" s="33"/>
      <c r="FT372" s="33"/>
      <c r="FU372" s="33"/>
      <c r="FV372" s="33"/>
      <c r="FW372" s="33"/>
      <c r="FX372" s="33"/>
      <c r="FY372" s="33"/>
      <c r="FZ372" s="33"/>
      <c r="GA372" s="33"/>
      <c r="GB372" s="33"/>
      <c r="GC372" s="33"/>
      <c r="GD372" s="33"/>
      <c r="GE372" s="33"/>
      <c r="GF372" s="33"/>
      <c r="GG372" s="33"/>
      <c r="GH372" s="33"/>
      <c r="GI372" s="33"/>
      <c r="GJ372" s="33"/>
      <c r="GK372" s="33"/>
      <c r="GL372" s="33"/>
      <c r="GM372" s="33"/>
      <c r="GN372" s="33"/>
      <c r="GO372" s="33"/>
      <c r="GP372" s="33"/>
      <c r="GQ372" s="33"/>
      <c r="GR372" s="33"/>
      <c r="GS372" s="33"/>
      <c r="GT372" s="33"/>
      <c r="GU372" s="33"/>
      <c r="GV372" s="33"/>
      <c r="GW372" s="33"/>
      <c r="GX372" s="33"/>
      <c r="GY372" s="33"/>
      <c r="GZ372" s="33"/>
      <c r="HA372" s="33"/>
      <c r="HB372" s="33"/>
      <c r="HC372" s="33"/>
      <c r="HD372" s="33"/>
      <c r="HE372" s="33"/>
      <c r="HF372" s="33"/>
      <c r="HG372" s="33"/>
      <c r="HH372" s="33"/>
      <c r="HI372" s="33"/>
      <c r="HJ372" s="33"/>
      <c r="HK372" s="33"/>
      <c r="HL372" s="33"/>
      <c r="HM372" s="33"/>
      <c r="HN372" s="33"/>
      <c r="HO372" s="33"/>
      <c r="HP372" s="33"/>
      <c r="HQ372" s="33"/>
      <c r="HR372" s="33"/>
      <c r="HS372" s="33"/>
      <c r="HT372" s="33"/>
      <c r="HU372" s="33"/>
      <c r="HV372" s="33"/>
      <c r="HW372" s="33"/>
      <c r="HX372" s="33"/>
      <c r="HY372" s="33"/>
      <c r="HZ372" s="33"/>
      <c r="IA372" s="33"/>
      <c r="IB372" s="33"/>
      <c r="IC372" s="33"/>
      <c r="ID372" s="33"/>
      <c r="IE372" s="33"/>
      <c r="IF372" s="33"/>
      <c r="IG372" s="33"/>
      <c r="IH372" s="33"/>
      <c r="II372" s="33"/>
      <c r="IJ372" s="33"/>
      <c r="IK372" s="33"/>
      <c r="IL372" s="33"/>
      <c r="IM372" s="33"/>
      <c r="IN372" s="33"/>
      <c r="IO372" s="33"/>
      <c r="IP372" s="33"/>
      <c r="IQ372" s="33"/>
      <c r="IR372" s="33"/>
      <c r="IS372" s="33"/>
      <c r="IT372" s="33"/>
      <c r="IU372" s="33"/>
      <c r="IV372" s="33"/>
      <c r="IW372" s="33"/>
      <c r="IX372" s="33"/>
      <c r="IY372" s="33"/>
      <c r="IZ372" s="33"/>
      <c r="JA372" s="33"/>
      <c r="JB372" s="33"/>
      <c r="JC372" s="33"/>
      <c r="JD372" s="33"/>
      <c r="JE372" s="33"/>
      <c r="JF372" s="33"/>
      <c r="JG372" s="33"/>
      <c r="JH372" s="33"/>
      <c r="JI372" s="33"/>
      <c r="JJ372" s="33"/>
      <c r="JK372" s="33"/>
      <c r="JL372" s="33"/>
      <c r="JM372" s="33"/>
      <c r="JN372" s="33"/>
      <c r="JO372" s="33"/>
      <c r="JP372" s="33"/>
      <c r="JQ372" s="33"/>
      <c r="JR372" s="33"/>
      <c r="KZ372" s="33"/>
      <c r="LA372" s="33"/>
      <c r="LB372" s="33"/>
      <c r="LC372" s="33"/>
      <c r="LD372" s="33"/>
      <c r="LE372" s="33"/>
      <c r="LF372" s="33"/>
      <c r="LG372" s="33"/>
      <c r="LH372" s="33"/>
      <c r="LI372" s="33"/>
      <c r="LJ372" s="33"/>
      <c r="LK372" s="33"/>
      <c r="LL372" s="33"/>
      <c r="LM372" s="33"/>
      <c r="LN372" s="33"/>
      <c r="LO372" s="33"/>
      <c r="LP372" s="44"/>
      <c r="LQ372" s="44"/>
      <c r="LR372" s="44"/>
      <c r="LS372" s="44"/>
      <c r="LT372" s="44"/>
      <c r="LU372" s="44"/>
      <c r="LV372" s="44"/>
    </row>
    <row r="373" spans="1:334" x14ac:dyDescent="0.2">
      <c r="A373" s="1" t="s">
        <v>8938</v>
      </c>
      <c r="B373" s="1" t="s">
        <v>8899</v>
      </c>
      <c r="D373" s="1" t="s">
        <v>8939</v>
      </c>
      <c r="E373" s="1" t="s">
        <v>8099</v>
      </c>
      <c r="F373" s="1" t="s">
        <v>688</v>
      </c>
      <c r="H373" s="1" t="s">
        <v>8929</v>
      </c>
      <c r="K373" s="1">
        <v>2014</v>
      </c>
      <c r="L373" s="1" t="s">
        <v>8901</v>
      </c>
      <c r="M373" s="1" t="s">
        <v>7657</v>
      </c>
      <c r="N373" s="17" t="s">
        <v>7945</v>
      </c>
      <c r="O373" s="33"/>
      <c r="P373" s="33"/>
      <c r="Q373" s="33"/>
      <c r="R373" s="33"/>
      <c r="S373" s="33">
        <v>58</v>
      </c>
      <c r="T373" s="33">
        <v>42</v>
      </c>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c r="CD373" s="33"/>
      <c r="CE373" s="33"/>
      <c r="CF373" s="33"/>
      <c r="CG373" s="33"/>
      <c r="CH373" s="33"/>
      <c r="CI373" s="33"/>
      <c r="CJ373" s="33"/>
      <c r="CK373" s="33"/>
      <c r="CL373" s="33"/>
      <c r="CM373" s="33"/>
      <c r="CN373" s="33"/>
      <c r="CO373" s="33"/>
      <c r="CP373" s="33"/>
      <c r="CQ373" s="33"/>
      <c r="CR373" s="33"/>
      <c r="CS373" s="33"/>
      <c r="CT373" s="33"/>
      <c r="CU373" s="33"/>
      <c r="CV373" s="33"/>
      <c r="CW373" s="33"/>
      <c r="CX373" s="33"/>
      <c r="CY373" s="33"/>
      <c r="CZ373" s="33"/>
      <c r="DA373" s="33"/>
      <c r="DB373" s="33"/>
      <c r="DC373" s="33"/>
      <c r="DD373" s="33"/>
      <c r="DE373" s="33"/>
      <c r="DF373" s="33"/>
      <c r="DG373" s="33"/>
      <c r="DH373" s="33"/>
      <c r="DI373" s="33"/>
      <c r="DJ373" s="33"/>
      <c r="DK373" s="33"/>
      <c r="DL373" s="33"/>
      <c r="DM373" s="33"/>
      <c r="DN373" s="33"/>
      <c r="DO373" s="33"/>
      <c r="DP373" s="33"/>
      <c r="DQ373" s="33"/>
      <c r="DR373" s="33"/>
      <c r="DS373" s="33"/>
      <c r="DT373" s="33"/>
      <c r="DU373" s="33"/>
      <c r="DV373" s="33"/>
      <c r="DW373" s="33"/>
      <c r="DX373" s="33"/>
      <c r="DY373" s="33"/>
      <c r="DZ373" s="33"/>
      <c r="EA373" s="33"/>
      <c r="EB373" s="33"/>
      <c r="EC373" s="33"/>
      <c r="ED373" s="33"/>
      <c r="EE373" s="33"/>
      <c r="EF373" s="33"/>
      <c r="EG373" s="33"/>
      <c r="EH373" s="33"/>
      <c r="EI373" s="33"/>
      <c r="EJ373" s="33"/>
      <c r="EK373" s="33"/>
      <c r="EL373" s="33"/>
      <c r="EM373" s="33"/>
      <c r="EN373" s="33"/>
      <c r="EO373" s="33" t="s">
        <v>17</v>
      </c>
      <c r="EP373" s="33">
        <v>4.2</v>
      </c>
      <c r="EQ373" s="33">
        <v>159.6</v>
      </c>
      <c r="ER373" s="33"/>
      <c r="ES373" s="33"/>
      <c r="ET373" s="33"/>
      <c r="EU373" s="33"/>
      <c r="EV373" s="33"/>
      <c r="EW373" s="33"/>
      <c r="EX373" s="33"/>
      <c r="EY373" s="33"/>
      <c r="EZ373" s="33"/>
      <c r="FA373" s="33"/>
      <c r="FB373" s="33"/>
      <c r="FC373" s="33"/>
      <c r="FD373" s="33"/>
      <c r="FE373" s="33"/>
      <c r="FF373" s="33"/>
      <c r="FG373" s="33"/>
      <c r="FH373" s="33"/>
      <c r="FI373" s="33"/>
      <c r="FJ373" s="33"/>
      <c r="FK373" s="33"/>
      <c r="FL373" s="33"/>
      <c r="FM373" s="33"/>
      <c r="FN373" s="33"/>
      <c r="FO373" s="33"/>
      <c r="FP373" s="33"/>
      <c r="FQ373" s="33"/>
      <c r="FR373" s="33"/>
      <c r="FS373" s="33"/>
      <c r="FT373" s="33"/>
      <c r="FU373" s="33"/>
      <c r="FV373" s="33"/>
      <c r="FW373" s="33"/>
      <c r="FX373" s="33"/>
      <c r="FY373" s="33"/>
      <c r="FZ373" s="33"/>
      <c r="GA373" s="33"/>
      <c r="GB373" s="33"/>
      <c r="GC373" s="33"/>
      <c r="GD373" s="33"/>
      <c r="GE373" s="33"/>
      <c r="GF373" s="33"/>
      <c r="GG373" s="33"/>
      <c r="GH373" s="33"/>
      <c r="GI373" s="33"/>
      <c r="GJ373" s="33"/>
      <c r="GK373" s="33"/>
      <c r="GL373" s="33"/>
      <c r="GM373" s="33"/>
      <c r="GN373" s="33"/>
      <c r="GO373" s="33"/>
      <c r="GP373" s="33"/>
      <c r="GQ373" s="33"/>
      <c r="GR373" s="33"/>
      <c r="GS373" s="33"/>
      <c r="GT373" s="33"/>
      <c r="GU373" s="33"/>
      <c r="GV373" s="33"/>
      <c r="GW373" s="33"/>
      <c r="GX373" s="33"/>
      <c r="GY373" s="33"/>
      <c r="GZ373" s="33"/>
      <c r="HA373" s="33"/>
      <c r="HB373" s="33"/>
      <c r="HC373" s="33"/>
      <c r="HD373" s="33"/>
      <c r="HE373" s="33"/>
      <c r="HF373" s="33"/>
      <c r="HG373" s="33"/>
      <c r="HH373" s="33"/>
      <c r="HI373" s="33"/>
      <c r="HJ373" s="33"/>
      <c r="HK373" s="33"/>
      <c r="HL373" s="33"/>
      <c r="HM373" s="33"/>
      <c r="HN373" s="33"/>
      <c r="HO373" s="33"/>
      <c r="HP373" s="33"/>
      <c r="HQ373" s="33"/>
      <c r="HR373" s="33"/>
      <c r="HS373" s="33"/>
      <c r="HT373" s="33"/>
      <c r="HU373" s="33"/>
      <c r="HV373" s="33"/>
      <c r="HW373" s="33"/>
      <c r="HX373" s="33"/>
      <c r="HY373" s="33"/>
      <c r="HZ373" s="33"/>
      <c r="IA373" s="33"/>
      <c r="IB373" s="33"/>
      <c r="IC373" s="33"/>
      <c r="ID373" s="33"/>
      <c r="IE373" s="33"/>
      <c r="IF373" s="33"/>
      <c r="IG373" s="33"/>
      <c r="IH373" s="33"/>
      <c r="II373" s="33"/>
      <c r="IJ373" s="33"/>
      <c r="IK373" s="33"/>
      <c r="IL373" s="33"/>
      <c r="IM373" s="33"/>
      <c r="IN373" s="33"/>
      <c r="IO373" s="33"/>
      <c r="IP373" s="33"/>
      <c r="IQ373" s="33"/>
      <c r="IR373" s="33"/>
      <c r="IS373" s="33"/>
      <c r="IT373" s="33"/>
      <c r="IU373" s="33"/>
      <c r="IV373" s="33"/>
      <c r="IW373" s="33"/>
      <c r="IX373" s="33"/>
      <c r="IY373" s="33"/>
      <c r="IZ373" s="33"/>
      <c r="JA373" s="33"/>
      <c r="JB373" s="33"/>
      <c r="JC373" s="33"/>
      <c r="JD373" s="33"/>
      <c r="JE373" s="33"/>
      <c r="JF373" s="33"/>
      <c r="JG373" s="33"/>
      <c r="JH373" s="33"/>
      <c r="JI373" s="33"/>
      <c r="JJ373" s="33"/>
      <c r="JK373" s="33"/>
      <c r="JL373" s="33"/>
      <c r="JM373" s="33"/>
      <c r="JN373" s="33"/>
      <c r="JO373" s="33"/>
      <c r="JP373" s="33"/>
      <c r="JQ373" s="33"/>
      <c r="JR373" s="33"/>
      <c r="KZ373" s="33"/>
      <c r="LA373" s="33"/>
      <c r="LB373" s="33"/>
      <c r="LC373" s="33"/>
      <c r="LD373" s="33"/>
      <c r="LE373" s="33"/>
      <c r="LF373" s="33"/>
      <c r="LG373" s="33"/>
      <c r="LH373" s="33"/>
      <c r="LI373" s="33"/>
      <c r="LJ373" s="33"/>
      <c r="LK373" s="33"/>
      <c r="LL373" s="33"/>
      <c r="LM373" s="33"/>
      <c r="LN373" s="33"/>
      <c r="LO373" s="33"/>
      <c r="LP373" s="44"/>
      <c r="LQ373" s="44"/>
      <c r="LR373" s="44"/>
      <c r="LS373" s="44"/>
      <c r="LT373" s="44"/>
      <c r="LU373" s="44"/>
      <c r="LV373" s="44"/>
    </row>
    <row r="374" spans="1:334" x14ac:dyDescent="0.2">
      <c r="A374" s="1" t="s">
        <v>8940</v>
      </c>
      <c r="B374" s="1" t="s">
        <v>8899</v>
      </c>
      <c r="D374" s="1" t="s">
        <v>8941</v>
      </c>
      <c r="E374" s="1" t="s">
        <v>8099</v>
      </c>
      <c r="F374" s="1" t="s">
        <v>688</v>
      </c>
      <c r="H374" s="1" t="s">
        <v>8929</v>
      </c>
      <c r="K374" s="1">
        <v>2014</v>
      </c>
      <c r="L374" s="1" t="s">
        <v>8901</v>
      </c>
      <c r="M374" s="1" t="s">
        <v>7657</v>
      </c>
      <c r="N374" s="17" t="s">
        <v>7945</v>
      </c>
      <c r="O374" s="33"/>
      <c r="P374" s="33"/>
      <c r="Q374" s="33"/>
      <c r="R374" s="33"/>
      <c r="S374" s="33">
        <v>59</v>
      </c>
      <c r="T374" s="33">
        <v>41</v>
      </c>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33"/>
      <c r="BE374" s="33"/>
      <c r="BF374" s="33"/>
      <c r="BG374" s="33"/>
      <c r="BH374" s="33"/>
      <c r="BI374" s="33"/>
      <c r="BJ374" s="33"/>
      <c r="BK374" s="33"/>
      <c r="BL374" s="33"/>
      <c r="BM374" s="33"/>
      <c r="BN374" s="33"/>
      <c r="BO374" s="33"/>
      <c r="BP374" s="33"/>
      <c r="BQ374" s="33"/>
      <c r="BR374" s="33"/>
      <c r="BS374" s="33"/>
      <c r="BT374" s="33"/>
      <c r="BU374" s="33"/>
      <c r="BV374" s="33"/>
      <c r="BW374" s="33"/>
      <c r="BX374" s="33"/>
      <c r="BY374" s="33"/>
      <c r="BZ374" s="33"/>
      <c r="CA374" s="33"/>
      <c r="CB374" s="33"/>
      <c r="CC374" s="33"/>
      <c r="CD374" s="33"/>
      <c r="CE374" s="33"/>
      <c r="CF374" s="33"/>
      <c r="CG374" s="33"/>
      <c r="CH374" s="33"/>
      <c r="CI374" s="33"/>
      <c r="CJ374" s="33"/>
      <c r="CK374" s="33"/>
      <c r="CL374" s="33"/>
      <c r="CM374" s="33"/>
      <c r="CN374" s="33"/>
      <c r="CO374" s="33"/>
      <c r="CP374" s="33"/>
      <c r="CQ374" s="33"/>
      <c r="CR374" s="33"/>
      <c r="CS374" s="33"/>
      <c r="CT374" s="33"/>
      <c r="CU374" s="33"/>
      <c r="CV374" s="33"/>
      <c r="CW374" s="33"/>
      <c r="CX374" s="33"/>
      <c r="CY374" s="33"/>
      <c r="CZ374" s="33"/>
      <c r="DA374" s="33"/>
      <c r="DB374" s="33"/>
      <c r="DC374" s="33"/>
      <c r="DD374" s="33"/>
      <c r="DE374" s="33"/>
      <c r="DF374" s="33"/>
      <c r="DG374" s="33"/>
      <c r="DH374" s="33"/>
      <c r="DI374" s="33"/>
      <c r="DJ374" s="33"/>
      <c r="DK374" s="33"/>
      <c r="DL374" s="33"/>
      <c r="DM374" s="33"/>
      <c r="DN374" s="33"/>
      <c r="DO374" s="33"/>
      <c r="DP374" s="33"/>
      <c r="DQ374" s="33"/>
      <c r="DR374" s="33"/>
      <c r="DS374" s="33"/>
      <c r="DT374" s="33"/>
      <c r="DU374" s="33"/>
      <c r="DV374" s="33"/>
      <c r="DW374" s="33"/>
      <c r="DX374" s="33"/>
      <c r="DY374" s="33"/>
      <c r="DZ374" s="33"/>
      <c r="EA374" s="33"/>
      <c r="EB374" s="33"/>
      <c r="EC374" s="33"/>
      <c r="ED374" s="33"/>
      <c r="EE374" s="33"/>
      <c r="EF374" s="33"/>
      <c r="EG374" s="33"/>
      <c r="EH374" s="33"/>
      <c r="EI374" s="33"/>
      <c r="EJ374" s="33"/>
      <c r="EK374" s="33"/>
      <c r="EL374" s="33"/>
      <c r="EM374" s="33"/>
      <c r="EN374" s="33"/>
      <c r="EO374" s="33">
        <v>1.64</v>
      </c>
      <c r="EP374" s="33">
        <v>4.92</v>
      </c>
      <c r="EQ374" s="33">
        <v>224.27</v>
      </c>
      <c r="ER374" s="33"/>
      <c r="ES374" s="33"/>
      <c r="ET374" s="33"/>
      <c r="EU374" s="33"/>
      <c r="EV374" s="33"/>
      <c r="EW374" s="33"/>
      <c r="EX374" s="33"/>
      <c r="EY374" s="33"/>
      <c r="EZ374" s="33"/>
      <c r="FA374" s="33"/>
      <c r="FB374" s="33"/>
      <c r="FC374" s="33"/>
      <c r="FD374" s="33"/>
      <c r="FE374" s="33"/>
      <c r="FF374" s="33"/>
      <c r="FG374" s="33"/>
      <c r="FH374" s="33"/>
      <c r="FI374" s="33"/>
      <c r="FJ374" s="33"/>
      <c r="FK374" s="33"/>
      <c r="FL374" s="33"/>
      <c r="FM374" s="33"/>
      <c r="FN374" s="33"/>
      <c r="FO374" s="33"/>
      <c r="FP374" s="33"/>
      <c r="FQ374" s="33"/>
      <c r="FR374" s="33"/>
      <c r="FS374" s="33"/>
      <c r="FT374" s="33"/>
      <c r="FU374" s="33"/>
      <c r="FV374" s="33"/>
      <c r="FW374" s="33"/>
      <c r="FX374" s="33"/>
      <c r="FY374" s="33"/>
      <c r="FZ374" s="33"/>
      <c r="GA374" s="33"/>
      <c r="GB374" s="33"/>
      <c r="GC374" s="33"/>
      <c r="GD374" s="33"/>
      <c r="GE374" s="33"/>
      <c r="GF374" s="33"/>
      <c r="GG374" s="33"/>
      <c r="GH374" s="33"/>
      <c r="GI374" s="33"/>
      <c r="GJ374" s="33"/>
      <c r="GK374" s="33"/>
      <c r="GL374" s="33"/>
      <c r="GM374" s="33"/>
      <c r="GN374" s="33"/>
      <c r="GO374" s="33"/>
      <c r="GP374" s="33"/>
      <c r="GQ374" s="33"/>
      <c r="GR374" s="33"/>
      <c r="GS374" s="33"/>
      <c r="GT374" s="33"/>
      <c r="GU374" s="33"/>
      <c r="GV374" s="33"/>
      <c r="GW374" s="33"/>
      <c r="GX374" s="33"/>
      <c r="GY374" s="33"/>
      <c r="GZ374" s="33"/>
      <c r="HA374" s="33"/>
      <c r="HB374" s="33"/>
      <c r="HC374" s="33"/>
      <c r="HD374" s="33"/>
      <c r="HE374" s="33"/>
      <c r="HF374" s="33"/>
      <c r="HG374" s="33"/>
      <c r="HH374" s="33"/>
      <c r="HI374" s="33"/>
      <c r="HJ374" s="33"/>
      <c r="HK374" s="33"/>
      <c r="HL374" s="33"/>
      <c r="HM374" s="33"/>
      <c r="HN374" s="33"/>
      <c r="HO374" s="33"/>
      <c r="HP374" s="33"/>
      <c r="HQ374" s="33"/>
      <c r="HR374" s="33"/>
      <c r="HS374" s="33"/>
      <c r="HT374" s="33"/>
      <c r="HU374" s="33"/>
      <c r="HV374" s="33"/>
      <c r="HW374" s="33"/>
      <c r="HX374" s="33"/>
      <c r="HY374" s="33"/>
      <c r="HZ374" s="33"/>
      <c r="IA374" s="33"/>
      <c r="IB374" s="33"/>
      <c r="IC374" s="33"/>
      <c r="ID374" s="33"/>
      <c r="IE374" s="33"/>
      <c r="IF374" s="33"/>
      <c r="IG374" s="33"/>
      <c r="IH374" s="33"/>
      <c r="II374" s="33"/>
      <c r="IJ374" s="33"/>
      <c r="IK374" s="33"/>
      <c r="IL374" s="33"/>
      <c r="IM374" s="33"/>
      <c r="IN374" s="33"/>
      <c r="IO374" s="33"/>
      <c r="IP374" s="33"/>
      <c r="IQ374" s="33"/>
      <c r="IR374" s="33"/>
      <c r="IS374" s="33"/>
      <c r="IT374" s="33"/>
      <c r="IU374" s="33"/>
      <c r="IV374" s="33"/>
      <c r="IW374" s="33"/>
      <c r="IX374" s="33"/>
      <c r="IY374" s="33"/>
      <c r="IZ374" s="33"/>
      <c r="JA374" s="33"/>
      <c r="JB374" s="33"/>
      <c r="JC374" s="33"/>
      <c r="JD374" s="33"/>
      <c r="JE374" s="33"/>
      <c r="JF374" s="33"/>
      <c r="JG374" s="33"/>
      <c r="JH374" s="33"/>
      <c r="JI374" s="33"/>
      <c r="JJ374" s="33"/>
      <c r="JK374" s="33"/>
      <c r="JL374" s="33"/>
      <c r="JM374" s="33"/>
      <c r="JN374" s="33"/>
      <c r="JO374" s="33"/>
      <c r="JP374" s="33"/>
      <c r="JQ374" s="33"/>
      <c r="JR374" s="33"/>
      <c r="KZ374" s="33"/>
      <c r="LA374" s="33"/>
      <c r="LB374" s="33"/>
      <c r="LC374" s="33"/>
      <c r="LD374" s="33"/>
      <c r="LE374" s="33"/>
      <c r="LF374" s="33"/>
      <c r="LG374" s="33"/>
      <c r="LH374" s="33"/>
      <c r="LI374" s="33"/>
      <c r="LJ374" s="33"/>
      <c r="LK374" s="33"/>
      <c r="LL374" s="33"/>
      <c r="LM374" s="33"/>
      <c r="LN374" s="33"/>
      <c r="LO374" s="33"/>
      <c r="LP374" s="44"/>
      <c r="LQ374" s="44"/>
      <c r="LR374" s="44"/>
      <c r="LS374" s="44"/>
      <c r="LT374" s="44"/>
      <c r="LU374" s="44"/>
      <c r="LV374" s="44"/>
    </row>
    <row r="375" spans="1:334" x14ac:dyDescent="0.2">
      <c r="A375" s="1" t="s">
        <v>8942</v>
      </c>
      <c r="B375" s="1" t="s">
        <v>8899</v>
      </c>
      <c r="D375" s="1" t="s">
        <v>8943</v>
      </c>
      <c r="E375" s="1" t="s">
        <v>8099</v>
      </c>
      <c r="F375" s="1" t="s">
        <v>688</v>
      </c>
      <c r="H375" s="1" t="s">
        <v>8929</v>
      </c>
      <c r="K375" s="1">
        <v>2014</v>
      </c>
      <c r="L375" s="1" t="s">
        <v>8901</v>
      </c>
      <c r="M375" s="1" t="s">
        <v>7657</v>
      </c>
      <c r="N375" s="17" t="s">
        <v>7945</v>
      </c>
      <c r="O375" s="33"/>
      <c r="P375" s="33"/>
      <c r="Q375" s="33"/>
      <c r="R375" s="33"/>
      <c r="S375" s="33">
        <v>62</v>
      </c>
      <c r="T375" s="33">
        <v>38</v>
      </c>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c r="CA375" s="33"/>
      <c r="CB375" s="33"/>
      <c r="CC375" s="33"/>
      <c r="CD375" s="33"/>
      <c r="CE375" s="33"/>
      <c r="CF375" s="33"/>
      <c r="CG375" s="33"/>
      <c r="CH375" s="33"/>
      <c r="CI375" s="33"/>
      <c r="CJ375" s="33"/>
      <c r="CK375" s="33"/>
      <c r="CL375" s="33"/>
      <c r="CM375" s="33"/>
      <c r="CN375" s="33"/>
      <c r="CO375" s="33"/>
      <c r="CP375" s="33"/>
      <c r="CQ375" s="33"/>
      <c r="CR375" s="33"/>
      <c r="CS375" s="33"/>
      <c r="CT375" s="33"/>
      <c r="CU375" s="33"/>
      <c r="CV375" s="33"/>
      <c r="CW375" s="33"/>
      <c r="CX375" s="33"/>
      <c r="CY375" s="33"/>
      <c r="CZ375" s="33"/>
      <c r="DA375" s="33"/>
      <c r="DB375" s="33"/>
      <c r="DC375" s="33"/>
      <c r="DD375" s="33"/>
      <c r="DE375" s="33"/>
      <c r="DF375" s="33"/>
      <c r="DG375" s="33"/>
      <c r="DH375" s="33"/>
      <c r="DI375" s="33"/>
      <c r="DJ375" s="33"/>
      <c r="DK375" s="33"/>
      <c r="DL375" s="33"/>
      <c r="DM375" s="33"/>
      <c r="DN375" s="33"/>
      <c r="DO375" s="33"/>
      <c r="DP375" s="33"/>
      <c r="DQ375" s="33"/>
      <c r="DR375" s="33"/>
      <c r="DS375" s="33"/>
      <c r="DT375" s="33"/>
      <c r="DU375" s="33"/>
      <c r="DV375" s="33"/>
      <c r="DW375" s="33"/>
      <c r="DX375" s="33"/>
      <c r="DY375" s="33"/>
      <c r="DZ375" s="33"/>
      <c r="EA375" s="33"/>
      <c r="EB375" s="33"/>
      <c r="EC375" s="33"/>
      <c r="ED375" s="33"/>
      <c r="EE375" s="33"/>
      <c r="EF375" s="33"/>
      <c r="EG375" s="33"/>
      <c r="EH375" s="33"/>
      <c r="EI375" s="33"/>
      <c r="EJ375" s="33"/>
      <c r="EK375" s="33"/>
      <c r="EL375" s="33"/>
      <c r="EM375" s="33"/>
      <c r="EN375" s="33"/>
      <c r="EO375" s="33">
        <v>5.32</v>
      </c>
      <c r="EP375" s="33">
        <v>6.46</v>
      </c>
      <c r="EQ375" s="33">
        <v>294.5</v>
      </c>
      <c r="ER375" s="33"/>
      <c r="ES375" s="33"/>
      <c r="ET375" s="33"/>
      <c r="EU375" s="33"/>
      <c r="EV375" s="33"/>
      <c r="EW375" s="33"/>
      <c r="EX375" s="33"/>
      <c r="EY375" s="33"/>
      <c r="EZ375" s="33"/>
      <c r="FA375" s="33"/>
      <c r="FB375" s="33"/>
      <c r="FC375" s="33"/>
      <c r="FD375" s="33"/>
      <c r="FE375" s="33"/>
      <c r="FF375" s="33"/>
      <c r="FG375" s="33"/>
      <c r="FH375" s="33"/>
      <c r="FI375" s="33"/>
      <c r="FJ375" s="33"/>
      <c r="FK375" s="33"/>
      <c r="FL375" s="33"/>
      <c r="FM375" s="33"/>
      <c r="FN375" s="33"/>
      <c r="FO375" s="33"/>
      <c r="FP375" s="33"/>
      <c r="FQ375" s="33"/>
      <c r="FR375" s="33"/>
      <c r="FS375" s="33"/>
      <c r="FT375" s="33"/>
      <c r="FU375" s="33"/>
      <c r="FV375" s="33"/>
      <c r="FW375" s="33"/>
      <c r="FX375" s="33"/>
      <c r="FY375" s="33"/>
      <c r="FZ375" s="33"/>
      <c r="GA375" s="33"/>
      <c r="GB375" s="33"/>
      <c r="GC375" s="33"/>
      <c r="GD375" s="33"/>
      <c r="GE375" s="33"/>
      <c r="GF375" s="33"/>
      <c r="GG375" s="33"/>
      <c r="GH375" s="33"/>
      <c r="GI375" s="33"/>
      <c r="GJ375" s="33"/>
      <c r="GK375" s="33"/>
      <c r="GL375" s="33"/>
      <c r="GM375" s="33"/>
      <c r="GN375" s="33"/>
      <c r="GO375" s="33"/>
      <c r="GP375" s="33"/>
      <c r="GQ375" s="33"/>
      <c r="GR375" s="33"/>
      <c r="GS375" s="33"/>
      <c r="GT375" s="33"/>
      <c r="GU375" s="33"/>
      <c r="GV375" s="33"/>
      <c r="GW375" s="33"/>
      <c r="GX375" s="33"/>
      <c r="GY375" s="33"/>
      <c r="GZ375" s="33"/>
      <c r="HA375" s="33"/>
      <c r="HB375" s="33"/>
      <c r="HC375" s="33"/>
      <c r="HD375" s="33"/>
      <c r="HE375" s="33"/>
      <c r="HF375" s="33"/>
      <c r="HG375" s="33"/>
      <c r="HH375" s="33"/>
      <c r="HI375" s="33"/>
      <c r="HJ375" s="33"/>
      <c r="HK375" s="33"/>
      <c r="HL375" s="33"/>
      <c r="HM375" s="33"/>
      <c r="HN375" s="33"/>
      <c r="HO375" s="33"/>
      <c r="HP375" s="33"/>
      <c r="HQ375" s="33"/>
      <c r="HR375" s="33"/>
      <c r="HS375" s="33"/>
      <c r="HT375" s="33"/>
      <c r="HU375" s="33"/>
      <c r="HV375" s="33"/>
      <c r="HW375" s="33"/>
      <c r="HX375" s="33"/>
      <c r="HY375" s="33"/>
      <c r="HZ375" s="33"/>
      <c r="IA375" s="33"/>
      <c r="IB375" s="33"/>
      <c r="IC375" s="33"/>
      <c r="ID375" s="33"/>
      <c r="IE375" s="33"/>
      <c r="IF375" s="33"/>
      <c r="IG375" s="33"/>
      <c r="IH375" s="33"/>
      <c r="II375" s="33"/>
      <c r="IJ375" s="33"/>
      <c r="IK375" s="33"/>
      <c r="IL375" s="33"/>
      <c r="IM375" s="33"/>
      <c r="IN375" s="33"/>
      <c r="IO375" s="33"/>
      <c r="IP375" s="33"/>
      <c r="IQ375" s="33"/>
      <c r="IR375" s="33"/>
      <c r="IS375" s="33"/>
      <c r="IT375" s="33"/>
      <c r="IU375" s="33"/>
      <c r="IV375" s="33"/>
      <c r="IW375" s="33"/>
      <c r="IX375" s="33"/>
      <c r="IY375" s="33"/>
      <c r="IZ375" s="33"/>
      <c r="JA375" s="33"/>
      <c r="JB375" s="33"/>
      <c r="JC375" s="33"/>
      <c r="JD375" s="33"/>
      <c r="JE375" s="33"/>
      <c r="JF375" s="33"/>
      <c r="JG375" s="33"/>
      <c r="JH375" s="33"/>
      <c r="JI375" s="33"/>
      <c r="JJ375" s="33"/>
      <c r="JK375" s="33"/>
      <c r="JL375" s="33"/>
      <c r="JM375" s="33"/>
      <c r="JN375" s="33"/>
      <c r="JO375" s="33"/>
      <c r="JP375" s="33"/>
      <c r="JQ375" s="33"/>
      <c r="JR375" s="33"/>
      <c r="KZ375" s="33"/>
      <c r="LA375" s="33"/>
      <c r="LB375" s="33"/>
      <c r="LC375" s="33"/>
      <c r="LD375" s="33"/>
      <c r="LE375" s="33"/>
      <c r="LF375" s="33"/>
      <c r="LG375" s="33"/>
      <c r="LH375" s="33"/>
      <c r="LI375" s="33"/>
      <c r="LJ375" s="33"/>
      <c r="LK375" s="33"/>
      <c r="LL375" s="33"/>
      <c r="LM375" s="33"/>
      <c r="LN375" s="33"/>
      <c r="LO375" s="33"/>
      <c r="LP375" s="44"/>
      <c r="LQ375" s="44"/>
      <c r="LR375" s="44"/>
      <c r="LS375" s="44"/>
      <c r="LT375" s="44"/>
      <c r="LU375" s="44"/>
      <c r="LV375" s="44"/>
    </row>
    <row r="376" spans="1:334" x14ac:dyDescent="0.2">
      <c r="A376" s="1" t="s">
        <v>8944</v>
      </c>
      <c r="B376" s="1" t="s">
        <v>8945</v>
      </c>
      <c r="D376" s="1" t="s">
        <v>8946</v>
      </c>
      <c r="E376" s="1" t="s">
        <v>7</v>
      </c>
      <c r="F376" s="1" t="s">
        <v>8187</v>
      </c>
      <c r="G376" s="1" t="s">
        <v>8947</v>
      </c>
      <c r="H376" s="1" t="s">
        <v>8948</v>
      </c>
      <c r="J376" s="1" t="s">
        <v>8949</v>
      </c>
      <c r="K376" s="1">
        <v>2014</v>
      </c>
      <c r="L376" s="1" t="s">
        <v>8950</v>
      </c>
      <c r="M376" s="1" t="s">
        <v>7659</v>
      </c>
      <c r="N376" s="17" t="s">
        <v>7945</v>
      </c>
      <c r="O376" s="33"/>
      <c r="P376" s="33"/>
      <c r="Q376" s="33"/>
      <c r="R376" s="33"/>
      <c r="S376" s="33">
        <v>8.6999999999999993</v>
      </c>
      <c r="T376" s="33"/>
      <c r="U376" s="33"/>
      <c r="V376" s="33"/>
      <c r="W376" s="33"/>
      <c r="X376" s="33"/>
      <c r="Y376" s="33"/>
      <c r="Z376" s="33">
        <v>20.085999999999999</v>
      </c>
      <c r="AA376" s="33"/>
      <c r="AB376" s="33"/>
      <c r="AC376" s="33">
        <v>1.0955999999999999</v>
      </c>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v>2.9216000000000002</v>
      </c>
      <c r="BR376" s="33"/>
      <c r="BS376" s="33"/>
      <c r="BT376" s="33"/>
      <c r="BU376" s="33"/>
      <c r="BV376" s="33"/>
      <c r="BW376" s="33"/>
      <c r="BX376" s="33"/>
      <c r="BY376" s="33"/>
      <c r="BZ376" s="33"/>
      <c r="CA376" s="33"/>
      <c r="CB376" s="33"/>
      <c r="CC376" s="33"/>
      <c r="CD376" s="33"/>
      <c r="CE376" s="33"/>
      <c r="CF376" s="33"/>
      <c r="CG376" s="33"/>
      <c r="CH376" s="33"/>
      <c r="CI376" s="33"/>
      <c r="CJ376" s="33"/>
      <c r="CK376" s="33"/>
      <c r="CL376" s="33"/>
      <c r="CM376" s="33"/>
      <c r="CN376" s="33"/>
      <c r="CO376" s="33"/>
      <c r="CP376" s="33">
        <v>337.81</v>
      </c>
      <c r="CQ376" s="33"/>
      <c r="CR376" s="33">
        <v>0.73039999999999994</v>
      </c>
      <c r="CS376" s="33">
        <v>7.2145259999999993</v>
      </c>
      <c r="CT376" s="33"/>
      <c r="CU376" s="33"/>
      <c r="CV376" s="33">
        <v>155.21</v>
      </c>
      <c r="CW376" s="33">
        <v>1.7803499999999999</v>
      </c>
      <c r="CX376" s="33"/>
      <c r="CY376" s="33">
        <v>547.79999999999995</v>
      </c>
      <c r="CZ376" s="33"/>
      <c r="DA376" s="33">
        <v>3.8948580000000002</v>
      </c>
      <c r="DB376" s="33"/>
      <c r="DC376" s="33"/>
      <c r="DD376" s="33"/>
      <c r="DE376" s="33"/>
      <c r="DF376" s="33"/>
      <c r="DG376" s="33"/>
      <c r="DH376" s="33"/>
      <c r="DI376" s="33"/>
      <c r="DJ376" s="33"/>
      <c r="DK376" s="33"/>
      <c r="DL376" s="33"/>
      <c r="DM376" s="33"/>
      <c r="DN376" s="33"/>
      <c r="DO376" s="33"/>
      <c r="DP376" s="33"/>
      <c r="DQ376" s="33"/>
      <c r="DR376" s="33"/>
      <c r="DS376" s="33"/>
      <c r="DT376" s="33"/>
      <c r="DU376" s="33"/>
      <c r="DV376" s="33"/>
      <c r="DW376" s="33"/>
      <c r="DX376" s="33"/>
      <c r="DY376" s="33"/>
      <c r="DZ376" s="33"/>
      <c r="EA376" s="33"/>
      <c r="EB376" s="33"/>
      <c r="EC376" s="33"/>
      <c r="ED376" s="33"/>
      <c r="EE376" s="33"/>
      <c r="EF376" s="33"/>
      <c r="EG376" s="33"/>
      <c r="EH376" s="33"/>
      <c r="EI376" s="33"/>
      <c r="EJ376" s="33"/>
      <c r="EK376" s="33"/>
      <c r="EL376" s="33"/>
      <c r="EM376" s="33"/>
      <c r="EN376" s="33"/>
      <c r="EO376" s="33"/>
      <c r="EP376" s="33"/>
      <c r="EQ376" s="33"/>
      <c r="ER376" s="33"/>
      <c r="ES376" s="33"/>
      <c r="ET376" s="33"/>
      <c r="EU376" s="33"/>
      <c r="EV376" s="33"/>
      <c r="EW376" s="33"/>
      <c r="EX376" s="33"/>
      <c r="EY376" s="33"/>
      <c r="EZ376" s="33"/>
      <c r="FA376" s="33"/>
      <c r="FB376" s="33"/>
      <c r="FC376" s="33"/>
      <c r="FD376" s="33"/>
      <c r="FE376" s="33"/>
      <c r="FF376" s="33"/>
      <c r="FG376" s="33"/>
      <c r="FH376" s="33"/>
      <c r="FI376" s="33"/>
      <c r="FJ376" s="33"/>
      <c r="FK376" s="33"/>
      <c r="FL376" s="33"/>
      <c r="FM376" s="33"/>
      <c r="FN376" s="33"/>
      <c r="FO376" s="33"/>
      <c r="FP376" s="33"/>
      <c r="FQ376" s="33"/>
      <c r="FR376" s="33"/>
      <c r="FS376" s="33"/>
      <c r="FT376" s="33"/>
      <c r="FU376" s="33"/>
      <c r="FV376" s="33"/>
      <c r="FW376" s="33"/>
      <c r="FX376" s="33"/>
      <c r="FY376" s="33"/>
      <c r="FZ376" s="33"/>
      <c r="GA376" s="33"/>
      <c r="GB376" s="33"/>
      <c r="GC376" s="33"/>
      <c r="GD376" s="33"/>
      <c r="GE376" s="33"/>
      <c r="GF376" s="33"/>
      <c r="GG376" s="33"/>
      <c r="GH376" s="33"/>
      <c r="GI376" s="33"/>
      <c r="GJ376" s="33"/>
      <c r="GK376" s="33"/>
      <c r="GL376" s="33"/>
      <c r="GM376" s="33"/>
      <c r="GN376" s="33"/>
      <c r="GO376" s="33"/>
      <c r="GP376" s="33"/>
      <c r="GQ376" s="33"/>
      <c r="GR376" s="33"/>
      <c r="GS376" s="33"/>
      <c r="GT376" s="33"/>
      <c r="GU376" s="33"/>
      <c r="GV376" s="33"/>
      <c r="GW376" s="33"/>
      <c r="GX376" s="33"/>
      <c r="GY376" s="33"/>
      <c r="GZ376" s="33"/>
      <c r="HA376" s="33"/>
      <c r="HB376" s="33"/>
      <c r="HC376" s="33"/>
      <c r="HD376" s="33"/>
      <c r="HE376" s="33"/>
      <c r="HF376" s="33"/>
      <c r="HG376" s="33"/>
      <c r="HH376" s="33"/>
      <c r="HI376" s="33"/>
      <c r="HJ376" s="33"/>
      <c r="HK376" s="33"/>
      <c r="HL376" s="33"/>
      <c r="HM376" s="33"/>
      <c r="HN376" s="33"/>
      <c r="HO376" s="33"/>
      <c r="HP376" s="33"/>
      <c r="HQ376" s="33"/>
      <c r="HR376" s="33"/>
      <c r="HS376" s="33"/>
      <c r="HT376" s="33"/>
      <c r="HU376" s="33"/>
      <c r="HV376" s="33"/>
      <c r="HW376" s="33"/>
      <c r="HX376" s="33"/>
      <c r="HY376" s="33"/>
      <c r="HZ376" s="33"/>
      <c r="IA376" s="33"/>
      <c r="IB376" s="33"/>
      <c r="IC376" s="33"/>
      <c r="ID376" s="33"/>
      <c r="IE376" s="33"/>
      <c r="IF376" s="33"/>
      <c r="IG376" s="33"/>
      <c r="IH376" s="33"/>
      <c r="II376" s="33"/>
      <c r="IJ376" s="33"/>
      <c r="IK376" s="33"/>
      <c r="IL376" s="33"/>
      <c r="IM376" s="33"/>
      <c r="IN376" s="33"/>
      <c r="IO376" s="33"/>
      <c r="IP376" s="33"/>
      <c r="IQ376" s="33"/>
      <c r="IR376" s="33"/>
      <c r="IS376" s="33"/>
      <c r="IT376" s="33"/>
      <c r="IU376" s="33"/>
      <c r="IV376" s="33"/>
      <c r="IW376" s="33"/>
      <c r="IX376" s="33"/>
      <c r="IY376" s="33"/>
      <c r="IZ376" s="33"/>
      <c r="JA376" s="33"/>
      <c r="JB376" s="33"/>
      <c r="JC376" s="33"/>
      <c r="JD376" s="33"/>
      <c r="JE376" s="33"/>
      <c r="JF376" s="33"/>
      <c r="JG376" s="33"/>
      <c r="JH376" s="33"/>
      <c r="JI376" s="33"/>
      <c r="JJ376" s="33"/>
      <c r="JK376" s="33"/>
      <c r="JL376" s="33"/>
      <c r="JM376" s="33"/>
      <c r="JN376" s="33"/>
      <c r="JO376" s="33"/>
      <c r="JP376" s="33"/>
      <c r="JQ376" s="33"/>
      <c r="JR376" s="33"/>
      <c r="KZ376" s="33"/>
      <c r="LA376" s="33"/>
      <c r="LB376" s="33"/>
      <c r="LC376" s="33"/>
      <c r="LD376" s="33"/>
      <c r="LE376" s="33"/>
      <c r="LF376" s="33"/>
      <c r="LG376" s="33"/>
      <c r="LH376" s="33"/>
      <c r="LI376" s="33"/>
      <c r="LJ376" s="33"/>
      <c r="LK376" s="33"/>
      <c r="LL376" s="33"/>
      <c r="LM376" s="33"/>
      <c r="LN376" s="33"/>
      <c r="LO376" s="33"/>
      <c r="LP376" s="44"/>
      <c r="LQ376" s="44"/>
      <c r="LR376" s="44"/>
      <c r="LS376" s="44"/>
      <c r="LT376" s="44"/>
      <c r="LU376" s="44"/>
      <c r="LV376" s="44"/>
    </row>
    <row r="377" spans="1:334" x14ac:dyDescent="0.2">
      <c r="A377" s="1" t="s">
        <v>8951</v>
      </c>
      <c r="B377" s="1" t="s">
        <v>8945</v>
      </c>
      <c r="D377" s="1" t="s">
        <v>8946</v>
      </c>
      <c r="E377" s="1" t="s">
        <v>7</v>
      </c>
      <c r="F377" s="1" t="s">
        <v>8187</v>
      </c>
      <c r="G377" s="1" t="s">
        <v>8947</v>
      </c>
      <c r="H377" s="1" t="s">
        <v>8952</v>
      </c>
      <c r="J377" s="1" t="s">
        <v>8953</v>
      </c>
      <c r="K377" s="1">
        <v>2014</v>
      </c>
      <c r="L377" s="1" t="s">
        <v>8950</v>
      </c>
      <c r="M377" s="1" t="s">
        <v>7659</v>
      </c>
      <c r="N377" s="17" t="s">
        <v>7945</v>
      </c>
      <c r="O377" s="33"/>
      <c r="P377" s="33"/>
      <c r="Q377" s="33"/>
      <c r="R377" s="33"/>
      <c r="S377" s="33">
        <v>7.8</v>
      </c>
      <c r="T377" s="33"/>
      <c r="U377" s="33"/>
      <c r="V377" s="33"/>
      <c r="W377" s="33"/>
      <c r="X377" s="33"/>
      <c r="Y377" s="33"/>
      <c r="Z377" s="33">
        <v>21.9436</v>
      </c>
      <c r="AA377" s="33"/>
      <c r="AB377" s="33"/>
      <c r="AC377" s="33">
        <v>1.2447000000000001</v>
      </c>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v>2.9504000000000001</v>
      </c>
      <c r="BR377" s="33"/>
      <c r="BS377" s="33"/>
      <c r="BT377" s="33"/>
      <c r="BU377" s="33"/>
      <c r="BV377" s="33"/>
      <c r="BW377" s="33"/>
      <c r="BX377" s="33"/>
      <c r="BY377" s="33"/>
      <c r="BZ377" s="33"/>
      <c r="CA377" s="33"/>
      <c r="CB377" s="33"/>
      <c r="CC377" s="33"/>
      <c r="CD377" s="33"/>
      <c r="CE377" s="33"/>
      <c r="CF377" s="33"/>
      <c r="CG377" s="33"/>
      <c r="CH377" s="33"/>
      <c r="CI377" s="33"/>
      <c r="CJ377" s="33"/>
      <c r="CK377" s="33"/>
      <c r="CL377" s="33"/>
      <c r="CM377" s="33"/>
      <c r="CN377" s="33"/>
      <c r="CO377" s="33"/>
      <c r="CP377" s="33">
        <v>285.82</v>
      </c>
      <c r="CQ377" s="33"/>
      <c r="CR377" s="33">
        <v>0.81043799999999988</v>
      </c>
      <c r="CS377" s="33">
        <v>6.0298800000000004</v>
      </c>
      <c r="CT377" s="33"/>
      <c r="CU377" s="33"/>
      <c r="CV377" s="33">
        <v>156.74</v>
      </c>
      <c r="CW377" s="33">
        <v>1.9334340000000001</v>
      </c>
      <c r="CX377" s="33"/>
      <c r="CY377" s="33">
        <v>368.8</v>
      </c>
      <c r="CZ377" s="33"/>
      <c r="DA377" s="33">
        <v>2.8923140000000003</v>
      </c>
      <c r="DB377" s="33"/>
      <c r="DC377" s="33"/>
      <c r="DD377" s="33"/>
      <c r="DE377" s="33"/>
      <c r="DF377" s="33"/>
      <c r="DG377" s="33"/>
      <c r="DH377" s="33"/>
      <c r="DI377" s="33"/>
      <c r="DJ377" s="33"/>
      <c r="DK377" s="33"/>
      <c r="DL377" s="33"/>
      <c r="DM377" s="33"/>
      <c r="DN377" s="33"/>
      <c r="DO377" s="33"/>
      <c r="DP377" s="33"/>
      <c r="DQ377" s="33"/>
      <c r="DR377" s="33"/>
      <c r="DS377" s="33"/>
      <c r="DT377" s="33"/>
      <c r="DU377" s="33"/>
      <c r="DV377" s="33"/>
      <c r="DW377" s="33"/>
      <c r="DX377" s="33"/>
      <c r="DY377" s="33"/>
      <c r="DZ377" s="33"/>
      <c r="EA377" s="33"/>
      <c r="EB377" s="33"/>
      <c r="EC377" s="33"/>
      <c r="ED377" s="33"/>
      <c r="EE377" s="33"/>
      <c r="EF377" s="33"/>
      <c r="EG377" s="33"/>
      <c r="EH377" s="33"/>
      <c r="EI377" s="33"/>
      <c r="EJ377" s="33"/>
      <c r="EK377" s="33"/>
      <c r="EL377" s="33"/>
      <c r="EM377" s="33"/>
      <c r="EN377" s="33"/>
      <c r="EO377" s="33"/>
      <c r="EP377" s="33"/>
      <c r="EQ377" s="33"/>
      <c r="ER377" s="33"/>
      <c r="ES377" s="33"/>
      <c r="ET377" s="33"/>
      <c r="EU377" s="33"/>
      <c r="EV377" s="33"/>
      <c r="EW377" s="33"/>
      <c r="EX377" s="33"/>
      <c r="EY377" s="33"/>
      <c r="EZ377" s="33"/>
      <c r="FA377" s="33"/>
      <c r="FB377" s="33"/>
      <c r="FC377" s="33"/>
      <c r="FD377" s="33"/>
      <c r="FE377" s="33"/>
      <c r="FF377" s="33"/>
      <c r="FG377" s="33"/>
      <c r="FH377" s="33"/>
      <c r="FI377" s="33"/>
      <c r="FJ377" s="33"/>
      <c r="FK377" s="33"/>
      <c r="FL377" s="33"/>
      <c r="FM377" s="33"/>
      <c r="FN377" s="33"/>
      <c r="FO377" s="33"/>
      <c r="FP377" s="33"/>
      <c r="FQ377" s="33"/>
      <c r="FR377" s="33"/>
      <c r="FS377" s="33"/>
      <c r="FT377" s="33"/>
      <c r="FU377" s="33"/>
      <c r="FV377" s="33"/>
      <c r="FW377" s="33"/>
      <c r="FX377" s="33"/>
      <c r="FY377" s="33"/>
      <c r="FZ377" s="33"/>
      <c r="GA377" s="33"/>
      <c r="GB377" s="33"/>
      <c r="GC377" s="33"/>
      <c r="GD377" s="33"/>
      <c r="GE377" s="33"/>
      <c r="GF377" s="33"/>
      <c r="GG377" s="33"/>
      <c r="GH377" s="33"/>
      <c r="GI377" s="33"/>
      <c r="GJ377" s="33"/>
      <c r="GK377" s="33"/>
      <c r="GL377" s="33"/>
      <c r="GM377" s="33"/>
      <c r="GN377" s="33"/>
      <c r="GO377" s="33"/>
      <c r="GP377" s="33"/>
      <c r="GQ377" s="33"/>
      <c r="GR377" s="33"/>
      <c r="GS377" s="33"/>
      <c r="GT377" s="33"/>
      <c r="GU377" s="33"/>
      <c r="GV377" s="33"/>
      <c r="GW377" s="33"/>
      <c r="GX377" s="33"/>
      <c r="GY377" s="33"/>
      <c r="GZ377" s="33"/>
      <c r="HA377" s="33"/>
      <c r="HB377" s="33"/>
      <c r="HC377" s="33"/>
      <c r="HD377" s="33"/>
      <c r="HE377" s="33"/>
      <c r="HF377" s="33"/>
      <c r="HG377" s="33"/>
      <c r="HH377" s="33"/>
      <c r="HI377" s="33"/>
      <c r="HJ377" s="33"/>
      <c r="HK377" s="33"/>
      <c r="HL377" s="33"/>
      <c r="HM377" s="33"/>
      <c r="HN377" s="33"/>
      <c r="HO377" s="33"/>
      <c r="HP377" s="33"/>
      <c r="HQ377" s="33"/>
      <c r="HR377" s="33"/>
      <c r="HS377" s="33"/>
      <c r="HT377" s="33"/>
      <c r="HU377" s="33"/>
      <c r="HV377" s="33"/>
      <c r="HW377" s="33"/>
      <c r="HX377" s="33"/>
      <c r="HY377" s="33"/>
      <c r="HZ377" s="33"/>
      <c r="IA377" s="33"/>
      <c r="IB377" s="33"/>
      <c r="IC377" s="33"/>
      <c r="ID377" s="33"/>
      <c r="IE377" s="33"/>
      <c r="IF377" s="33"/>
      <c r="IG377" s="33"/>
      <c r="IH377" s="33"/>
      <c r="II377" s="33"/>
      <c r="IJ377" s="33"/>
      <c r="IK377" s="33"/>
      <c r="IL377" s="33"/>
      <c r="IM377" s="33"/>
      <c r="IN377" s="33"/>
      <c r="IO377" s="33"/>
      <c r="IP377" s="33"/>
      <c r="IQ377" s="33"/>
      <c r="IR377" s="33"/>
      <c r="IS377" s="33"/>
      <c r="IT377" s="33"/>
      <c r="IU377" s="33"/>
      <c r="IV377" s="33"/>
      <c r="IW377" s="33"/>
      <c r="IX377" s="33"/>
      <c r="IY377" s="33"/>
      <c r="IZ377" s="33"/>
      <c r="JA377" s="33"/>
      <c r="JB377" s="33"/>
      <c r="JC377" s="33"/>
      <c r="JD377" s="33"/>
      <c r="JE377" s="33"/>
      <c r="JF377" s="33"/>
      <c r="JG377" s="33"/>
      <c r="JH377" s="33"/>
      <c r="JI377" s="33"/>
      <c r="JJ377" s="33"/>
      <c r="JK377" s="33"/>
      <c r="JL377" s="33"/>
      <c r="JM377" s="33"/>
      <c r="JN377" s="33"/>
      <c r="JO377" s="33"/>
      <c r="JP377" s="33"/>
      <c r="JQ377" s="33"/>
      <c r="JR377" s="33"/>
      <c r="KZ377" s="33"/>
      <c r="LA377" s="33"/>
      <c r="LB377" s="33"/>
      <c r="LC377" s="33"/>
      <c r="LD377" s="33"/>
      <c r="LE377" s="33"/>
      <c r="LF377" s="33"/>
      <c r="LG377" s="33"/>
      <c r="LH377" s="33"/>
      <c r="LI377" s="33"/>
      <c r="LJ377" s="33"/>
      <c r="LK377" s="33"/>
      <c r="LL377" s="33"/>
      <c r="LM377" s="33"/>
      <c r="LN377" s="33"/>
      <c r="LO377" s="33"/>
      <c r="LP377" s="44"/>
      <c r="LQ377" s="44"/>
      <c r="LR377" s="44"/>
      <c r="LS377" s="44"/>
      <c r="LT377" s="44"/>
      <c r="LU377" s="44"/>
      <c r="LV377" s="44"/>
    </row>
    <row r="378" spans="1:334" x14ac:dyDescent="0.2">
      <c r="A378" s="1" t="s">
        <v>8954</v>
      </c>
      <c r="B378" s="1" t="s">
        <v>8955</v>
      </c>
      <c r="D378" s="1" t="s">
        <v>8946</v>
      </c>
      <c r="E378" s="1" t="s">
        <v>7</v>
      </c>
      <c r="F378" s="1" t="s">
        <v>8187</v>
      </c>
      <c r="G378" s="1" t="s">
        <v>8947</v>
      </c>
      <c r="H378" s="1" t="s">
        <v>8956</v>
      </c>
      <c r="J378" s="1" t="s">
        <v>8953</v>
      </c>
      <c r="K378" s="1">
        <v>2014</v>
      </c>
      <c r="L378" s="1" t="s">
        <v>8950</v>
      </c>
      <c r="M378" s="1" t="s">
        <v>7659</v>
      </c>
      <c r="N378" s="17" t="s">
        <v>7945</v>
      </c>
      <c r="O378" s="33"/>
      <c r="P378" s="33"/>
      <c r="Q378" s="33"/>
      <c r="R378" s="33"/>
      <c r="S378" s="33">
        <v>8.1</v>
      </c>
      <c r="T378" s="33"/>
      <c r="U378" s="33"/>
      <c r="V378" s="33"/>
      <c r="W378" s="33"/>
      <c r="X378" s="33"/>
      <c r="Y378" s="33"/>
      <c r="Z378" s="33">
        <v>20.438559999999999</v>
      </c>
      <c r="AA378" s="33"/>
      <c r="AB378" s="33"/>
      <c r="AC378" s="33">
        <v>0.5514</v>
      </c>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33"/>
      <c r="BE378" s="33"/>
      <c r="BF378" s="33"/>
      <c r="BG378" s="33"/>
      <c r="BH378" s="33"/>
      <c r="BI378" s="33"/>
      <c r="BJ378" s="33"/>
      <c r="BK378" s="33"/>
      <c r="BL378" s="33"/>
      <c r="BM378" s="33"/>
      <c r="BN378" s="33"/>
      <c r="BO378" s="33"/>
      <c r="BP378" s="33"/>
      <c r="BQ378" s="33">
        <v>3.1246000000000005</v>
      </c>
      <c r="BR378" s="33"/>
      <c r="BS378" s="33"/>
      <c r="BT378" s="33"/>
      <c r="BU378" s="33"/>
      <c r="BV378" s="33"/>
      <c r="BW378" s="33"/>
      <c r="BX378" s="33"/>
      <c r="BY378" s="33"/>
      <c r="BZ378" s="33"/>
      <c r="CA378" s="33"/>
      <c r="CB378" s="33"/>
      <c r="CC378" s="33"/>
      <c r="CD378" s="33"/>
      <c r="CE378" s="33"/>
      <c r="CF378" s="33"/>
      <c r="CG378" s="33"/>
      <c r="CH378" s="33"/>
      <c r="CI378" s="33"/>
      <c r="CJ378" s="33"/>
      <c r="CK378" s="33"/>
      <c r="CL378" s="33"/>
      <c r="CM378" s="33"/>
      <c r="CN378" s="33"/>
      <c r="CO378" s="33"/>
      <c r="CP378" s="33">
        <v>257.32000000000005</v>
      </c>
      <c r="CQ378" s="33"/>
      <c r="CR378" s="33">
        <v>0.89051100000000005</v>
      </c>
      <c r="CS378" s="33">
        <v>7.204041000000001</v>
      </c>
      <c r="CT378" s="33"/>
      <c r="CU378" s="33"/>
      <c r="CV378" s="33">
        <v>165.42000000000002</v>
      </c>
      <c r="CW378" s="33">
        <v>1.5604620000000002</v>
      </c>
      <c r="CX378" s="33"/>
      <c r="CY378" s="33">
        <v>422.74</v>
      </c>
      <c r="CZ378" s="33"/>
      <c r="DA378" s="33">
        <v>3.3497550000000005</v>
      </c>
      <c r="DB378" s="33"/>
      <c r="DC378" s="33"/>
      <c r="DD378" s="33"/>
      <c r="DE378" s="33"/>
      <c r="DF378" s="33"/>
      <c r="DG378" s="33"/>
      <c r="DH378" s="33"/>
      <c r="DI378" s="33"/>
      <c r="DJ378" s="33"/>
      <c r="DK378" s="33"/>
      <c r="DL378" s="33"/>
      <c r="DM378" s="33"/>
      <c r="DN378" s="33"/>
      <c r="DO378" s="33"/>
      <c r="DP378" s="33"/>
      <c r="DQ378" s="33"/>
      <c r="DR378" s="33"/>
      <c r="DS378" s="33"/>
      <c r="DT378" s="33"/>
      <c r="DU378" s="33"/>
      <c r="DV378" s="33"/>
      <c r="DW378" s="33"/>
      <c r="DX378" s="33"/>
      <c r="DY378" s="33"/>
      <c r="DZ378" s="33"/>
      <c r="EA378" s="33"/>
      <c r="EB378" s="33"/>
      <c r="EC378" s="33"/>
      <c r="ED378" s="33"/>
      <c r="EE378" s="33"/>
      <c r="EF378" s="33"/>
      <c r="EG378" s="33"/>
      <c r="EH378" s="33"/>
      <c r="EI378" s="33"/>
      <c r="EJ378" s="33"/>
      <c r="EK378" s="33"/>
      <c r="EL378" s="33"/>
      <c r="EM378" s="33"/>
      <c r="EN378" s="33"/>
      <c r="EO378" s="33"/>
      <c r="EP378" s="33"/>
      <c r="EQ378" s="33"/>
      <c r="ER378" s="33"/>
      <c r="ES378" s="33"/>
      <c r="ET378" s="33"/>
      <c r="EU378" s="33"/>
      <c r="EV378" s="33"/>
      <c r="EW378" s="33"/>
      <c r="EX378" s="33"/>
      <c r="EY378" s="33"/>
      <c r="EZ378" s="33"/>
      <c r="FA378" s="33"/>
      <c r="FB378" s="33"/>
      <c r="FC378" s="33"/>
      <c r="FD378" s="33"/>
      <c r="FE378" s="33"/>
      <c r="FF378" s="33"/>
      <c r="FG378" s="33"/>
      <c r="FH378" s="33"/>
      <c r="FI378" s="33"/>
      <c r="FJ378" s="33"/>
      <c r="FK378" s="33"/>
      <c r="FL378" s="33"/>
      <c r="FM378" s="33"/>
      <c r="FN378" s="33"/>
      <c r="FO378" s="33"/>
      <c r="FP378" s="33"/>
      <c r="FQ378" s="33"/>
      <c r="FR378" s="33"/>
      <c r="FS378" s="33"/>
      <c r="FT378" s="33"/>
      <c r="FU378" s="33"/>
      <c r="FV378" s="33"/>
      <c r="FW378" s="33"/>
      <c r="FX378" s="33"/>
      <c r="FY378" s="33"/>
      <c r="FZ378" s="33"/>
      <c r="GA378" s="33"/>
      <c r="GB378" s="33"/>
      <c r="GC378" s="33"/>
      <c r="GD378" s="33"/>
      <c r="GE378" s="33"/>
      <c r="GF378" s="33"/>
      <c r="GG378" s="33"/>
      <c r="GH378" s="33"/>
      <c r="GI378" s="33"/>
      <c r="GJ378" s="33"/>
      <c r="GK378" s="33"/>
      <c r="GL378" s="33"/>
      <c r="GM378" s="33"/>
      <c r="GN378" s="33"/>
      <c r="GO378" s="33"/>
      <c r="GP378" s="33"/>
      <c r="GQ378" s="33"/>
      <c r="GR378" s="33"/>
      <c r="GS378" s="33"/>
      <c r="GT378" s="33"/>
      <c r="GU378" s="33"/>
      <c r="GV378" s="33"/>
      <c r="GW378" s="33"/>
      <c r="GX378" s="33"/>
      <c r="GY378" s="33"/>
      <c r="GZ378" s="33"/>
      <c r="HA378" s="33"/>
      <c r="HB378" s="33"/>
      <c r="HC378" s="33"/>
      <c r="HD378" s="33"/>
      <c r="HE378" s="33"/>
      <c r="HF378" s="33"/>
      <c r="HG378" s="33"/>
      <c r="HH378" s="33"/>
      <c r="HI378" s="33"/>
      <c r="HJ378" s="33"/>
      <c r="HK378" s="33"/>
      <c r="HL378" s="33"/>
      <c r="HM378" s="33"/>
      <c r="HN378" s="33"/>
      <c r="HO378" s="33"/>
      <c r="HP378" s="33"/>
      <c r="HQ378" s="33"/>
      <c r="HR378" s="33"/>
      <c r="HS378" s="33"/>
      <c r="HT378" s="33"/>
      <c r="HU378" s="33"/>
      <c r="HV378" s="33"/>
      <c r="HW378" s="33"/>
      <c r="HX378" s="33"/>
      <c r="HY378" s="33"/>
      <c r="HZ378" s="33"/>
      <c r="IA378" s="33"/>
      <c r="IB378" s="33"/>
      <c r="IC378" s="33"/>
      <c r="ID378" s="33"/>
      <c r="IE378" s="33"/>
      <c r="IF378" s="33"/>
      <c r="IG378" s="33"/>
      <c r="IH378" s="33"/>
      <c r="II378" s="33"/>
      <c r="IJ378" s="33"/>
      <c r="IK378" s="33"/>
      <c r="IL378" s="33"/>
      <c r="IM378" s="33"/>
      <c r="IN378" s="33"/>
      <c r="IO378" s="33"/>
      <c r="IP378" s="33"/>
      <c r="IQ378" s="33"/>
      <c r="IR378" s="33"/>
      <c r="IS378" s="33"/>
      <c r="IT378" s="33"/>
      <c r="IU378" s="33"/>
      <c r="IV378" s="33"/>
      <c r="IW378" s="33"/>
      <c r="IX378" s="33"/>
      <c r="IY378" s="33"/>
      <c r="IZ378" s="33"/>
      <c r="JA378" s="33"/>
      <c r="JB378" s="33"/>
      <c r="JC378" s="33"/>
      <c r="JD378" s="33"/>
      <c r="JE378" s="33"/>
      <c r="JF378" s="33"/>
      <c r="JG378" s="33"/>
      <c r="JH378" s="33"/>
      <c r="JI378" s="33"/>
      <c r="JJ378" s="33"/>
      <c r="JK378" s="33"/>
      <c r="JL378" s="33"/>
      <c r="JM378" s="33"/>
      <c r="JN378" s="33"/>
      <c r="JO378" s="33"/>
      <c r="JP378" s="33"/>
      <c r="JQ378" s="33"/>
      <c r="JR378" s="33"/>
      <c r="KZ378" s="33"/>
      <c r="LA378" s="33"/>
      <c r="LB378" s="33"/>
      <c r="LC378" s="33"/>
      <c r="LD378" s="33"/>
      <c r="LE378" s="33"/>
      <c r="LF378" s="33"/>
      <c r="LG378" s="33"/>
      <c r="LH378" s="33"/>
      <c r="LI378" s="33"/>
      <c r="LJ378" s="33"/>
      <c r="LK378" s="33"/>
      <c r="LL378" s="33"/>
      <c r="LM378" s="33"/>
      <c r="LN378" s="33"/>
      <c r="LO378" s="33"/>
      <c r="LP378" s="44"/>
      <c r="LQ378" s="44"/>
      <c r="LR378" s="44"/>
      <c r="LS378" s="44"/>
      <c r="LT378" s="44"/>
      <c r="LU378" s="44"/>
      <c r="LV378" s="44"/>
    </row>
    <row r="379" spans="1:334" x14ac:dyDescent="0.2">
      <c r="A379" s="1" t="s">
        <v>8957</v>
      </c>
      <c r="B379" s="1" t="s">
        <v>8955</v>
      </c>
      <c r="D379" s="1" t="s">
        <v>8946</v>
      </c>
      <c r="E379" s="1" t="s">
        <v>7</v>
      </c>
      <c r="F379" s="1" t="s">
        <v>8187</v>
      </c>
      <c r="G379" s="1" t="s">
        <v>8947</v>
      </c>
      <c r="H379" s="1" t="s">
        <v>8958</v>
      </c>
      <c r="J379" s="1" t="s">
        <v>8953</v>
      </c>
      <c r="K379" s="1">
        <v>2014</v>
      </c>
      <c r="L379" s="1" t="s">
        <v>8950</v>
      </c>
      <c r="M379" s="1" t="s">
        <v>7659</v>
      </c>
      <c r="N379" s="17" t="s">
        <v>7945</v>
      </c>
      <c r="O379" s="33"/>
      <c r="P379" s="33"/>
      <c r="Q379" s="33"/>
      <c r="R379" s="33"/>
      <c r="S379" s="33">
        <v>8.5</v>
      </c>
      <c r="T379" s="33"/>
      <c r="U379" s="33"/>
      <c r="V379" s="33"/>
      <c r="W379" s="33"/>
      <c r="X379" s="33"/>
      <c r="Y379" s="33"/>
      <c r="Z379" s="33">
        <v>20.953499999999998</v>
      </c>
      <c r="AA379" s="33"/>
      <c r="AB379" s="33"/>
      <c r="AC379" s="33">
        <v>1.39995</v>
      </c>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33"/>
      <c r="BE379" s="33"/>
      <c r="BF379" s="33"/>
      <c r="BG379" s="33"/>
      <c r="BH379" s="33"/>
      <c r="BI379" s="33"/>
      <c r="BJ379" s="33"/>
      <c r="BK379" s="33"/>
      <c r="BL379" s="33"/>
      <c r="BM379" s="33"/>
      <c r="BN379" s="33"/>
      <c r="BO379" s="33"/>
      <c r="BP379" s="33"/>
      <c r="BQ379" s="33">
        <v>3.1384500000000002</v>
      </c>
      <c r="BR379" s="33"/>
      <c r="BS379" s="33"/>
      <c r="BT379" s="33"/>
      <c r="BU379" s="33"/>
      <c r="BV379" s="33"/>
      <c r="BW379" s="33"/>
      <c r="BX379" s="33"/>
      <c r="BY379" s="33"/>
      <c r="BZ379" s="33"/>
      <c r="CA379" s="33"/>
      <c r="CB379" s="33"/>
      <c r="CC379" s="33"/>
      <c r="CD379" s="33"/>
      <c r="CE379" s="33"/>
      <c r="CF379" s="33"/>
      <c r="CG379" s="33"/>
      <c r="CH379" s="33"/>
      <c r="CI379" s="33"/>
      <c r="CJ379" s="33"/>
      <c r="CK379" s="33"/>
      <c r="CL379" s="33"/>
      <c r="CM379" s="33"/>
      <c r="CN379" s="33"/>
      <c r="CO379" s="33"/>
      <c r="CP379" s="33">
        <v>210.45000000000002</v>
      </c>
      <c r="CQ379" s="33"/>
      <c r="CR379" s="33">
        <v>0.83356499999999989</v>
      </c>
      <c r="CS379" s="33">
        <v>7.3254899999999994</v>
      </c>
      <c r="CT379" s="33"/>
      <c r="CU379" s="33"/>
      <c r="CV379" s="33">
        <v>164.7</v>
      </c>
      <c r="CW379" s="33">
        <v>1.5564150000000001</v>
      </c>
      <c r="CX379" s="33"/>
      <c r="CY379" s="33">
        <v>402.59999999999997</v>
      </c>
      <c r="CZ379" s="33"/>
      <c r="DA379" s="33">
        <v>3.3196199999999996</v>
      </c>
      <c r="DB379" s="33"/>
      <c r="DC379" s="33"/>
      <c r="DD379" s="33"/>
      <c r="DE379" s="33"/>
      <c r="DF379" s="33"/>
      <c r="DG379" s="33"/>
      <c r="DH379" s="33"/>
      <c r="DI379" s="33"/>
      <c r="DJ379" s="33"/>
      <c r="DK379" s="33"/>
      <c r="DL379" s="33"/>
      <c r="DM379" s="33"/>
      <c r="DN379" s="33"/>
      <c r="DO379" s="33"/>
      <c r="DP379" s="33"/>
      <c r="DQ379" s="33"/>
      <c r="DR379" s="33"/>
      <c r="DS379" s="33"/>
      <c r="DT379" s="33"/>
      <c r="DU379" s="33"/>
      <c r="DV379" s="33"/>
      <c r="DW379" s="33"/>
      <c r="DX379" s="33"/>
      <c r="DY379" s="33"/>
      <c r="DZ379" s="33"/>
      <c r="EA379" s="33"/>
      <c r="EB379" s="33"/>
      <c r="EC379" s="33"/>
      <c r="ED379" s="33"/>
      <c r="EE379" s="33"/>
      <c r="EF379" s="33"/>
      <c r="EG379" s="33"/>
      <c r="EH379" s="33"/>
      <c r="EI379" s="33"/>
      <c r="EJ379" s="33"/>
      <c r="EK379" s="33"/>
      <c r="EL379" s="33"/>
      <c r="EM379" s="33"/>
      <c r="EN379" s="33"/>
      <c r="EO379" s="33"/>
      <c r="EP379" s="33"/>
      <c r="EQ379" s="33"/>
      <c r="ER379" s="33"/>
      <c r="ES379" s="33"/>
      <c r="ET379" s="33"/>
      <c r="EU379" s="33"/>
      <c r="EV379" s="33"/>
      <c r="EW379" s="33"/>
      <c r="EX379" s="33"/>
      <c r="EY379" s="33"/>
      <c r="EZ379" s="33"/>
      <c r="FA379" s="33"/>
      <c r="FB379" s="33"/>
      <c r="FC379" s="33"/>
      <c r="FD379" s="33"/>
      <c r="FE379" s="33"/>
      <c r="FF379" s="33"/>
      <c r="FG379" s="33"/>
      <c r="FH379" s="33"/>
      <c r="FI379" s="33"/>
      <c r="FJ379" s="33"/>
      <c r="FK379" s="33"/>
      <c r="FL379" s="33"/>
      <c r="FM379" s="33"/>
      <c r="FN379" s="33"/>
      <c r="FO379" s="33"/>
      <c r="FP379" s="33"/>
      <c r="FQ379" s="33"/>
      <c r="FR379" s="33"/>
      <c r="FS379" s="33"/>
      <c r="FT379" s="33"/>
      <c r="FU379" s="33"/>
      <c r="FV379" s="33"/>
      <c r="FW379" s="33"/>
      <c r="FX379" s="33"/>
      <c r="FY379" s="33"/>
      <c r="FZ379" s="33"/>
      <c r="GA379" s="33"/>
      <c r="GB379" s="33"/>
      <c r="GC379" s="33"/>
      <c r="GD379" s="33"/>
      <c r="GE379" s="33"/>
      <c r="GF379" s="33"/>
      <c r="GG379" s="33"/>
      <c r="GH379" s="33"/>
      <c r="GI379" s="33"/>
      <c r="GJ379" s="33"/>
      <c r="GK379" s="33"/>
      <c r="GL379" s="33"/>
      <c r="GM379" s="33"/>
      <c r="GN379" s="33"/>
      <c r="GO379" s="33"/>
      <c r="GP379" s="33"/>
      <c r="GQ379" s="33"/>
      <c r="GR379" s="33"/>
      <c r="GS379" s="33"/>
      <c r="GT379" s="33"/>
      <c r="GU379" s="33"/>
      <c r="GV379" s="33"/>
      <c r="GW379" s="33"/>
      <c r="GX379" s="33"/>
      <c r="GY379" s="33"/>
      <c r="GZ379" s="33"/>
      <c r="HA379" s="33"/>
      <c r="HB379" s="33"/>
      <c r="HC379" s="33"/>
      <c r="HD379" s="33"/>
      <c r="HE379" s="33"/>
      <c r="HF379" s="33"/>
      <c r="HG379" s="33"/>
      <c r="HH379" s="33"/>
      <c r="HI379" s="33"/>
      <c r="HJ379" s="33"/>
      <c r="HK379" s="33"/>
      <c r="HL379" s="33"/>
      <c r="HM379" s="33"/>
      <c r="HN379" s="33"/>
      <c r="HO379" s="33"/>
      <c r="HP379" s="33"/>
      <c r="HQ379" s="33"/>
      <c r="HR379" s="33"/>
      <c r="HS379" s="33"/>
      <c r="HT379" s="33"/>
      <c r="HU379" s="33"/>
      <c r="HV379" s="33"/>
      <c r="HW379" s="33"/>
      <c r="HX379" s="33"/>
      <c r="HY379" s="33"/>
      <c r="HZ379" s="33"/>
      <c r="IA379" s="33"/>
      <c r="IB379" s="33"/>
      <c r="IC379" s="33"/>
      <c r="ID379" s="33"/>
      <c r="IE379" s="33"/>
      <c r="IF379" s="33"/>
      <c r="IG379" s="33"/>
      <c r="IH379" s="33"/>
      <c r="II379" s="33"/>
      <c r="IJ379" s="33"/>
      <c r="IK379" s="33"/>
      <c r="IL379" s="33"/>
      <c r="IM379" s="33"/>
      <c r="IN379" s="33"/>
      <c r="IO379" s="33"/>
      <c r="IP379" s="33"/>
      <c r="IQ379" s="33"/>
      <c r="IR379" s="33"/>
      <c r="IS379" s="33"/>
      <c r="IT379" s="33"/>
      <c r="IU379" s="33"/>
      <c r="IV379" s="33"/>
      <c r="IW379" s="33"/>
      <c r="IX379" s="33"/>
      <c r="IY379" s="33"/>
      <c r="IZ379" s="33"/>
      <c r="JA379" s="33"/>
      <c r="JB379" s="33"/>
      <c r="JC379" s="33"/>
      <c r="JD379" s="33"/>
      <c r="JE379" s="33"/>
      <c r="JF379" s="33"/>
      <c r="JG379" s="33"/>
      <c r="JH379" s="33"/>
      <c r="JI379" s="33"/>
      <c r="JJ379" s="33"/>
      <c r="JK379" s="33"/>
      <c r="JL379" s="33"/>
      <c r="JM379" s="33"/>
      <c r="JN379" s="33"/>
      <c r="JO379" s="33"/>
      <c r="JP379" s="33"/>
      <c r="JQ379" s="33"/>
      <c r="JR379" s="33"/>
      <c r="KZ379" s="33"/>
      <c r="LA379" s="33"/>
      <c r="LB379" s="33"/>
      <c r="LC379" s="33"/>
      <c r="LD379" s="33"/>
      <c r="LE379" s="33"/>
      <c r="LF379" s="33"/>
      <c r="LG379" s="33"/>
      <c r="LH379" s="33"/>
      <c r="LI379" s="33"/>
      <c r="LJ379" s="33"/>
      <c r="LK379" s="33"/>
      <c r="LL379" s="33"/>
      <c r="LM379" s="33"/>
      <c r="LN379" s="33"/>
      <c r="LO379" s="33"/>
      <c r="LP379" s="44"/>
      <c r="LQ379" s="44"/>
      <c r="LR379" s="44"/>
      <c r="LS379" s="44"/>
      <c r="LT379" s="44"/>
      <c r="LU379" s="44"/>
      <c r="LV379" s="44"/>
    </row>
    <row r="380" spans="1:334" x14ac:dyDescent="0.2">
      <c r="A380" s="1" t="s">
        <v>8959</v>
      </c>
      <c r="B380" s="1" t="s">
        <v>8960</v>
      </c>
      <c r="D380" s="1" t="s">
        <v>8946</v>
      </c>
      <c r="E380" s="1" t="s">
        <v>7</v>
      </c>
      <c r="F380" s="1" t="s">
        <v>8187</v>
      </c>
      <c r="G380" s="1" t="s">
        <v>8947</v>
      </c>
      <c r="H380" s="1" t="s">
        <v>8961</v>
      </c>
      <c r="J380" s="1" t="s">
        <v>8953</v>
      </c>
      <c r="K380" s="1">
        <v>2014</v>
      </c>
      <c r="L380" s="1" t="s">
        <v>8950</v>
      </c>
      <c r="M380" s="1" t="s">
        <v>7659</v>
      </c>
      <c r="N380" s="17" t="s">
        <v>7945</v>
      </c>
      <c r="O380" s="33"/>
      <c r="P380" s="33"/>
      <c r="Q380" s="33"/>
      <c r="R380" s="33"/>
      <c r="S380" s="33">
        <v>7.4</v>
      </c>
      <c r="T380" s="33"/>
      <c r="U380" s="33"/>
      <c r="V380" s="33"/>
      <c r="W380" s="33"/>
      <c r="X380" s="33"/>
      <c r="Y380" s="33"/>
      <c r="Z380" s="33">
        <v>20.381260000000001</v>
      </c>
      <c r="AA380" s="33"/>
      <c r="AB380" s="33"/>
      <c r="AC380" s="33">
        <v>1.37974</v>
      </c>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33"/>
      <c r="BE380" s="33"/>
      <c r="BF380" s="33"/>
      <c r="BG380" s="33"/>
      <c r="BH380" s="33"/>
      <c r="BI380" s="33"/>
      <c r="BJ380" s="33"/>
      <c r="BK380" s="33"/>
      <c r="BL380" s="33"/>
      <c r="BM380" s="33"/>
      <c r="BN380" s="33"/>
      <c r="BO380" s="33"/>
      <c r="BP380" s="33"/>
      <c r="BQ380" s="33">
        <v>2.9169</v>
      </c>
      <c r="BR380" s="33"/>
      <c r="BS380" s="33"/>
      <c r="BT380" s="33"/>
      <c r="BU380" s="33"/>
      <c r="BV380" s="33"/>
      <c r="BW380" s="33"/>
      <c r="BX380" s="33"/>
      <c r="BY380" s="33"/>
      <c r="BZ380" s="33"/>
      <c r="CA380" s="33"/>
      <c r="CB380" s="33"/>
      <c r="CC380" s="33"/>
      <c r="CD380" s="33"/>
      <c r="CE380" s="33"/>
      <c r="CF380" s="33"/>
      <c r="CG380" s="33"/>
      <c r="CH380" s="33"/>
      <c r="CI380" s="33"/>
      <c r="CJ380" s="33"/>
      <c r="CK380" s="33"/>
      <c r="CL380" s="33"/>
      <c r="CM380" s="33"/>
      <c r="CN380" s="33"/>
      <c r="CO380" s="33"/>
      <c r="CP380" s="33">
        <v>185.20000000000002</v>
      </c>
      <c r="CQ380" s="33"/>
      <c r="CR380" s="33">
        <v>0.7583939999999999</v>
      </c>
      <c r="CS380" s="33">
        <v>5.8745440000000002</v>
      </c>
      <c r="CT380" s="33"/>
      <c r="CU380" s="33"/>
      <c r="CV380" s="33">
        <v>157.42000000000002</v>
      </c>
      <c r="CW380" s="33">
        <v>1.7575479999999999</v>
      </c>
      <c r="CX380" s="33"/>
      <c r="CY380" s="33">
        <v>379.65999999999997</v>
      </c>
      <c r="CZ380" s="33"/>
      <c r="DA380" s="33">
        <v>2.5400179999999999</v>
      </c>
      <c r="DB380" s="33"/>
      <c r="DC380" s="33"/>
      <c r="DD380" s="33"/>
      <c r="DE380" s="33"/>
      <c r="DF380" s="33"/>
      <c r="DG380" s="33"/>
      <c r="DH380" s="33"/>
      <c r="DI380" s="33"/>
      <c r="DJ380" s="33"/>
      <c r="DK380" s="33"/>
      <c r="DL380" s="33"/>
      <c r="DM380" s="33"/>
      <c r="DN380" s="33"/>
      <c r="DO380" s="33"/>
      <c r="DP380" s="33"/>
      <c r="DQ380" s="33"/>
      <c r="DR380" s="33"/>
      <c r="DS380" s="33"/>
      <c r="DT380" s="33"/>
      <c r="DU380" s="33"/>
      <c r="DV380" s="33"/>
      <c r="DW380" s="33"/>
      <c r="DX380" s="33"/>
      <c r="DY380" s="33"/>
      <c r="DZ380" s="33"/>
      <c r="EA380" s="33"/>
      <c r="EB380" s="33"/>
      <c r="EC380" s="33"/>
      <c r="ED380" s="33"/>
      <c r="EE380" s="33"/>
      <c r="EF380" s="33"/>
      <c r="EG380" s="33"/>
      <c r="EH380" s="33"/>
      <c r="EI380" s="33"/>
      <c r="EJ380" s="33"/>
      <c r="EK380" s="33"/>
      <c r="EL380" s="33"/>
      <c r="EM380" s="33"/>
      <c r="EN380" s="33"/>
      <c r="EO380" s="33"/>
      <c r="EP380" s="33"/>
      <c r="EQ380" s="33"/>
      <c r="ER380" s="33"/>
      <c r="ES380" s="33"/>
      <c r="ET380" s="33"/>
      <c r="EU380" s="33"/>
      <c r="EV380" s="33"/>
      <c r="EW380" s="33"/>
      <c r="EX380" s="33"/>
      <c r="EY380" s="33"/>
      <c r="EZ380" s="33"/>
      <c r="FA380" s="33"/>
      <c r="FB380" s="33"/>
      <c r="FC380" s="33"/>
      <c r="FD380" s="33"/>
      <c r="FE380" s="33"/>
      <c r="FF380" s="33"/>
      <c r="FG380" s="33"/>
      <c r="FH380" s="33"/>
      <c r="FI380" s="33"/>
      <c r="FJ380" s="33"/>
      <c r="FK380" s="33"/>
      <c r="FL380" s="33"/>
      <c r="FM380" s="33"/>
      <c r="FN380" s="33"/>
      <c r="FO380" s="33"/>
      <c r="FP380" s="33"/>
      <c r="FQ380" s="33"/>
      <c r="FR380" s="33"/>
      <c r="FS380" s="33"/>
      <c r="FT380" s="33"/>
      <c r="FU380" s="33"/>
      <c r="FV380" s="33"/>
      <c r="FW380" s="33"/>
      <c r="FX380" s="33"/>
      <c r="FY380" s="33"/>
      <c r="FZ380" s="33"/>
      <c r="GA380" s="33"/>
      <c r="GB380" s="33"/>
      <c r="GC380" s="33"/>
      <c r="GD380" s="33"/>
      <c r="GE380" s="33"/>
      <c r="GF380" s="33"/>
      <c r="GG380" s="33"/>
      <c r="GH380" s="33"/>
      <c r="GI380" s="33"/>
      <c r="GJ380" s="33"/>
      <c r="GK380" s="33"/>
      <c r="GL380" s="33"/>
      <c r="GM380" s="33"/>
      <c r="GN380" s="33"/>
      <c r="GO380" s="33"/>
      <c r="GP380" s="33"/>
      <c r="GQ380" s="33"/>
      <c r="GR380" s="33"/>
      <c r="GS380" s="33"/>
      <c r="GT380" s="33"/>
      <c r="GU380" s="33"/>
      <c r="GV380" s="33"/>
      <c r="GW380" s="33"/>
      <c r="GX380" s="33"/>
      <c r="GY380" s="33"/>
      <c r="GZ380" s="33"/>
      <c r="HA380" s="33"/>
      <c r="HB380" s="33"/>
      <c r="HC380" s="33"/>
      <c r="HD380" s="33"/>
      <c r="HE380" s="33"/>
      <c r="HF380" s="33"/>
      <c r="HG380" s="33"/>
      <c r="HH380" s="33"/>
      <c r="HI380" s="33"/>
      <c r="HJ380" s="33"/>
      <c r="HK380" s="33"/>
      <c r="HL380" s="33"/>
      <c r="HM380" s="33"/>
      <c r="HN380" s="33"/>
      <c r="HO380" s="33"/>
      <c r="HP380" s="33"/>
      <c r="HQ380" s="33"/>
      <c r="HR380" s="33"/>
      <c r="HS380" s="33"/>
      <c r="HT380" s="33"/>
      <c r="HU380" s="33"/>
      <c r="HV380" s="33"/>
      <c r="HW380" s="33"/>
      <c r="HX380" s="33"/>
      <c r="HY380" s="33"/>
      <c r="HZ380" s="33"/>
      <c r="IA380" s="33"/>
      <c r="IB380" s="33"/>
      <c r="IC380" s="33"/>
      <c r="ID380" s="33"/>
      <c r="IE380" s="33"/>
      <c r="IF380" s="33"/>
      <c r="IG380" s="33"/>
      <c r="IH380" s="33"/>
      <c r="II380" s="33"/>
      <c r="IJ380" s="33"/>
      <c r="IK380" s="33"/>
      <c r="IL380" s="33"/>
      <c r="IM380" s="33"/>
      <c r="IN380" s="33"/>
      <c r="IO380" s="33"/>
      <c r="IP380" s="33"/>
      <c r="IQ380" s="33"/>
      <c r="IR380" s="33"/>
      <c r="IS380" s="33"/>
      <c r="IT380" s="33"/>
      <c r="IU380" s="33"/>
      <c r="IV380" s="33"/>
      <c r="IW380" s="33"/>
      <c r="IX380" s="33"/>
      <c r="IY380" s="33"/>
      <c r="IZ380" s="33"/>
      <c r="JA380" s="33"/>
      <c r="JB380" s="33"/>
      <c r="JC380" s="33"/>
      <c r="JD380" s="33"/>
      <c r="JE380" s="33"/>
      <c r="JF380" s="33"/>
      <c r="JG380" s="33"/>
      <c r="JH380" s="33"/>
      <c r="JI380" s="33"/>
      <c r="JJ380" s="33"/>
      <c r="JK380" s="33"/>
      <c r="JL380" s="33"/>
      <c r="JM380" s="33"/>
      <c r="JN380" s="33"/>
      <c r="JO380" s="33"/>
      <c r="JP380" s="33"/>
      <c r="JQ380" s="33"/>
      <c r="JR380" s="33"/>
      <c r="KZ380" s="33"/>
      <c r="LA380" s="33"/>
      <c r="LB380" s="33"/>
      <c r="LC380" s="33"/>
      <c r="LD380" s="33"/>
      <c r="LE380" s="33"/>
      <c r="LF380" s="33"/>
      <c r="LG380" s="33"/>
      <c r="LH380" s="33"/>
      <c r="LI380" s="33"/>
      <c r="LJ380" s="33"/>
      <c r="LK380" s="33"/>
      <c r="LL380" s="33"/>
      <c r="LM380" s="33"/>
      <c r="LN380" s="33"/>
      <c r="LO380" s="33"/>
      <c r="LP380" s="44"/>
      <c r="LQ380" s="44"/>
      <c r="LR380" s="44"/>
      <c r="LS380" s="44"/>
      <c r="LT380" s="44"/>
      <c r="LU380" s="44"/>
      <c r="LV380" s="44"/>
    </row>
    <row r="381" spans="1:334" x14ac:dyDescent="0.2">
      <c r="A381" s="1" t="s">
        <v>8962</v>
      </c>
      <c r="B381" s="1" t="s">
        <v>8960</v>
      </c>
      <c r="D381" s="1" t="s">
        <v>8946</v>
      </c>
      <c r="E381" s="1" t="s">
        <v>7</v>
      </c>
      <c r="F381" s="1" t="s">
        <v>8187</v>
      </c>
      <c r="G381" s="1" t="s">
        <v>8947</v>
      </c>
      <c r="H381" s="1" t="s">
        <v>8963</v>
      </c>
      <c r="J381" s="1" t="s">
        <v>8953</v>
      </c>
      <c r="K381" s="1">
        <v>2014</v>
      </c>
      <c r="L381" s="1" t="s">
        <v>8950</v>
      </c>
      <c r="M381" s="1" t="s">
        <v>7659</v>
      </c>
      <c r="N381" s="17" t="s">
        <v>7945</v>
      </c>
      <c r="O381" s="33"/>
      <c r="P381" s="33"/>
      <c r="Q381" s="33"/>
      <c r="R381" s="33"/>
      <c r="S381" s="33">
        <v>7.2</v>
      </c>
      <c r="T381" s="33"/>
      <c r="U381" s="33"/>
      <c r="V381" s="33"/>
      <c r="W381" s="33"/>
      <c r="X381" s="33"/>
      <c r="Y381" s="33"/>
      <c r="Z381" s="33">
        <v>21.9008</v>
      </c>
      <c r="AA381" s="33"/>
      <c r="AB381" s="33"/>
      <c r="AC381" s="33">
        <v>1.2991999999999999</v>
      </c>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33"/>
      <c r="BE381" s="33"/>
      <c r="BF381" s="33"/>
      <c r="BG381" s="33"/>
      <c r="BH381" s="33"/>
      <c r="BI381" s="33"/>
      <c r="BJ381" s="33"/>
      <c r="BK381" s="33"/>
      <c r="BL381" s="33"/>
      <c r="BM381" s="33"/>
      <c r="BN381" s="33"/>
      <c r="BO381" s="33"/>
      <c r="BP381" s="33"/>
      <c r="BQ381" s="33">
        <v>2.8768000000000002</v>
      </c>
      <c r="BR381" s="33"/>
      <c r="BS381" s="33"/>
      <c r="BT381" s="33"/>
      <c r="BU381" s="33"/>
      <c r="BV381" s="33"/>
      <c r="BW381" s="33"/>
      <c r="BX381" s="33"/>
      <c r="BY381" s="33"/>
      <c r="BZ381" s="33"/>
      <c r="CA381" s="33"/>
      <c r="CB381" s="33"/>
      <c r="CC381" s="33"/>
      <c r="CD381" s="33"/>
      <c r="CE381" s="33"/>
      <c r="CF381" s="33"/>
      <c r="CG381" s="33"/>
      <c r="CH381" s="33"/>
      <c r="CI381" s="33"/>
      <c r="CJ381" s="33"/>
      <c r="CK381" s="33"/>
      <c r="CL381" s="33"/>
      <c r="CM381" s="33"/>
      <c r="CN381" s="33"/>
      <c r="CO381" s="33"/>
      <c r="CP381" s="33">
        <v>222.71999999999997</v>
      </c>
      <c r="CQ381" s="33"/>
      <c r="CR381" s="33">
        <v>0.76838399999999996</v>
      </c>
      <c r="CS381" s="33">
        <v>5.8760959999999995</v>
      </c>
      <c r="CT381" s="33"/>
      <c r="CU381" s="33"/>
      <c r="CV381" s="33">
        <v>157.76000000000002</v>
      </c>
      <c r="CW381" s="33">
        <v>1.8504320000000001</v>
      </c>
      <c r="CX381" s="33"/>
      <c r="CY381" s="33">
        <v>361.92</v>
      </c>
      <c r="CZ381" s="33"/>
      <c r="DA381" s="33">
        <v>2.5863360000000002</v>
      </c>
      <c r="DB381" s="33"/>
      <c r="DC381" s="33"/>
      <c r="DD381" s="33"/>
      <c r="DE381" s="33"/>
      <c r="DF381" s="33"/>
      <c r="DG381" s="33"/>
      <c r="DH381" s="33"/>
      <c r="DI381" s="33"/>
      <c r="DJ381" s="33"/>
      <c r="DK381" s="33"/>
      <c r="DL381" s="33"/>
      <c r="DM381" s="33"/>
      <c r="DN381" s="33"/>
      <c r="DO381" s="33"/>
      <c r="DP381" s="33"/>
      <c r="DQ381" s="33"/>
      <c r="DR381" s="33"/>
      <c r="DS381" s="33"/>
      <c r="DT381" s="33"/>
      <c r="DU381" s="33"/>
      <c r="DV381" s="33"/>
      <c r="DW381" s="33"/>
      <c r="DX381" s="33"/>
      <c r="DY381" s="33"/>
      <c r="DZ381" s="33"/>
      <c r="EA381" s="33"/>
      <c r="EB381" s="33"/>
      <c r="EC381" s="33"/>
      <c r="ED381" s="33"/>
      <c r="EE381" s="33"/>
      <c r="EF381" s="33"/>
      <c r="EG381" s="33"/>
      <c r="EH381" s="33"/>
      <c r="EI381" s="33"/>
      <c r="EJ381" s="33"/>
      <c r="EK381" s="33"/>
      <c r="EL381" s="33"/>
      <c r="EM381" s="33"/>
      <c r="EN381" s="33"/>
      <c r="EO381" s="33"/>
      <c r="EP381" s="33"/>
      <c r="EQ381" s="33"/>
      <c r="ER381" s="33"/>
      <c r="ES381" s="33"/>
      <c r="ET381" s="33"/>
      <c r="EU381" s="33"/>
      <c r="EV381" s="33"/>
      <c r="EW381" s="33"/>
      <c r="EX381" s="33"/>
      <c r="EY381" s="33"/>
      <c r="EZ381" s="33"/>
      <c r="FA381" s="33"/>
      <c r="FB381" s="33"/>
      <c r="FC381" s="33"/>
      <c r="FD381" s="33"/>
      <c r="FE381" s="33"/>
      <c r="FF381" s="33"/>
      <c r="FG381" s="33"/>
      <c r="FH381" s="33"/>
      <c r="FI381" s="33"/>
      <c r="FJ381" s="33"/>
      <c r="FK381" s="33"/>
      <c r="FL381" s="33"/>
      <c r="FM381" s="33"/>
      <c r="FN381" s="33"/>
      <c r="FO381" s="33"/>
      <c r="FP381" s="33"/>
      <c r="FQ381" s="33"/>
      <c r="FR381" s="33"/>
      <c r="FS381" s="33"/>
      <c r="FT381" s="33"/>
      <c r="FU381" s="33"/>
      <c r="FV381" s="33"/>
      <c r="FW381" s="33"/>
      <c r="FX381" s="33"/>
      <c r="FY381" s="33"/>
      <c r="FZ381" s="33"/>
      <c r="GA381" s="33"/>
      <c r="GB381" s="33"/>
      <c r="GC381" s="33"/>
      <c r="GD381" s="33"/>
      <c r="GE381" s="33"/>
      <c r="GF381" s="33"/>
      <c r="GG381" s="33"/>
      <c r="GH381" s="33"/>
      <c r="GI381" s="33"/>
      <c r="GJ381" s="33"/>
      <c r="GK381" s="33"/>
      <c r="GL381" s="33"/>
      <c r="GM381" s="33"/>
      <c r="GN381" s="33"/>
      <c r="GO381" s="33"/>
      <c r="GP381" s="33"/>
      <c r="GQ381" s="33"/>
      <c r="GR381" s="33"/>
      <c r="GS381" s="33"/>
      <c r="GT381" s="33"/>
      <c r="GU381" s="33"/>
      <c r="GV381" s="33"/>
      <c r="GW381" s="33"/>
      <c r="GX381" s="33"/>
      <c r="GY381" s="33"/>
      <c r="GZ381" s="33"/>
      <c r="HA381" s="33"/>
      <c r="HB381" s="33"/>
      <c r="HC381" s="33"/>
      <c r="HD381" s="33"/>
      <c r="HE381" s="33"/>
      <c r="HF381" s="33"/>
      <c r="HG381" s="33"/>
      <c r="HH381" s="33"/>
      <c r="HI381" s="33"/>
      <c r="HJ381" s="33"/>
      <c r="HK381" s="33"/>
      <c r="HL381" s="33"/>
      <c r="HM381" s="33"/>
      <c r="HN381" s="33"/>
      <c r="HO381" s="33"/>
      <c r="HP381" s="33"/>
      <c r="HQ381" s="33"/>
      <c r="HR381" s="33"/>
      <c r="HS381" s="33"/>
      <c r="HT381" s="33"/>
      <c r="HU381" s="33"/>
      <c r="HV381" s="33"/>
      <c r="HW381" s="33"/>
      <c r="HX381" s="33"/>
      <c r="HY381" s="33"/>
      <c r="HZ381" s="33"/>
      <c r="IA381" s="33"/>
      <c r="IB381" s="33"/>
      <c r="IC381" s="33"/>
      <c r="ID381" s="33"/>
      <c r="IE381" s="33"/>
      <c r="IF381" s="33"/>
      <c r="IG381" s="33"/>
      <c r="IH381" s="33"/>
      <c r="II381" s="33"/>
      <c r="IJ381" s="33"/>
      <c r="IK381" s="33"/>
      <c r="IL381" s="33"/>
      <c r="IM381" s="33"/>
      <c r="IN381" s="33"/>
      <c r="IO381" s="33"/>
      <c r="IP381" s="33"/>
      <c r="IQ381" s="33"/>
      <c r="IR381" s="33"/>
      <c r="IS381" s="33"/>
      <c r="IT381" s="33"/>
      <c r="IU381" s="33"/>
      <c r="IV381" s="33"/>
      <c r="IW381" s="33"/>
      <c r="IX381" s="33"/>
      <c r="IY381" s="33"/>
      <c r="IZ381" s="33"/>
      <c r="JA381" s="33"/>
      <c r="JB381" s="33"/>
      <c r="JC381" s="33"/>
      <c r="JD381" s="33"/>
      <c r="JE381" s="33"/>
      <c r="JF381" s="33"/>
      <c r="JG381" s="33"/>
      <c r="JH381" s="33"/>
      <c r="JI381" s="33"/>
      <c r="JJ381" s="33"/>
      <c r="JK381" s="33"/>
      <c r="JL381" s="33"/>
      <c r="JM381" s="33"/>
      <c r="JN381" s="33"/>
      <c r="JO381" s="33"/>
      <c r="JP381" s="33"/>
      <c r="JQ381" s="33"/>
      <c r="JR381" s="33"/>
      <c r="KZ381" s="33"/>
      <c r="LA381" s="33"/>
      <c r="LB381" s="33"/>
      <c r="LC381" s="33"/>
      <c r="LD381" s="33"/>
      <c r="LE381" s="33"/>
      <c r="LF381" s="33"/>
      <c r="LG381" s="33"/>
      <c r="LH381" s="33"/>
      <c r="LI381" s="33"/>
      <c r="LJ381" s="33"/>
      <c r="LK381" s="33"/>
      <c r="LL381" s="33"/>
      <c r="LM381" s="33"/>
      <c r="LN381" s="33"/>
      <c r="LO381" s="33"/>
      <c r="LP381" s="44"/>
      <c r="LQ381" s="44"/>
      <c r="LR381" s="44"/>
      <c r="LS381" s="44"/>
      <c r="LT381" s="44"/>
      <c r="LU381" s="44"/>
      <c r="LV381" s="44"/>
    </row>
    <row r="382" spans="1:334" x14ac:dyDescent="0.2">
      <c r="A382" s="1" t="s">
        <v>8964</v>
      </c>
      <c r="B382" s="1" t="s">
        <v>8965</v>
      </c>
      <c r="D382" s="1" t="s">
        <v>8946</v>
      </c>
      <c r="E382" s="1" t="s">
        <v>7</v>
      </c>
      <c r="F382" s="1" t="s">
        <v>8187</v>
      </c>
      <c r="G382" s="1" t="s">
        <v>8947</v>
      </c>
      <c r="H382" s="1" t="s">
        <v>8966</v>
      </c>
      <c r="J382" s="1" t="s">
        <v>8953</v>
      </c>
      <c r="K382" s="1">
        <v>2014</v>
      </c>
      <c r="L382" s="1" t="s">
        <v>8950</v>
      </c>
      <c r="M382" s="1" t="s">
        <v>7659</v>
      </c>
      <c r="N382" s="17" t="s">
        <v>7945</v>
      </c>
      <c r="O382" s="33"/>
      <c r="P382" s="33"/>
      <c r="Q382" s="33"/>
      <c r="R382" s="33"/>
      <c r="S382" s="33">
        <v>8.5</v>
      </c>
      <c r="T382" s="33"/>
      <c r="U382" s="33"/>
      <c r="V382" s="33"/>
      <c r="W382" s="33"/>
      <c r="X382" s="33"/>
      <c r="Y382" s="33"/>
      <c r="Z382" s="33">
        <v>20.679000000000002</v>
      </c>
      <c r="AA382" s="33"/>
      <c r="AB382" s="33"/>
      <c r="AC382" s="33">
        <v>0.62220000000000009</v>
      </c>
      <c r="AD382" s="33"/>
      <c r="AE382" s="33"/>
      <c r="AF382" s="33"/>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33"/>
      <c r="BC382" s="33"/>
      <c r="BD382" s="33"/>
      <c r="BE382" s="33"/>
      <c r="BF382" s="33"/>
      <c r="BG382" s="33"/>
      <c r="BH382" s="33"/>
      <c r="BI382" s="33"/>
      <c r="BJ382" s="33"/>
      <c r="BK382" s="33"/>
      <c r="BL382" s="33"/>
      <c r="BM382" s="33"/>
      <c r="BN382" s="33"/>
      <c r="BO382" s="33"/>
      <c r="BP382" s="33"/>
      <c r="BQ382" s="33">
        <v>2.7816000000000001</v>
      </c>
      <c r="BR382" s="33"/>
      <c r="BS382" s="33"/>
      <c r="BT382" s="33"/>
      <c r="BU382" s="33"/>
      <c r="BV382" s="33"/>
      <c r="BW382" s="33"/>
      <c r="BX382" s="33"/>
      <c r="BY382" s="33"/>
      <c r="BZ382" s="33"/>
      <c r="CA382" s="33"/>
      <c r="CB382" s="33"/>
      <c r="CC382" s="33"/>
      <c r="CD382" s="33"/>
      <c r="CE382" s="33"/>
      <c r="CF382" s="33"/>
      <c r="CG382" s="33"/>
      <c r="CH382" s="33"/>
      <c r="CI382" s="33"/>
      <c r="CJ382" s="33"/>
      <c r="CK382" s="33"/>
      <c r="CL382" s="33"/>
      <c r="CM382" s="33"/>
      <c r="CN382" s="33"/>
      <c r="CO382" s="33"/>
      <c r="CP382" s="33">
        <v>173.85</v>
      </c>
      <c r="CQ382" s="33"/>
      <c r="CR382" s="33">
        <v>0.97721999999999998</v>
      </c>
      <c r="CS382" s="33">
        <v>6.1661850000000005</v>
      </c>
      <c r="CT382" s="33"/>
      <c r="CU382" s="33"/>
      <c r="CV382" s="33">
        <v>164.7</v>
      </c>
      <c r="CW382" s="33">
        <v>1.0046700000000002</v>
      </c>
      <c r="CX382" s="33"/>
      <c r="CY382" s="33">
        <v>439.20000000000005</v>
      </c>
      <c r="CZ382" s="33"/>
      <c r="DA382" s="33">
        <v>4.1110950000000006</v>
      </c>
      <c r="DB382" s="33"/>
      <c r="DC382" s="33"/>
      <c r="DD382" s="33"/>
      <c r="DE382" s="33"/>
      <c r="DF382" s="33"/>
      <c r="DG382" s="33"/>
      <c r="DH382" s="33"/>
      <c r="DI382" s="33"/>
      <c r="DJ382" s="33"/>
      <c r="DK382" s="33"/>
      <c r="DL382" s="33"/>
      <c r="DM382" s="33"/>
      <c r="DN382" s="33"/>
      <c r="DO382" s="33"/>
      <c r="DP382" s="33"/>
      <c r="DQ382" s="33"/>
      <c r="DR382" s="33"/>
      <c r="DS382" s="33"/>
      <c r="DT382" s="33"/>
      <c r="DU382" s="33"/>
      <c r="DV382" s="33"/>
      <c r="DW382" s="33"/>
      <c r="DX382" s="33"/>
      <c r="DY382" s="33"/>
      <c r="DZ382" s="33"/>
      <c r="EA382" s="33"/>
      <c r="EB382" s="33"/>
      <c r="EC382" s="33"/>
      <c r="ED382" s="33"/>
      <c r="EE382" s="33"/>
      <c r="EF382" s="33"/>
      <c r="EG382" s="33"/>
      <c r="EH382" s="33"/>
      <c r="EI382" s="33"/>
      <c r="EJ382" s="33"/>
      <c r="EK382" s="33"/>
      <c r="EL382" s="33"/>
      <c r="EM382" s="33"/>
      <c r="EN382" s="33"/>
      <c r="EO382" s="33"/>
      <c r="EP382" s="33"/>
      <c r="EQ382" s="33"/>
      <c r="ER382" s="33"/>
      <c r="ES382" s="33"/>
      <c r="ET382" s="33"/>
      <c r="EU382" s="33"/>
      <c r="EV382" s="33"/>
      <c r="EW382" s="33"/>
      <c r="EX382" s="33"/>
      <c r="EY382" s="33"/>
      <c r="EZ382" s="33"/>
      <c r="FA382" s="33"/>
      <c r="FB382" s="33"/>
      <c r="FC382" s="33"/>
      <c r="FD382" s="33"/>
      <c r="FE382" s="33"/>
      <c r="FF382" s="33"/>
      <c r="FG382" s="33"/>
      <c r="FH382" s="33"/>
      <c r="FI382" s="33"/>
      <c r="FJ382" s="33"/>
      <c r="FK382" s="33"/>
      <c r="FL382" s="33"/>
      <c r="FM382" s="33"/>
      <c r="FN382" s="33"/>
      <c r="FO382" s="33"/>
      <c r="FP382" s="33"/>
      <c r="FQ382" s="33"/>
      <c r="FR382" s="33"/>
      <c r="FS382" s="33"/>
      <c r="FT382" s="33"/>
      <c r="FU382" s="33"/>
      <c r="FV382" s="33"/>
      <c r="FW382" s="33"/>
      <c r="FX382" s="33"/>
      <c r="FY382" s="33"/>
      <c r="FZ382" s="33"/>
      <c r="GA382" s="33"/>
      <c r="GB382" s="33"/>
      <c r="GC382" s="33"/>
      <c r="GD382" s="33"/>
      <c r="GE382" s="33"/>
      <c r="GF382" s="33"/>
      <c r="GG382" s="33"/>
      <c r="GH382" s="33"/>
      <c r="GI382" s="33"/>
      <c r="GJ382" s="33"/>
      <c r="GK382" s="33"/>
      <c r="GL382" s="33"/>
      <c r="GM382" s="33"/>
      <c r="GN382" s="33"/>
      <c r="GO382" s="33"/>
      <c r="GP382" s="33"/>
      <c r="GQ382" s="33"/>
      <c r="GR382" s="33"/>
      <c r="GS382" s="33"/>
      <c r="GT382" s="33"/>
      <c r="GU382" s="33"/>
      <c r="GV382" s="33"/>
      <c r="GW382" s="33"/>
      <c r="GX382" s="33"/>
      <c r="GY382" s="33"/>
      <c r="GZ382" s="33"/>
      <c r="HA382" s="33"/>
      <c r="HB382" s="33"/>
      <c r="HC382" s="33"/>
      <c r="HD382" s="33"/>
      <c r="HE382" s="33"/>
      <c r="HF382" s="33"/>
      <c r="HG382" s="33"/>
      <c r="HH382" s="33"/>
      <c r="HI382" s="33"/>
      <c r="HJ382" s="33"/>
      <c r="HK382" s="33"/>
      <c r="HL382" s="33"/>
      <c r="HM382" s="33"/>
      <c r="HN382" s="33"/>
      <c r="HO382" s="33"/>
      <c r="HP382" s="33"/>
      <c r="HQ382" s="33"/>
      <c r="HR382" s="33"/>
      <c r="HS382" s="33"/>
      <c r="HT382" s="33"/>
      <c r="HU382" s="33"/>
      <c r="HV382" s="33"/>
      <c r="HW382" s="33"/>
      <c r="HX382" s="33"/>
      <c r="HY382" s="33"/>
      <c r="HZ382" s="33"/>
      <c r="IA382" s="33"/>
      <c r="IB382" s="33"/>
      <c r="IC382" s="33"/>
      <c r="ID382" s="33"/>
      <c r="IE382" s="33"/>
      <c r="IF382" s="33"/>
      <c r="IG382" s="33"/>
      <c r="IH382" s="33"/>
      <c r="II382" s="33"/>
      <c r="IJ382" s="33"/>
      <c r="IK382" s="33"/>
      <c r="IL382" s="33"/>
      <c r="IM382" s="33"/>
      <c r="IN382" s="33"/>
      <c r="IO382" s="33"/>
      <c r="IP382" s="33"/>
      <c r="IQ382" s="33"/>
      <c r="IR382" s="33"/>
      <c r="IS382" s="33"/>
      <c r="IT382" s="33"/>
      <c r="IU382" s="33"/>
      <c r="IV382" s="33"/>
      <c r="IW382" s="33"/>
      <c r="IX382" s="33"/>
      <c r="IY382" s="33"/>
      <c r="IZ382" s="33"/>
      <c r="JA382" s="33"/>
      <c r="JB382" s="33"/>
      <c r="JC382" s="33"/>
      <c r="JD382" s="33"/>
      <c r="JE382" s="33"/>
      <c r="JF382" s="33"/>
      <c r="JG382" s="33"/>
      <c r="JH382" s="33"/>
      <c r="JI382" s="33"/>
      <c r="JJ382" s="33"/>
      <c r="JK382" s="33"/>
      <c r="JL382" s="33"/>
      <c r="JM382" s="33"/>
      <c r="JN382" s="33"/>
      <c r="JO382" s="33"/>
      <c r="JP382" s="33"/>
      <c r="JQ382" s="33"/>
      <c r="JR382" s="33"/>
      <c r="KZ382" s="33"/>
      <c r="LA382" s="33"/>
      <c r="LB382" s="33"/>
      <c r="LC382" s="33"/>
      <c r="LD382" s="33"/>
      <c r="LE382" s="33"/>
      <c r="LF382" s="33"/>
      <c r="LG382" s="33"/>
      <c r="LH382" s="33"/>
      <c r="LI382" s="33"/>
      <c r="LJ382" s="33"/>
      <c r="LK382" s="33"/>
      <c r="LL382" s="33"/>
      <c r="LM382" s="33"/>
      <c r="LN382" s="33"/>
      <c r="LO382" s="33"/>
      <c r="LP382" s="44"/>
      <c r="LQ382" s="44"/>
      <c r="LR382" s="44"/>
      <c r="LS382" s="44"/>
      <c r="LT382" s="44"/>
      <c r="LU382" s="44"/>
      <c r="LV382" s="44"/>
    </row>
    <row r="383" spans="1:334" x14ac:dyDescent="0.2">
      <c r="A383" s="1" t="s">
        <v>8967</v>
      </c>
      <c r="B383" s="1" t="s">
        <v>8965</v>
      </c>
      <c r="D383" s="1" t="s">
        <v>8946</v>
      </c>
      <c r="E383" s="1" t="s">
        <v>7</v>
      </c>
      <c r="F383" s="1" t="s">
        <v>8187</v>
      </c>
      <c r="G383" s="1" t="s">
        <v>8947</v>
      </c>
      <c r="H383" s="1" t="s">
        <v>8968</v>
      </c>
      <c r="J383" s="1" t="s">
        <v>8953</v>
      </c>
      <c r="K383" s="1">
        <v>2014</v>
      </c>
      <c r="L383" s="1" t="s">
        <v>8950</v>
      </c>
      <c r="M383" s="1" t="s">
        <v>7659</v>
      </c>
      <c r="N383" s="17" t="s">
        <v>7945</v>
      </c>
      <c r="O383" s="33"/>
      <c r="P383" s="33"/>
      <c r="Q383" s="33"/>
      <c r="R383" s="33"/>
      <c r="S383" s="33">
        <v>9.1</v>
      </c>
      <c r="T383" s="33"/>
      <c r="U383" s="33"/>
      <c r="V383" s="33"/>
      <c r="W383" s="33"/>
      <c r="X383" s="33"/>
      <c r="Y383" s="33"/>
      <c r="Z383" s="33">
        <v>19.725300000000001</v>
      </c>
      <c r="AA383" s="33"/>
      <c r="AB383" s="33"/>
      <c r="AC383" s="33">
        <v>1.1998800000000001</v>
      </c>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33"/>
      <c r="BE383" s="33"/>
      <c r="BF383" s="33"/>
      <c r="BG383" s="33"/>
      <c r="BH383" s="33"/>
      <c r="BI383" s="33"/>
      <c r="BJ383" s="33"/>
      <c r="BK383" s="33"/>
      <c r="BL383" s="33"/>
      <c r="BM383" s="33"/>
      <c r="BN383" s="33"/>
      <c r="BO383" s="33"/>
      <c r="BP383" s="33"/>
      <c r="BQ383" s="33">
        <v>2.8088100000000003</v>
      </c>
      <c r="BR383" s="33"/>
      <c r="BS383" s="33"/>
      <c r="BT383" s="33"/>
      <c r="BU383" s="33"/>
      <c r="BV383" s="33"/>
      <c r="BW383" s="33"/>
      <c r="BX383" s="33"/>
      <c r="BY383" s="33"/>
      <c r="BZ383" s="33"/>
      <c r="CA383" s="33"/>
      <c r="CB383" s="33"/>
      <c r="CC383" s="33"/>
      <c r="CD383" s="33"/>
      <c r="CE383" s="33"/>
      <c r="CF383" s="33"/>
      <c r="CG383" s="33"/>
      <c r="CH383" s="33"/>
      <c r="CI383" s="33"/>
      <c r="CJ383" s="33"/>
      <c r="CK383" s="33"/>
      <c r="CL383" s="33"/>
      <c r="CM383" s="33"/>
      <c r="CN383" s="33"/>
      <c r="CO383" s="33"/>
      <c r="CP383" s="33">
        <v>236.34000000000006</v>
      </c>
      <c r="CQ383" s="33"/>
      <c r="CR383" s="33">
        <v>0.67356900000000008</v>
      </c>
      <c r="CS383" s="33">
        <v>7.6428719999999997</v>
      </c>
      <c r="CT383" s="33"/>
      <c r="CU383" s="33"/>
      <c r="CV383" s="33">
        <v>145.44000000000003</v>
      </c>
      <c r="CW383" s="33">
        <v>1.5471180000000002</v>
      </c>
      <c r="CX383" s="33"/>
      <c r="CY383" s="33">
        <v>336.33000000000004</v>
      </c>
      <c r="CZ383" s="33"/>
      <c r="DA383" s="33">
        <v>3.3896610000000003</v>
      </c>
      <c r="DB383" s="33"/>
      <c r="DC383" s="33"/>
      <c r="DD383" s="33"/>
      <c r="DE383" s="33"/>
      <c r="DF383" s="33"/>
      <c r="DG383" s="33"/>
      <c r="DH383" s="33"/>
      <c r="DI383" s="33"/>
      <c r="DJ383" s="33"/>
      <c r="DK383" s="33"/>
      <c r="DL383" s="33"/>
      <c r="DM383" s="33"/>
      <c r="DN383" s="33"/>
      <c r="DO383" s="33"/>
      <c r="DP383" s="33"/>
      <c r="DQ383" s="33"/>
      <c r="DR383" s="33"/>
      <c r="DS383" s="33"/>
      <c r="DT383" s="33"/>
      <c r="DU383" s="33"/>
      <c r="DV383" s="33"/>
      <c r="DW383" s="33"/>
      <c r="DX383" s="33"/>
      <c r="DY383" s="33"/>
      <c r="DZ383" s="33"/>
      <c r="EA383" s="33"/>
      <c r="EB383" s="33"/>
      <c r="EC383" s="33"/>
      <c r="ED383" s="33"/>
      <c r="EE383" s="33"/>
      <c r="EF383" s="33"/>
      <c r="EG383" s="33"/>
      <c r="EH383" s="33"/>
      <c r="EI383" s="33"/>
      <c r="EJ383" s="33"/>
      <c r="EK383" s="33"/>
      <c r="EL383" s="33"/>
      <c r="EM383" s="33"/>
      <c r="EN383" s="33"/>
      <c r="EO383" s="33"/>
      <c r="EP383" s="33"/>
      <c r="EQ383" s="33"/>
      <c r="ER383" s="33"/>
      <c r="ES383" s="33"/>
      <c r="ET383" s="33"/>
      <c r="EU383" s="33"/>
      <c r="EV383" s="33"/>
      <c r="EW383" s="33"/>
      <c r="EX383" s="33"/>
      <c r="EY383" s="33"/>
      <c r="EZ383" s="33"/>
      <c r="FA383" s="33"/>
      <c r="FB383" s="33"/>
      <c r="FC383" s="33"/>
      <c r="FD383" s="33"/>
      <c r="FE383" s="33"/>
      <c r="FF383" s="33"/>
      <c r="FG383" s="33"/>
      <c r="FH383" s="33"/>
      <c r="FI383" s="33"/>
      <c r="FJ383" s="33"/>
      <c r="FK383" s="33"/>
      <c r="FL383" s="33"/>
      <c r="FM383" s="33"/>
      <c r="FN383" s="33"/>
      <c r="FO383" s="33"/>
      <c r="FP383" s="33"/>
      <c r="FQ383" s="33"/>
      <c r="FR383" s="33"/>
      <c r="FS383" s="33"/>
      <c r="FT383" s="33"/>
      <c r="FU383" s="33"/>
      <c r="FV383" s="33"/>
      <c r="FW383" s="33"/>
      <c r="FX383" s="33"/>
      <c r="FY383" s="33"/>
      <c r="FZ383" s="33"/>
      <c r="GA383" s="33"/>
      <c r="GB383" s="33"/>
      <c r="GC383" s="33"/>
      <c r="GD383" s="33"/>
      <c r="GE383" s="33"/>
      <c r="GF383" s="33"/>
      <c r="GG383" s="33"/>
      <c r="GH383" s="33"/>
      <c r="GI383" s="33"/>
      <c r="GJ383" s="33"/>
      <c r="GK383" s="33"/>
      <c r="GL383" s="33"/>
      <c r="GM383" s="33"/>
      <c r="GN383" s="33"/>
      <c r="GO383" s="33"/>
      <c r="GP383" s="33"/>
      <c r="GQ383" s="33"/>
      <c r="GR383" s="33"/>
      <c r="GS383" s="33"/>
      <c r="GT383" s="33"/>
      <c r="GU383" s="33"/>
      <c r="GV383" s="33"/>
      <c r="GW383" s="33"/>
      <c r="GX383" s="33"/>
      <c r="GY383" s="33"/>
      <c r="GZ383" s="33"/>
      <c r="HA383" s="33"/>
      <c r="HB383" s="33"/>
      <c r="HC383" s="33"/>
      <c r="HD383" s="33"/>
      <c r="HE383" s="33"/>
      <c r="HF383" s="33"/>
      <c r="HG383" s="33"/>
      <c r="HH383" s="33"/>
      <c r="HI383" s="33"/>
      <c r="HJ383" s="33"/>
      <c r="HK383" s="33"/>
      <c r="HL383" s="33"/>
      <c r="HM383" s="33"/>
      <c r="HN383" s="33"/>
      <c r="HO383" s="33"/>
      <c r="HP383" s="33"/>
      <c r="HQ383" s="33"/>
      <c r="HR383" s="33"/>
      <c r="HS383" s="33"/>
      <c r="HT383" s="33"/>
      <c r="HU383" s="33"/>
      <c r="HV383" s="33"/>
      <c r="HW383" s="33"/>
      <c r="HX383" s="33"/>
      <c r="HY383" s="33"/>
      <c r="HZ383" s="33"/>
      <c r="IA383" s="33"/>
      <c r="IB383" s="33"/>
      <c r="IC383" s="33"/>
      <c r="ID383" s="33"/>
      <c r="IE383" s="33"/>
      <c r="IF383" s="33"/>
      <c r="IG383" s="33"/>
      <c r="IH383" s="33"/>
      <c r="II383" s="33"/>
      <c r="IJ383" s="33"/>
      <c r="IK383" s="33"/>
      <c r="IL383" s="33"/>
      <c r="IM383" s="33"/>
      <c r="IN383" s="33"/>
      <c r="IO383" s="33"/>
      <c r="IP383" s="33"/>
      <c r="IQ383" s="33"/>
      <c r="IR383" s="33"/>
      <c r="IS383" s="33"/>
      <c r="IT383" s="33"/>
      <c r="IU383" s="33"/>
      <c r="IV383" s="33"/>
      <c r="IW383" s="33"/>
      <c r="IX383" s="33"/>
      <c r="IY383" s="33"/>
      <c r="IZ383" s="33"/>
      <c r="JA383" s="33"/>
      <c r="JB383" s="33"/>
      <c r="JC383" s="33"/>
      <c r="JD383" s="33"/>
      <c r="JE383" s="33"/>
      <c r="JF383" s="33"/>
      <c r="JG383" s="33"/>
      <c r="JH383" s="33"/>
      <c r="JI383" s="33"/>
      <c r="JJ383" s="33"/>
      <c r="JK383" s="33"/>
      <c r="JL383" s="33"/>
      <c r="JM383" s="33"/>
      <c r="JN383" s="33"/>
      <c r="JO383" s="33"/>
      <c r="JP383" s="33"/>
      <c r="JQ383" s="33"/>
      <c r="JR383" s="33"/>
      <c r="KZ383" s="33"/>
      <c r="LA383" s="33"/>
      <c r="LB383" s="33"/>
      <c r="LC383" s="33"/>
      <c r="LD383" s="33"/>
      <c r="LE383" s="33"/>
      <c r="LF383" s="33"/>
      <c r="LG383" s="33"/>
      <c r="LH383" s="33"/>
      <c r="LI383" s="33"/>
      <c r="LJ383" s="33"/>
      <c r="LK383" s="33"/>
      <c r="LL383" s="33"/>
      <c r="LM383" s="33"/>
      <c r="LN383" s="33"/>
      <c r="LO383" s="33"/>
      <c r="LP383" s="44"/>
      <c r="LQ383" s="44"/>
      <c r="LR383" s="44"/>
      <c r="LS383" s="44"/>
      <c r="LT383" s="44"/>
      <c r="LU383" s="44"/>
      <c r="LV383" s="44"/>
    </row>
    <row r="384" spans="1:334" x14ac:dyDescent="0.2">
      <c r="A384" s="1" t="s">
        <v>8969</v>
      </c>
      <c r="B384" s="1" t="s">
        <v>8970</v>
      </c>
      <c r="D384" s="1" t="s">
        <v>8946</v>
      </c>
      <c r="E384" s="1" t="s">
        <v>7</v>
      </c>
      <c r="F384" s="1" t="s">
        <v>8187</v>
      </c>
      <c r="G384" s="1" t="s">
        <v>8947</v>
      </c>
      <c r="H384" s="1" t="s">
        <v>8971</v>
      </c>
      <c r="J384" s="1" t="s">
        <v>8953</v>
      </c>
      <c r="K384" s="1">
        <v>2014</v>
      </c>
      <c r="L384" s="1" t="s">
        <v>8950</v>
      </c>
      <c r="M384" s="1" t="s">
        <v>7659</v>
      </c>
      <c r="N384" s="17" t="s">
        <v>7945</v>
      </c>
      <c r="O384" s="33"/>
      <c r="P384" s="33"/>
      <c r="Q384" s="33"/>
      <c r="R384" s="33"/>
      <c r="S384" s="33">
        <v>8.5</v>
      </c>
      <c r="T384" s="33"/>
      <c r="U384" s="33"/>
      <c r="V384" s="33"/>
      <c r="W384" s="33"/>
      <c r="X384" s="33"/>
      <c r="Y384" s="33"/>
      <c r="Z384" s="33">
        <v>20.65155</v>
      </c>
      <c r="AA384" s="33"/>
      <c r="AB384" s="33"/>
      <c r="AC384" s="33">
        <v>0.68625000000000003</v>
      </c>
      <c r="AD384" s="33"/>
      <c r="AE384" s="33"/>
      <c r="AF384" s="33"/>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33"/>
      <c r="BC384" s="33"/>
      <c r="BD384" s="33"/>
      <c r="BE384" s="33"/>
      <c r="BF384" s="33"/>
      <c r="BG384" s="33"/>
      <c r="BH384" s="33"/>
      <c r="BI384" s="33"/>
      <c r="BJ384" s="33"/>
      <c r="BK384" s="33"/>
      <c r="BL384" s="33"/>
      <c r="BM384" s="33"/>
      <c r="BN384" s="33"/>
      <c r="BO384" s="33"/>
      <c r="BP384" s="33"/>
      <c r="BQ384" s="33">
        <v>2.9920499999999999</v>
      </c>
      <c r="BR384" s="33"/>
      <c r="BS384" s="33"/>
      <c r="BT384" s="33"/>
      <c r="BU384" s="33"/>
      <c r="BV384" s="33"/>
      <c r="BW384" s="33"/>
      <c r="BX384" s="33"/>
      <c r="BY384" s="33"/>
      <c r="BZ384" s="33"/>
      <c r="CA384" s="33"/>
      <c r="CB384" s="33"/>
      <c r="CC384" s="33"/>
      <c r="CD384" s="33"/>
      <c r="CE384" s="33"/>
      <c r="CF384" s="33"/>
      <c r="CG384" s="33"/>
      <c r="CH384" s="33"/>
      <c r="CI384" s="33"/>
      <c r="CJ384" s="33"/>
      <c r="CK384" s="33"/>
      <c r="CL384" s="33"/>
      <c r="CM384" s="33"/>
      <c r="CN384" s="33"/>
      <c r="CO384" s="33"/>
      <c r="CP384" s="33">
        <v>237.9</v>
      </c>
      <c r="CQ384" s="33"/>
      <c r="CR384" s="33">
        <v>0.68442000000000003</v>
      </c>
      <c r="CS384" s="33">
        <v>6.5724449999999992</v>
      </c>
      <c r="CT384" s="33"/>
      <c r="CU384" s="33"/>
      <c r="CV384" s="33">
        <v>155.55000000000001</v>
      </c>
      <c r="CW384" s="33">
        <v>2.1456749999999998</v>
      </c>
      <c r="CX384" s="33"/>
      <c r="CY384" s="33">
        <v>301.95</v>
      </c>
      <c r="CZ384" s="33"/>
      <c r="DA384" s="33">
        <v>2.5565100000000003</v>
      </c>
      <c r="DB384" s="33"/>
      <c r="DC384" s="33"/>
      <c r="DD384" s="33"/>
      <c r="DE384" s="33"/>
      <c r="DF384" s="33"/>
      <c r="DG384" s="33"/>
      <c r="DH384" s="33"/>
      <c r="DI384" s="33"/>
      <c r="DJ384" s="33"/>
      <c r="DK384" s="33"/>
      <c r="DL384" s="33"/>
      <c r="DM384" s="33"/>
      <c r="DN384" s="33"/>
      <c r="DO384" s="33"/>
      <c r="DP384" s="33"/>
      <c r="DQ384" s="33"/>
      <c r="DR384" s="33"/>
      <c r="DS384" s="33"/>
      <c r="DT384" s="33"/>
      <c r="DU384" s="33"/>
      <c r="DV384" s="33"/>
      <c r="DW384" s="33"/>
      <c r="DX384" s="33"/>
      <c r="DY384" s="33"/>
      <c r="DZ384" s="33"/>
      <c r="EA384" s="33"/>
      <c r="EB384" s="33"/>
      <c r="EC384" s="33"/>
      <c r="ED384" s="33"/>
      <c r="EE384" s="33"/>
      <c r="EF384" s="33"/>
      <c r="EG384" s="33"/>
      <c r="EH384" s="33"/>
      <c r="EI384" s="33"/>
      <c r="EJ384" s="33"/>
      <c r="EK384" s="33"/>
      <c r="EL384" s="33"/>
      <c r="EM384" s="33"/>
      <c r="EN384" s="33"/>
      <c r="EO384" s="33"/>
      <c r="EP384" s="33"/>
      <c r="EQ384" s="33"/>
      <c r="ER384" s="33"/>
      <c r="ES384" s="33"/>
      <c r="ET384" s="33"/>
      <c r="EU384" s="33"/>
      <c r="EV384" s="33"/>
      <c r="EW384" s="33"/>
      <c r="EX384" s="33"/>
      <c r="EY384" s="33"/>
      <c r="EZ384" s="33"/>
      <c r="FA384" s="33"/>
      <c r="FB384" s="33"/>
      <c r="FC384" s="33"/>
      <c r="FD384" s="33"/>
      <c r="FE384" s="33"/>
      <c r="FF384" s="33"/>
      <c r="FG384" s="33"/>
      <c r="FH384" s="33"/>
      <c r="FI384" s="33"/>
      <c r="FJ384" s="33"/>
      <c r="FK384" s="33"/>
      <c r="FL384" s="33"/>
      <c r="FM384" s="33"/>
      <c r="FN384" s="33"/>
      <c r="FO384" s="33"/>
      <c r="FP384" s="33"/>
      <c r="FQ384" s="33"/>
      <c r="FR384" s="33"/>
      <c r="FS384" s="33"/>
      <c r="FT384" s="33"/>
      <c r="FU384" s="33"/>
      <c r="FV384" s="33"/>
      <c r="FW384" s="33"/>
      <c r="FX384" s="33"/>
      <c r="FY384" s="33"/>
      <c r="FZ384" s="33"/>
      <c r="GA384" s="33"/>
      <c r="GB384" s="33"/>
      <c r="GC384" s="33"/>
      <c r="GD384" s="33"/>
      <c r="GE384" s="33"/>
      <c r="GF384" s="33"/>
      <c r="GG384" s="33"/>
      <c r="GH384" s="33"/>
      <c r="GI384" s="33"/>
      <c r="GJ384" s="33"/>
      <c r="GK384" s="33"/>
      <c r="GL384" s="33"/>
      <c r="GM384" s="33"/>
      <c r="GN384" s="33"/>
      <c r="GO384" s="33"/>
      <c r="GP384" s="33"/>
      <c r="GQ384" s="33"/>
      <c r="GR384" s="33"/>
      <c r="GS384" s="33"/>
      <c r="GT384" s="33"/>
      <c r="GU384" s="33"/>
      <c r="GV384" s="33"/>
      <c r="GW384" s="33"/>
      <c r="GX384" s="33"/>
      <c r="GY384" s="33"/>
      <c r="GZ384" s="33"/>
      <c r="HA384" s="33"/>
      <c r="HB384" s="33"/>
      <c r="HC384" s="33"/>
      <c r="HD384" s="33"/>
      <c r="HE384" s="33"/>
      <c r="HF384" s="33"/>
      <c r="HG384" s="33"/>
      <c r="HH384" s="33"/>
      <c r="HI384" s="33"/>
      <c r="HJ384" s="33"/>
      <c r="HK384" s="33"/>
      <c r="HL384" s="33"/>
      <c r="HM384" s="33"/>
      <c r="HN384" s="33"/>
      <c r="HO384" s="33"/>
      <c r="HP384" s="33"/>
      <c r="HQ384" s="33"/>
      <c r="HR384" s="33"/>
      <c r="HS384" s="33"/>
      <c r="HT384" s="33"/>
      <c r="HU384" s="33"/>
      <c r="HV384" s="33"/>
      <c r="HW384" s="33"/>
      <c r="HX384" s="33"/>
      <c r="HY384" s="33"/>
      <c r="HZ384" s="33"/>
      <c r="IA384" s="33"/>
      <c r="IB384" s="33"/>
      <c r="IC384" s="33"/>
      <c r="ID384" s="33"/>
      <c r="IE384" s="33"/>
      <c r="IF384" s="33"/>
      <c r="IG384" s="33"/>
      <c r="IH384" s="33"/>
      <c r="II384" s="33"/>
      <c r="IJ384" s="33"/>
      <c r="IK384" s="33"/>
      <c r="IL384" s="33"/>
      <c r="IM384" s="33"/>
      <c r="IN384" s="33"/>
      <c r="IO384" s="33"/>
      <c r="IP384" s="33"/>
      <c r="IQ384" s="33"/>
      <c r="IR384" s="33"/>
      <c r="IS384" s="33"/>
      <c r="IT384" s="33"/>
      <c r="IU384" s="33"/>
      <c r="IV384" s="33"/>
      <c r="IW384" s="33"/>
      <c r="IX384" s="33"/>
      <c r="IY384" s="33"/>
      <c r="IZ384" s="33"/>
      <c r="JA384" s="33"/>
      <c r="JB384" s="33"/>
      <c r="JC384" s="33"/>
      <c r="JD384" s="33"/>
      <c r="JE384" s="33"/>
      <c r="JF384" s="33"/>
      <c r="JG384" s="33"/>
      <c r="JH384" s="33"/>
      <c r="JI384" s="33"/>
      <c r="JJ384" s="33"/>
      <c r="JK384" s="33"/>
      <c r="JL384" s="33"/>
      <c r="JM384" s="33"/>
      <c r="JN384" s="33"/>
      <c r="JO384" s="33"/>
      <c r="JP384" s="33"/>
      <c r="JQ384" s="33"/>
      <c r="JR384" s="33"/>
      <c r="KZ384" s="33"/>
      <c r="LA384" s="33"/>
      <c r="LB384" s="33"/>
      <c r="LC384" s="33"/>
      <c r="LD384" s="33"/>
      <c r="LE384" s="33"/>
      <c r="LF384" s="33"/>
      <c r="LG384" s="33"/>
      <c r="LH384" s="33"/>
      <c r="LI384" s="33"/>
      <c r="LJ384" s="33"/>
      <c r="LK384" s="33"/>
      <c r="LL384" s="33"/>
      <c r="LM384" s="33"/>
      <c r="LN384" s="33"/>
      <c r="LO384" s="33"/>
      <c r="LP384" s="44"/>
      <c r="LQ384" s="44"/>
      <c r="LR384" s="44"/>
      <c r="LS384" s="44"/>
      <c r="LT384" s="44"/>
      <c r="LU384" s="44"/>
      <c r="LV384" s="44"/>
    </row>
    <row r="385" spans="1:334" x14ac:dyDescent="0.2">
      <c r="A385" s="1" t="s">
        <v>8972</v>
      </c>
      <c r="B385" s="1" t="s">
        <v>8970</v>
      </c>
      <c r="D385" s="1" t="s">
        <v>8946</v>
      </c>
      <c r="E385" s="1" t="s">
        <v>7</v>
      </c>
      <c r="F385" s="1" t="s">
        <v>8187</v>
      </c>
      <c r="G385" s="1" t="s">
        <v>8947</v>
      </c>
      <c r="H385" s="1" t="s">
        <v>8973</v>
      </c>
      <c r="J385" s="1" t="s">
        <v>8953</v>
      </c>
      <c r="K385" s="1">
        <v>2014</v>
      </c>
      <c r="L385" s="1" t="s">
        <v>8950</v>
      </c>
      <c r="M385" s="1" t="s">
        <v>7659</v>
      </c>
      <c r="N385" s="17" t="s">
        <v>7945</v>
      </c>
      <c r="O385" s="33"/>
      <c r="P385" s="33"/>
      <c r="Q385" s="33"/>
      <c r="R385" s="33"/>
      <c r="S385" s="33">
        <v>7.2</v>
      </c>
      <c r="T385" s="33"/>
      <c r="U385" s="33"/>
      <c r="V385" s="33"/>
      <c r="W385" s="33"/>
      <c r="X385" s="33"/>
      <c r="Y385" s="33"/>
      <c r="Z385" s="33">
        <v>20.787199999999999</v>
      </c>
      <c r="AA385" s="33"/>
      <c r="AB385" s="33"/>
      <c r="AC385" s="33">
        <v>0.85376000000000007</v>
      </c>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33"/>
      <c r="BE385" s="33"/>
      <c r="BF385" s="33"/>
      <c r="BG385" s="33"/>
      <c r="BH385" s="33"/>
      <c r="BI385" s="33"/>
      <c r="BJ385" s="33"/>
      <c r="BK385" s="33"/>
      <c r="BL385" s="33"/>
      <c r="BM385" s="33"/>
      <c r="BN385" s="33"/>
      <c r="BO385" s="33"/>
      <c r="BP385" s="33"/>
      <c r="BQ385" s="33">
        <v>3.4336000000000002</v>
      </c>
      <c r="BR385" s="33"/>
      <c r="BS385" s="33"/>
      <c r="BT385" s="33"/>
      <c r="BU385" s="33"/>
      <c r="BV385" s="33"/>
      <c r="BW385" s="33"/>
      <c r="BX385" s="33"/>
      <c r="BY385" s="33"/>
      <c r="BZ385" s="33"/>
      <c r="CA385" s="33"/>
      <c r="CB385" s="33"/>
      <c r="CC385" s="33"/>
      <c r="CD385" s="33"/>
      <c r="CE385" s="33"/>
      <c r="CF385" s="33"/>
      <c r="CG385" s="33"/>
      <c r="CH385" s="33"/>
      <c r="CI385" s="33"/>
      <c r="CJ385" s="33"/>
      <c r="CK385" s="33"/>
      <c r="CL385" s="33"/>
      <c r="CM385" s="33"/>
      <c r="CN385" s="33"/>
      <c r="CO385" s="33"/>
      <c r="CP385" s="33">
        <v>222.71999999999997</v>
      </c>
      <c r="CQ385" s="33"/>
      <c r="CR385" s="33">
        <v>0.722912</v>
      </c>
      <c r="CS385" s="33">
        <v>5.4213760000000004</v>
      </c>
      <c r="CT385" s="33"/>
      <c r="CU385" s="33"/>
      <c r="CV385" s="33">
        <v>148.47999999999999</v>
      </c>
      <c r="CW385" s="33">
        <v>1.9460159999999997</v>
      </c>
      <c r="CX385" s="33"/>
      <c r="CY385" s="33">
        <v>315.52000000000004</v>
      </c>
      <c r="CZ385" s="33"/>
      <c r="DA385" s="33">
        <v>2.4146559999999999</v>
      </c>
      <c r="DB385" s="33"/>
      <c r="DC385" s="33"/>
      <c r="DD385" s="33"/>
      <c r="DE385" s="33"/>
      <c r="DF385" s="33"/>
      <c r="DG385" s="33"/>
      <c r="DH385" s="33"/>
      <c r="DI385" s="33"/>
      <c r="DJ385" s="33"/>
      <c r="DK385" s="33"/>
      <c r="DL385" s="33"/>
      <c r="DM385" s="33"/>
      <c r="DN385" s="33"/>
      <c r="DO385" s="33"/>
      <c r="DP385" s="33"/>
      <c r="DQ385" s="33"/>
      <c r="DR385" s="33"/>
      <c r="DS385" s="33"/>
      <c r="DT385" s="33"/>
      <c r="DU385" s="33"/>
      <c r="DV385" s="33"/>
      <c r="DW385" s="33"/>
      <c r="DX385" s="33"/>
      <c r="DY385" s="33"/>
      <c r="DZ385" s="33"/>
      <c r="EA385" s="33"/>
      <c r="EB385" s="33"/>
      <c r="EC385" s="33"/>
      <c r="ED385" s="33"/>
      <c r="EE385" s="33"/>
      <c r="EF385" s="33"/>
      <c r="EG385" s="33"/>
      <c r="EH385" s="33"/>
      <c r="EI385" s="33"/>
      <c r="EJ385" s="33"/>
      <c r="EK385" s="33"/>
      <c r="EL385" s="33"/>
      <c r="EM385" s="33"/>
      <c r="EN385" s="33"/>
      <c r="EO385" s="33"/>
      <c r="EP385" s="33"/>
      <c r="EQ385" s="33"/>
      <c r="ER385" s="33"/>
      <c r="ES385" s="33"/>
      <c r="ET385" s="33"/>
      <c r="EU385" s="33"/>
      <c r="EV385" s="33"/>
      <c r="EW385" s="33"/>
      <c r="EX385" s="33"/>
      <c r="EY385" s="33"/>
      <c r="EZ385" s="33"/>
      <c r="FA385" s="33"/>
      <c r="FB385" s="33"/>
      <c r="FC385" s="33"/>
      <c r="FD385" s="33"/>
      <c r="FE385" s="33"/>
      <c r="FF385" s="33"/>
      <c r="FG385" s="33"/>
      <c r="FH385" s="33"/>
      <c r="FI385" s="33"/>
      <c r="FJ385" s="33"/>
      <c r="FK385" s="33"/>
      <c r="FL385" s="33"/>
      <c r="FM385" s="33"/>
      <c r="FN385" s="33"/>
      <c r="FO385" s="33"/>
      <c r="FP385" s="33"/>
      <c r="FQ385" s="33"/>
      <c r="FR385" s="33"/>
      <c r="FS385" s="33"/>
      <c r="FT385" s="33"/>
      <c r="FU385" s="33"/>
      <c r="FV385" s="33"/>
      <c r="FW385" s="33"/>
      <c r="FX385" s="33"/>
      <c r="FY385" s="33"/>
      <c r="FZ385" s="33"/>
      <c r="GA385" s="33"/>
      <c r="GB385" s="33"/>
      <c r="GC385" s="33"/>
      <c r="GD385" s="33"/>
      <c r="GE385" s="33"/>
      <c r="GF385" s="33"/>
      <c r="GG385" s="33"/>
      <c r="GH385" s="33"/>
      <c r="GI385" s="33"/>
      <c r="GJ385" s="33"/>
      <c r="GK385" s="33"/>
      <c r="GL385" s="33"/>
      <c r="GM385" s="33"/>
      <c r="GN385" s="33"/>
      <c r="GO385" s="33"/>
      <c r="GP385" s="33"/>
      <c r="GQ385" s="33"/>
      <c r="GR385" s="33"/>
      <c r="GS385" s="33"/>
      <c r="GT385" s="33"/>
      <c r="GU385" s="33"/>
      <c r="GV385" s="33"/>
      <c r="GW385" s="33"/>
      <c r="GX385" s="33"/>
      <c r="GY385" s="33"/>
      <c r="GZ385" s="33"/>
      <c r="HA385" s="33"/>
      <c r="HB385" s="33"/>
      <c r="HC385" s="33"/>
      <c r="HD385" s="33"/>
      <c r="HE385" s="33"/>
      <c r="HF385" s="33"/>
      <c r="HG385" s="33"/>
      <c r="HH385" s="33"/>
      <c r="HI385" s="33"/>
      <c r="HJ385" s="33"/>
      <c r="HK385" s="33"/>
      <c r="HL385" s="33"/>
      <c r="HM385" s="33"/>
      <c r="HN385" s="33"/>
      <c r="HO385" s="33"/>
      <c r="HP385" s="33"/>
      <c r="HQ385" s="33"/>
      <c r="HR385" s="33"/>
      <c r="HS385" s="33"/>
      <c r="HT385" s="33"/>
      <c r="HU385" s="33"/>
      <c r="HV385" s="33"/>
      <c r="HW385" s="33"/>
      <c r="HX385" s="33"/>
      <c r="HY385" s="33"/>
      <c r="HZ385" s="33"/>
      <c r="IA385" s="33"/>
      <c r="IB385" s="33"/>
      <c r="IC385" s="33"/>
      <c r="ID385" s="33"/>
      <c r="IE385" s="33"/>
      <c r="IF385" s="33"/>
      <c r="IG385" s="33"/>
      <c r="IH385" s="33"/>
      <c r="II385" s="33"/>
      <c r="IJ385" s="33"/>
      <c r="IK385" s="33"/>
      <c r="IL385" s="33"/>
      <c r="IM385" s="33"/>
      <c r="IN385" s="33"/>
      <c r="IO385" s="33"/>
      <c r="IP385" s="33"/>
      <c r="IQ385" s="33"/>
      <c r="IR385" s="33"/>
      <c r="IS385" s="33"/>
      <c r="IT385" s="33"/>
      <c r="IU385" s="33"/>
      <c r="IV385" s="33"/>
      <c r="IW385" s="33"/>
      <c r="IX385" s="33"/>
      <c r="IY385" s="33"/>
      <c r="IZ385" s="33"/>
      <c r="JA385" s="33"/>
      <c r="JB385" s="33"/>
      <c r="JC385" s="33"/>
      <c r="JD385" s="33"/>
      <c r="JE385" s="33"/>
      <c r="JF385" s="33"/>
      <c r="JG385" s="33"/>
      <c r="JH385" s="33"/>
      <c r="JI385" s="33"/>
      <c r="JJ385" s="33"/>
      <c r="JK385" s="33"/>
      <c r="JL385" s="33"/>
      <c r="JM385" s="33"/>
      <c r="JN385" s="33"/>
      <c r="JO385" s="33"/>
      <c r="JP385" s="33"/>
      <c r="JQ385" s="33"/>
      <c r="JR385" s="33"/>
      <c r="KZ385" s="33"/>
      <c r="LA385" s="33"/>
      <c r="LB385" s="33"/>
      <c r="LC385" s="33"/>
      <c r="LD385" s="33"/>
      <c r="LE385" s="33"/>
      <c r="LF385" s="33"/>
      <c r="LG385" s="33"/>
      <c r="LH385" s="33"/>
      <c r="LI385" s="33"/>
      <c r="LJ385" s="33"/>
      <c r="LK385" s="33"/>
      <c r="LL385" s="33"/>
      <c r="LM385" s="33"/>
      <c r="LN385" s="33"/>
      <c r="LO385" s="33"/>
      <c r="LP385" s="44"/>
      <c r="LQ385" s="44"/>
      <c r="LR385" s="44"/>
      <c r="LS385" s="44"/>
      <c r="LT385" s="44"/>
      <c r="LU385" s="44"/>
      <c r="LV385" s="44"/>
    </row>
    <row r="386" spans="1:334" x14ac:dyDescent="0.2">
      <c r="A386" s="1" t="s">
        <v>8974</v>
      </c>
      <c r="B386" s="1" t="s">
        <v>8975</v>
      </c>
      <c r="D386" s="1" t="s">
        <v>8946</v>
      </c>
      <c r="E386" s="1" t="s">
        <v>7</v>
      </c>
      <c r="F386" s="1" t="s">
        <v>8187</v>
      </c>
      <c r="G386" s="1" t="s">
        <v>8947</v>
      </c>
      <c r="H386" s="1" t="s">
        <v>8976</v>
      </c>
      <c r="J386" s="1" t="s">
        <v>8953</v>
      </c>
      <c r="K386" s="1">
        <v>2014</v>
      </c>
      <c r="L386" s="1" t="s">
        <v>8950</v>
      </c>
      <c r="M386" s="1" t="s">
        <v>7659</v>
      </c>
      <c r="N386" s="17" t="s">
        <v>7945</v>
      </c>
      <c r="O386" s="33"/>
      <c r="P386" s="33"/>
      <c r="Q386" s="33"/>
      <c r="R386" s="33"/>
      <c r="S386" s="33">
        <v>9.1999999999999993</v>
      </c>
      <c r="T386" s="33"/>
      <c r="U386" s="33"/>
      <c r="V386" s="33"/>
      <c r="W386" s="33"/>
      <c r="X386" s="33"/>
      <c r="Y386" s="33"/>
      <c r="Z386" s="33">
        <v>19.640039999999999</v>
      </c>
      <c r="AA386" s="33"/>
      <c r="AB386" s="33"/>
      <c r="AC386" s="33">
        <v>0.88075999999999999</v>
      </c>
      <c r="AD386" s="33"/>
      <c r="AE386" s="33"/>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v>2.9964</v>
      </c>
      <c r="BR386" s="33"/>
      <c r="BS386" s="33"/>
      <c r="BT386" s="33"/>
      <c r="BU386" s="33"/>
      <c r="BV386" s="33"/>
      <c r="BW386" s="33"/>
      <c r="BX386" s="33"/>
      <c r="BY386" s="33"/>
      <c r="BZ386" s="33"/>
      <c r="CA386" s="33"/>
      <c r="CB386" s="33"/>
      <c r="CC386" s="33"/>
      <c r="CD386" s="33"/>
      <c r="CE386" s="33"/>
      <c r="CF386" s="33"/>
      <c r="CG386" s="33"/>
      <c r="CH386" s="33"/>
      <c r="CI386" s="33"/>
      <c r="CJ386" s="33"/>
      <c r="CK386" s="33"/>
      <c r="CL386" s="33"/>
      <c r="CM386" s="33"/>
      <c r="CN386" s="33"/>
      <c r="CO386" s="33"/>
      <c r="CP386" s="33">
        <v>272.39999999999998</v>
      </c>
      <c r="CQ386" s="33"/>
      <c r="CR386" s="33">
        <v>0.68190800000000007</v>
      </c>
      <c r="CS386" s="33">
        <v>5.868404</v>
      </c>
      <c r="CT386" s="33"/>
      <c r="CU386" s="33"/>
      <c r="CV386" s="33">
        <v>154.35999999999999</v>
      </c>
      <c r="CW386" s="33">
        <v>1.455524</v>
      </c>
      <c r="CX386" s="33"/>
      <c r="CY386" s="33">
        <v>326.87999999999994</v>
      </c>
      <c r="CZ386" s="33"/>
      <c r="DA386" s="33">
        <v>3.2388360000000005</v>
      </c>
      <c r="DB386" s="33"/>
      <c r="DC386" s="33"/>
      <c r="DD386" s="33"/>
      <c r="DE386" s="33"/>
      <c r="DF386" s="33"/>
      <c r="DG386" s="33"/>
      <c r="DH386" s="33"/>
      <c r="DI386" s="33"/>
      <c r="DJ386" s="33"/>
      <c r="DK386" s="33"/>
      <c r="DL386" s="33"/>
      <c r="DM386" s="33"/>
      <c r="DN386" s="33"/>
      <c r="DO386" s="33"/>
      <c r="DP386" s="33"/>
      <c r="DQ386" s="33"/>
      <c r="DR386" s="33"/>
      <c r="DS386" s="33"/>
      <c r="DT386" s="33"/>
      <c r="DU386" s="33"/>
      <c r="DV386" s="33"/>
      <c r="DW386" s="33"/>
      <c r="DX386" s="33"/>
      <c r="DY386" s="33"/>
      <c r="DZ386" s="33"/>
      <c r="EA386" s="33"/>
      <c r="EB386" s="33"/>
      <c r="EC386" s="33"/>
      <c r="ED386" s="33"/>
      <c r="EE386" s="33"/>
      <c r="EF386" s="33"/>
      <c r="EG386" s="33"/>
      <c r="EH386" s="33"/>
      <c r="EI386" s="33"/>
      <c r="EJ386" s="33"/>
      <c r="EK386" s="33"/>
      <c r="EL386" s="33"/>
      <c r="EM386" s="33"/>
      <c r="EN386" s="33"/>
      <c r="EO386" s="33"/>
      <c r="EP386" s="33"/>
      <c r="EQ386" s="33"/>
      <c r="ER386" s="33"/>
      <c r="ES386" s="33"/>
      <c r="ET386" s="33"/>
      <c r="EU386" s="33"/>
      <c r="EV386" s="33"/>
      <c r="EW386" s="33"/>
      <c r="EX386" s="33"/>
      <c r="EY386" s="33"/>
      <c r="EZ386" s="33"/>
      <c r="FA386" s="33"/>
      <c r="FB386" s="33"/>
      <c r="FC386" s="33"/>
      <c r="FD386" s="33"/>
      <c r="FE386" s="33"/>
      <c r="FF386" s="33"/>
      <c r="FG386" s="33"/>
      <c r="FH386" s="33"/>
      <c r="FI386" s="33"/>
      <c r="FJ386" s="33"/>
      <c r="FK386" s="33"/>
      <c r="FL386" s="33"/>
      <c r="FM386" s="33"/>
      <c r="FN386" s="33"/>
      <c r="FO386" s="33"/>
      <c r="FP386" s="33"/>
      <c r="FQ386" s="33"/>
      <c r="FR386" s="33"/>
      <c r="FS386" s="33"/>
      <c r="FT386" s="33"/>
      <c r="FU386" s="33"/>
      <c r="FV386" s="33"/>
      <c r="FW386" s="33"/>
      <c r="FX386" s="33"/>
      <c r="FY386" s="33"/>
      <c r="FZ386" s="33"/>
      <c r="GA386" s="33"/>
      <c r="GB386" s="33"/>
      <c r="GC386" s="33"/>
      <c r="GD386" s="33"/>
      <c r="GE386" s="33"/>
      <c r="GF386" s="33"/>
      <c r="GG386" s="33"/>
      <c r="GH386" s="33"/>
      <c r="GI386" s="33"/>
      <c r="GJ386" s="33"/>
      <c r="GK386" s="33"/>
      <c r="GL386" s="33"/>
      <c r="GM386" s="33"/>
      <c r="GN386" s="33"/>
      <c r="GO386" s="33"/>
      <c r="GP386" s="33"/>
      <c r="GQ386" s="33"/>
      <c r="GR386" s="33"/>
      <c r="GS386" s="33"/>
      <c r="GT386" s="33"/>
      <c r="GU386" s="33"/>
      <c r="GV386" s="33"/>
      <c r="GW386" s="33"/>
      <c r="GX386" s="33"/>
      <c r="GY386" s="33"/>
      <c r="GZ386" s="33"/>
      <c r="HA386" s="33"/>
      <c r="HB386" s="33"/>
      <c r="HC386" s="33"/>
      <c r="HD386" s="33"/>
      <c r="HE386" s="33"/>
      <c r="HF386" s="33"/>
      <c r="HG386" s="33"/>
      <c r="HH386" s="33"/>
      <c r="HI386" s="33"/>
      <c r="HJ386" s="33"/>
      <c r="HK386" s="33"/>
      <c r="HL386" s="33"/>
      <c r="HM386" s="33"/>
      <c r="HN386" s="33"/>
      <c r="HO386" s="33"/>
      <c r="HP386" s="33"/>
      <c r="HQ386" s="33"/>
      <c r="HR386" s="33"/>
      <c r="HS386" s="33"/>
      <c r="HT386" s="33"/>
      <c r="HU386" s="33"/>
      <c r="HV386" s="33"/>
      <c r="HW386" s="33"/>
      <c r="HX386" s="33"/>
      <c r="HY386" s="33"/>
      <c r="HZ386" s="33"/>
      <c r="IA386" s="33"/>
      <c r="IB386" s="33"/>
      <c r="IC386" s="33"/>
      <c r="ID386" s="33"/>
      <c r="IE386" s="33"/>
      <c r="IF386" s="33"/>
      <c r="IG386" s="33"/>
      <c r="IH386" s="33"/>
      <c r="II386" s="33"/>
      <c r="IJ386" s="33"/>
      <c r="IK386" s="33"/>
      <c r="IL386" s="33"/>
      <c r="IM386" s="33"/>
      <c r="IN386" s="33"/>
      <c r="IO386" s="33"/>
      <c r="IP386" s="33"/>
      <c r="IQ386" s="33"/>
      <c r="IR386" s="33"/>
      <c r="IS386" s="33"/>
      <c r="IT386" s="33"/>
      <c r="IU386" s="33"/>
      <c r="IV386" s="33"/>
      <c r="IW386" s="33"/>
      <c r="IX386" s="33"/>
      <c r="IY386" s="33"/>
      <c r="IZ386" s="33"/>
      <c r="JA386" s="33"/>
      <c r="JB386" s="33"/>
      <c r="JC386" s="33"/>
      <c r="JD386" s="33"/>
      <c r="JE386" s="33"/>
      <c r="JF386" s="33"/>
      <c r="JG386" s="33"/>
      <c r="JH386" s="33"/>
      <c r="JI386" s="33"/>
      <c r="JJ386" s="33"/>
      <c r="JK386" s="33"/>
      <c r="JL386" s="33"/>
      <c r="JM386" s="33"/>
      <c r="JN386" s="33"/>
      <c r="JO386" s="33"/>
      <c r="JP386" s="33"/>
      <c r="JQ386" s="33"/>
      <c r="JR386" s="33"/>
      <c r="KZ386" s="33"/>
      <c r="LA386" s="33"/>
      <c r="LB386" s="33"/>
      <c r="LC386" s="33"/>
      <c r="LD386" s="33"/>
      <c r="LE386" s="33"/>
      <c r="LF386" s="33"/>
      <c r="LG386" s="33"/>
      <c r="LH386" s="33"/>
      <c r="LI386" s="33"/>
      <c r="LJ386" s="33"/>
      <c r="LK386" s="33"/>
      <c r="LL386" s="33"/>
      <c r="LM386" s="33"/>
      <c r="LN386" s="33"/>
      <c r="LO386" s="33"/>
      <c r="LP386" s="44"/>
      <c r="LQ386" s="44"/>
      <c r="LR386" s="44"/>
      <c r="LS386" s="44"/>
      <c r="LT386" s="44"/>
      <c r="LU386" s="44"/>
      <c r="LV386" s="44"/>
    </row>
    <row r="387" spans="1:334" x14ac:dyDescent="0.2">
      <c r="A387" s="1" t="s">
        <v>8977</v>
      </c>
      <c r="B387" s="1" t="s">
        <v>8975</v>
      </c>
      <c r="D387" s="1" t="s">
        <v>8946</v>
      </c>
      <c r="E387" s="1" t="s">
        <v>7</v>
      </c>
      <c r="F387" s="1" t="s">
        <v>8187</v>
      </c>
      <c r="G387" s="1" t="s">
        <v>8947</v>
      </c>
      <c r="H387" s="1" t="s">
        <v>8978</v>
      </c>
      <c r="J387" s="1" t="s">
        <v>8953</v>
      </c>
      <c r="K387" s="1">
        <v>2014</v>
      </c>
      <c r="L387" s="1" t="s">
        <v>8950</v>
      </c>
      <c r="M387" s="1" t="s">
        <v>7659</v>
      </c>
      <c r="N387" s="17" t="s">
        <v>7945</v>
      </c>
      <c r="O387" s="33"/>
      <c r="P387" s="33"/>
      <c r="Q387" s="33"/>
      <c r="R387" s="33"/>
      <c r="S387" s="33">
        <v>8.1999999999999993</v>
      </c>
      <c r="T387" s="33"/>
      <c r="U387" s="33"/>
      <c r="V387" s="33"/>
      <c r="W387" s="33"/>
      <c r="X387" s="33"/>
      <c r="Y387" s="33"/>
      <c r="Z387" s="33">
        <v>21.875939999999996</v>
      </c>
      <c r="AA387" s="33"/>
      <c r="AB387" s="33"/>
      <c r="AC387" s="33">
        <v>1.1199599999999998</v>
      </c>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v>3.0018599999999998</v>
      </c>
      <c r="BR387" s="33"/>
      <c r="BS387" s="33"/>
      <c r="BT387" s="33"/>
      <c r="BU387" s="33"/>
      <c r="BV387" s="33"/>
      <c r="BW387" s="33"/>
      <c r="BX387" s="33"/>
      <c r="BY387" s="33"/>
      <c r="BZ387" s="33"/>
      <c r="CA387" s="33"/>
      <c r="CB387" s="33"/>
      <c r="CC387" s="33"/>
      <c r="CD387" s="33"/>
      <c r="CE387" s="33"/>
      <c r="CF387" s="33"/>
      <c r="CG387" s="33"/>
      <c r="CH387" s="33"/>
      <c r="CI387" s="33"/>
      <c r="CJ387" s="33"/>
      <c r="CK387" s="33"/>
      <c r="CL387" s="33"/>
      <c r="CM387" s="33"/>
      <c r="CN387" s="33"/>
      <c r="CO387" s="33"/>
      <c r="CP387" s="33">
        <v>266.21999999999997</v>
      </c>
      <c r="CQ387" s="33"/>
      <c r="CR387" s="33">
        <v>0.68574599999999997</v>
      </c>
      <c r="CS387" s="33">
        <v>5.9927039999999998</v>
      </c>
      <c r="CT387" s="33"/>
      <c r="CU387" s="33"/>
      <c r="CV387" s="33">
        <v>146.88000000000002</v>
      </c>
      <c r="CW387" s="33">
        <v>1.4642099999999998</v>
      </c>
      <c r="CX387" s="33"/>
      <c r="CY387" s="33">
        <v>330.47999999999996</v>
      </c>
      <c r="CZ387" s="33"/>
      <c r="DA387" s="33">
        <v>3.280014</v>
      </c>
      <c r="DB387" s="33"/>
      <c r="DC387" s="33"/>
      <c r="DD387" s="33"/>
      <c r="DE387" s="33"/>
      <c r="DF387" s="33"/>
      <c r="DG387" s="33"/>
      <c r="DH387" s="33"/>
      <c r="DI387" s="33"/>
      <c r="DJ387" s="33"/>
      <c r="DK387" s="33"/>
      <c r="DL387" s="33"/>
      <c r="DM387" s="33"/>
      <c r="DN387" s="33"/>
      <c r="DO387" s="33"/>
      <c r="DP387" s="33"/>
      <c r="DQ387" s="33"/>
      <c r="DR387" s="33"/>
      <c r="DS387" s="33"/>
      <c r="DT387" s="33"/>
      <c r="DU387" s="33"/>
      <c r="DV387" s="33"/>
      <c r="DW387" s="33"/>
      <c r="DX387" s="33"/>
      <c r="DY387" s="33"/>
      <c r="DZ387" s="33"/>
      <c r="EA387" s="33"/>
      <c r="EB387" s="33"/>
      <c r="EC387" s="33"/>
      <c r="ED387" s="33"/>
      <c r="EE387" s="33"/>
      <c r="EF387" s="33"/>
      <c r="EG387" s="33"/>
      <c r="EH387" s="33"/>
      <c r="EI387" s="33"/>
      <c r="EJ387" s="33"/>
      <c r="EK387" s="33"/>
      <c r="EL387" s="33"/>
      <c r="EM387" s="33"/>
      <c r="EN387" s="33"/>
      <c r="EO387" s="33"/>
      <c r="EP387" s="33"/>
      <c r="EQ387" s="33"/>
      <c r="ER387" s="33"/>
      <c r="ES387" s="33"/>
      <c r="ET387" s="33"/>
      <c r="EU387" s="33"/>
      <c r="EV387" s="33"/>
      <c r="EW387" s="33"/>
      <c r="EX387" s="33"/>
      <c r="EY387" s="33"/>
      <c r="EZ387" s="33"/>
      <c r="FA387" s="33"/>
      <c r="FB387" s="33"/>
      <c r="FC387" s="33"/>
      <c r="FD387" s="33"/>
      <c r="FE387" s="33"/>
      <c r="FF387" s="33"/>
      <c r="FG387" s="33"/>
      <c r="FH387" s="33"/>
      <c r="FI387" s="33"/>
      <c r="FJ387" s="33"/>
      <c r="FK387" s="33"/>
      <c r="FL387" s="33"/>
      <c r="FM387" s="33"/>
      <c r="FN387" s="33"/>
      <c r="FO387" s="33"/>
      <c r="FP387" s="33"/>
      <c r="FQ387" s="33"/>
      <c r="FR387" s="33"/>
      <c r="FS387" s="33"/>
      <c r="FT387" s="33"/>
      <c r="FU387" s="33"/>
      <c r="FV387" s="33"/>
      <c r="FW387" s="33"/>
      <c r="FX387" s="33"/>
      <c r="FY387" s="33"/>
      <c r="FZ387" s="33"/>
      <c r="GA387" s="33"/>
      <c r="GB387" s="33"/>
      <c r="GC387" s="33"/>
      <c r="GD387" s="33"/>
      <c r="GE387" s="33"/>
      <c r="GF387" s="33"/>
      <c r="GG387" s="33"/>
      <c r="GH387" s="33"/>
      <c r="GI387" s="33"/>
      <c r="GJ387" s="33"/>
      <c r="GK387" s="33"/>
      <c r="GL387" s="33"/>
      <c r="GM387" s="33"/>
      <c r="GN387" s="33"/>
      <c r="GO387" s="33"/>
      <c r="GP387" s="33"/>
      <c r="GQ387" s="33"/>
      <c r="GR387" s="33"/>
      <c r="GS387" s="33"/>
      <c r="GT387" s="33"/>
      <c r="GU387" s="33"/>
      <c r="GV387" s="33"/>
      <c r="GW387" s="33"/>
      <c r="GX387" s="33"/>
      <c r="GY387" s="33"/>
      <c r="GZ387" s="33"/>
      <c r="HA387" s="33"/>
      <c r="HB387" s="33"/>
      <c r="HC387" s="33"/>
      <c r="HD387" s="33"/>
      <c r="HE387" s="33"/>
      <c r="HF387" s="33"/>
      <c r="HG387" s="33"/>
      <c r="HH387" s="33"/>
      <c r="HI387" s="33"/>
      <c r="HJ387" s="33"/>
      <c r="HK387" s="33"/>
      <c r="HL387" s="33"/>
      <c r="HM387" s="33"/>
      <c r="HN387" s="33"/>
      <c r="HO387" s="33"/>
      <c r="HP387" s="33"/>
      <c r="HQ387" s="33"/>
      <c r="HR387" s="33"/>
      <c r="HS387" s="33"/>
      <c r="HT387" s="33"/>
      <c r="HU387" s="33"/>
      <c r="HV387" s="33"/>
      <c r="HW387" s="33"/>
      <c r="HX387" s="33"/>
      <c r="HY387" s="33"/>
      <c r="HZ387" s="33"/>
      <c r="IA387" s="33"/>
      <c r="IB387" s="33"/>
      <c r="IC387" s="33"/>
      <c r="ID387" s="33"/>
      <c r="IE387" s="33"/>
      <c r="IF387" s="33"/>
      <c r="IG387" s="33"/>
      <c r="IH387" s="33"/>
      <c r="II387" s="33"/>
      <c r="IJ387" s="33"/>
      <c r="IK387" s="33"/>
      <c r="IL387" s="33"/>
      <c r="IM387" s="33"/>
      <c r="IN387" s="33"/>
      <c r="IO387" s="33"/>
      <c r="IP387" s="33"/>
      <c r="IQ387" s="33"/>
      <c r="IR387" s="33"/>
      <c r="IS387" s="33"/>
      <c r="IT387" s="33"/>
      <c r="IU387" s="33"/>
      <c r="IV387" s="33"/>
      <c r="IW387" s="33"/>
      <c r="IX387" s="33"/>
      <c r="IY387" s="33"/>
      <c r="IZ387" s="33"/>
      <c r="JA387" s="33"/>
      <c r="JB387" s="33"/>
      <c r="JC387" s="33"/>
      <c r="JD387" s="33"/>
      <c r="JE387" s="33"/>
      <c r="JF387" s="33"/>
      <c r="JG387" s="33"/>
      <c r="JH387" s="33"/>
      <c r="JI387" s="33"/>
      <c r="JJ387" s="33"/>
      <c r="JK387" s="33"/>
      <c r="JL387" s="33"/>
      <c r="JM387" s="33"/>
      <c r="JN387" s="33"/>
      <c r="JO387" s="33"/>
      <c r="JP387" s="33"/>
      <c r="JQ387" s="33"/>
      <c r="JR387" s="33"/>
      <c r="KZ387" s="33"/>
      <c r="LA387" s="33"/>
      <c r="LB387" s="33"/>
      <c r="LC387" s="33"/>
      <c r="LD387" s="33"/>
      <c r="LE387" s="33"/>
      <c r="LF387" s="33"/>
      <c r="LG387" s="33"/>
      <c r="LH387" s="33"/>
      <c r="LI387" s="33"/>
      <c r="LJ387" s="33"/>
      <c r="LK387" s="33"/>
      <c r="LL387" s="33"/>
      <c r="LM387" s="33"/>
      <c r="LN387" s="33"/>
      <c r="LO387" s="33"/>
      <c r="LP387" s="44"/>
      <c r="LQ387" s="44"/>
      <c r="LR387" s="44"/>
      <c r="LS387" s="44"/>
      <c r="LT387" s="44"/>
      <c r="LU387" s="44"/>
      <c r="LV387" s="44"/>
    </row>
    <row r="388" spans="1:334" x14ac:dyDescent="0.2">
      <c r="A388" s="1" t="s">
        <v>8979</v>
      </c>
      <c r="B388" s="1" t="s">
        <v>8980</v>
      </c>
      <c r="D388" s="1" t="s">
        <v>8946</v>
      </c>
      <c r="E388" s="1" t="s">
        <v>7</v>
      </c>
      <c r="F388" s="1" t="s">
        <v>8187</v>
      </c>
      <c r="G388" s="1" t="s">
        <v>8947</v>
      </c>
      <c r="H388" s="1" t="s">
        <v>8981</v>
      </c>
      <c r="J388" s="1" t="s">
        <v>8953</v>
      </c>
      <c r="K388" s="1">
        <v>2014</v>
      </c>
      <c r="L388" s="1" t="s">
        <v>8950</v>
      </c>
      <c r="M388" s="1" t="s">
        <v>7659</v>
      </c>
      <c r="N388" s="17" t="s">
        <v>7945</v>
      </c>
      <c r="O388" s="33"/>
      <c r="P388" s="33"/>
      <c r="Q388" s="33"/>
      <c r="R388" s="33"/>
      <c r="S388" s="33">
        <v>7.2</v>
      </c>
      <c r="T388" s="33"/>
      <c r="U388" s="33"/>
      <c r="V388" s="33"/>
      <c r="W388" s="33"/>
      <c r="X388" s="33"/>
      <c r="Y388" s="33"/>
      <c r="Z388" s="33">
        <v>20.388159999999999</v>
      </c>
      <c r="AA388" s="33"/>
      <c r="AB388" s="33"/>
      <c r="AC388" s="33">
        <v>0.97439999999999993</v>
      </c>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v>3.0067200000000001</v>
      </c>
      <c r="BR388" s="33"/>
      <c r="BS388" s="33"/>
      <c r="BT388" s="33"/>
      <c r="BU388" s="33"/>
      <c r="BV388" s="33"/>
      <c r="BW388" s="33"/>
      <c r="BX388" s="33"/>
      <c r="BY388" s="33"/>
      <c r="BZ388" s="33"/>
      <c r="CA388" s="33"/>
      <c r="CB388" s="33"/>
      <c r="CC388" s="33"/>
      <c r="CD388" s="33"/>
      <c r="CE388" s="33"/>
      <c r="CF388" s="33"/>
      <c r="CG388" s="33"/>
      <c r="CH388" s="33"/>
      <c r="CI388" s="33"/>
      <c r="CJ388" s="33"/>
      <c r="CK388" s="33"/>
      <c r="CL388" s="33"/>
      <c r="CM388" s="33"/>
      <c r="CN388" s="33"/>
      <c r="CO388" s="33"/>
      <c r="CP388" s="33">
        <v>185.6</v>
      </c>
      <c r="CQ388" s="33"/>
      <c r="CR388" s="33">
        <v>0.61804800000000004</v>
      </c>
      <c r="CS388" s="33">
        <v>5.9930240000000001</v>
      </c>
      <c r="CT388" s="33"/>
      <c r="CU388" s="33"/>
      <c r="CV388" s="33">
        <v>176.31999999999996</v>
      </c>
      <c r="CW388" s="33">
        <v>1.858784</v>
      </c>
      <c r="CX388" s="33"/>
      <c r="CY388" s="33">
        <v>445.43999999999994</v>
      </c>
      <c r="CZ388" s="33"/>
      <c r="DA388" s="33">
        <v>2.2903039999999999</v>
      </c>
      <c r="DB388" s="33"/>
      <c r="DC388" s="33"/>
      <c r="DD388" s="33"/>
      <c r="DE388" s="33"/>
      <c r="DF388" s="33"/>
      <c r="DG388" s="33"/>
      <c r="DH388" s="33"/>
      <c r="DI388" s="33"/>
      <c r="DJ388" s="33"/>
      <c r="DK388" s="33"/>
      <c r="DL388" s="33"/>
      <c r="DM388" s="33"/>
      <c r="DN388" s="33"/>
      <c r="DO388" s="33"/>
      <c r="DP388" s="33"/>
      <c r="DQ388" s="33"/>
      <c r="DR388" s="33"/>
      <c r="DS388" s="33"/>
      <c r="DT388" s="33"/>
      <c r="DU388" s="33"/>
      <c r="DV388" s="33"/>
      <c r="DW388" s="33"/>
      <c r="DX388" s="33"/>
      <c r="DY388" s="33"/>
      <c r="DZ388" s="33"/>
      <c r="EA388" s="33"/>
      <c r="EB388" s="33"/>
      <c r="EC388" s="33"/>
      <c r="ED388" s="33"/>
      <c r="EE388" s="33"/>
      <c r="EF388" s="33"/>
      <c r="EG388" s="33"/>
      <c r="EH388" s="33"/>
      <c r="EI388" s="33"/>
      <c r="EJ388" s="33"/>
      <c r="EK388" s="33"/>
      <c r="EL388" s="33"/>
      <c r="EM388" s="33"/>
      <c r="EN388" s="33"/>
      <c r="EO388" s="33"/>
      <c r="EP388" s="33"/>
      <c r="EQ388" s="33"/>
      <c r="ER388" s="33"/>
      <c r="ES388" s="33"/>
      <c r="ET388" s="33"/>
      <c r="EU388" s="33"/>
      <c r="EV388" s="33"/>
      <c r="EW388" s="33"/>
      <c r="EX388" s="33"/>
      <c r="EY388" s="33"/>
      <c r="EZ388" s="33"/>
      <c r="FA388" s="33"/>
      <c r="FB388" s="33"/>
      <c r="FC388" s="33"/>
      <c r="FD388" s="33"/>
      <c r="FE388" s="33"/>
      <c r="FF388" s="33"/>
      <c r="FG388" s="33"/>
      <c r="FH388" s="33"/>
      <c r="FI388" s="33"/>
      <c r="FJ388" s="33"/>
      <c r="FK388" s="33"/>
      <c r="FL388" s="33"/>
      <c r="FM388" s="33"/>
      <c r="FN388" s="33"/>
      <c r="FO388" s="33"/>
      <c r="FP388" s="33"/>
      <c r="FQ388" s="33"/>
      <c r="FR388" s="33"/>
      <c r="FS388" s="33"/>
      <c r="FT388" s="33"/>
      <c r="FU388" s="33"/>
      <c r="FV388" s="33"/>
      <c r="FW388" s="33"/>
      <c r="FX388" s="33"/>
      <c r="FY388" s="33"/>
      <c r="FZ388" s="33"/>
      <c r="GA388" s="33"/>
      <c r="GB388" s="33"/>
      <c r="GC388" s="33"/>
      <c r="GD388" s="33"/>
      <c r="GE388" s="33"/>
      <c r="GF388" s="33"/>
      <c r="GG388" s="33"/>
      <c r="GH388" s="33"/>
      <c r="GI388" s="33"/>
      <c r="GJ388" s="33"/>
      <c r="GK388" s="33"/>
      <c r="GL388" s="33"/>
      <c r="GM388" s="33"/>
      <c r="GN388" s="33"/>
      <c r="GO388" s="33"/>
      <c r="GP388" s="33"/>
      <c r="GQ388" s="33"/>
      <c r="GR388" s="33"/>
      <c r="GS388" s="33"/>
      <c r="GT388" s="33"/>
      <c r="GU388" s="33"/>
      <c r="GV388" s="33"/>
      <c r="GW388" s="33"/>
      <c r="GX388" s="33"/>
      <c r="GY388" s="33"/>
      <c r="GZ388" s="33"/>
      <c r="HA388" s="33"/>
      <c r="HB388" s="33"/>
      <c r="HC388" s="33"/>
      <c r="HD388" s="33"/>
      <c r="HE388" s="33"/>
      <c r="HF388" s="33"/>
      <c r="HG388" s="33"/>
      <c r="HH388" s="33"/>
      <c r="HI388" s="33"/>
      <c r="HJ388" s="33"/>
      <c r="HK388" s="33"/>
      <c r="HL388" s="33"/>
      <c r="HM388" s="33"/>
      <c r="HN388" s="33"/>
      <c r="HO388" s="33"/>
      <c r="HP388" s="33"/>
      <c r="HQ388" s="33"/>
      <c r="HR388" s="33"/>
      <c r="HS388" s="33"/>
      <c r="HT388" s="33"/>
      <c r="HU388" s="33"/>
      <c r="HV388" s="33"/>
      <c r="HW388" s="33"/>
      <c r="HX388" s="33"/>
      <c r="HY388" s="33"/>
      <c r="HZ388" s="33"/>
      <c r="IA388" s="33"/>
      <c r="IB388" s="33"/>
      <c r="IC388" s="33"/>
      <c r="ID388" s="33"/>
      <c r="IE388" s="33"/>
      <c r="IF388" s="33"/>
      <c r="IG388" s="33"/>
      <c r="IH388" s="33"/>
      <c r="II388" s="33"/>
      <c r="IJ388" s="33"/>
      <c r="IK388" s="33"/>
      <c r="IL388" s="33"/>
      <c r="IM388" s="33"/>
      <c r="IN388" s="33"/>
      <c r="IO388" s="33"/>
      <c r="IP388" s="33"/>
      <c r="IQ388" s="33"/>
      <c r="IR388" s="33"/>
      <c r="IS388" s="33"/>
      <c r="IT388" s="33"/>
      <c r="IU388" s="33"/>
      <c r="IV388" s="33"/>
      <c r="IW388" s="33"/>
      <c r="IX388" s="33"/>
      <c r="IY388" s="33"/>
      <c r="IZ388" s="33"/>
      <c r="JA388" s="33"/>
      <c r="JB388" s="33"/>
      <c r="JC388" s="33"/>
      <c r="JD388" s="33"/>
      <c r="JE388" s="33"/>
      <c r="JF388" s="33"/>
      <c r="JG388" s="33"/>
      <c r="JH388" s="33"/>
      <c r="JI388" s="33"/>
      <c r="JJ388" s="33"/>
      <c r="JK388" s="33"/>
      <c r="JL388" s="33"/>
      <c r="JM388" s="33"/>
      <c r="JN388" s="33"/>
      <c r="JO388" s="33"/>
      <c r="JP388" s="33"/>
      <c r="JQ388" s="33"/>
      <c r="JR388" s="33"/>
      <c r="KZ388" s="33"/>
      <c r="LA388" s="33"/>
      <c r="LB388" s="33"/>
      <c r="LC388" s="33"/>
      <c r="LD388" s="33"/>
      <c r="LE388" s="33"/>
      <c r="LF388" s="33"/>
      <c r="LG388" s="33"/>
      <c r="LH388" s="33"/>
      <c r="LI388" s="33"/>
      <c r="LJ388" s="33"/>
      <c r="LK388" s="33"/>
      <c r="LL388" s="33"/>
      <c r="LM388" s="33"/>
      <c r="LN388" s="33"/>
      <c r="LO388" s="33"/>
      <c r="LP388" s="44"/>
      <c r="LQ388" s="44"/>
      <c r="LR388" s="44"/>
      <c r="LS388" s="44"/>
      <c r="LT388" s="44"/>
      <c r="LU388" s="44"/>
      <c r="LV388" s="44"/>
    </row>
    <row r="389" spans="1:334" x14ac:dyDescent="0.2">
      <c r="A389" s="1" t="s">
        <v>8982</v>
      </c>
      <c r="B389" s="1" t="s">
        <v>8980</v>
      </c>
      <c r="D389" s="1" t="s">
        <v>8946</v>
      </c>
      <c r="E389" s="1" t="s">
        <v>7</v>
      </c>
      <c r="F389" s="1" t="s">
        <v>8187</v>
      </c>
      <c r="G389" s="1" t="s">
        <v>8947</v>
      </c>
      <c r="H389" s="1" t="s">
        <v>8983</v>
      </c>
      <c r="J389" s="1" t="s">
        <v>8953</v>
      </c>
      <c r="K389" s="1">
        <v>2014</v>
      </c>
      <c r="L389" s="1" t="s">
        <v>8950</v>
      </c>
      <c r="M389" s="1" t="s">
        <v>7659</v>
      </c>
      <c r="N389" s="17" t="s">
        <v>7945</v>
      </c>
      <c r="O389" s="33"/>
      <c r="P389" s="33"/>
      <c r="Q389" s="33"/>
      <c r="R389" s="33"/>
      <c r="S389" s="33">
        <v>9.8000000000000007</v>
      </c>
      <c r="T389" s="33"/>
      <c r="U389" s="33"/>
      <c r="V389" s="33"/>
      <c r="W389" s="33"/>
      <c r="X389" s="33"/>
      <c r="Y389" s="33"/>
      <c r="Z389" s="33">
        <v>19.690659999999998</v>
      </c>
      <c r="AA389" s="33"/>
      <c r="AB389" s="33"/>
      <c r="AC389" s="33">
        <v>1.28986</v>
      </c>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c r="BO389" s="33"/>
      <c r="BP389" s="33"/>
      <c r="BQ389" s="33">
        <v>2.73306</v>
      </c>
      <c r="BR389" s="33"/>
      <c r="BS389" s="33"/>
      <c r="BT389" s="33"/>
      <c r="BU389" s="33"/>
      <c r="BV389" s="33"/>
      <c r="BW389" s="33"/>
      <c r="BX389" s="33"/>
      <c r="BY389" s="33"/>
      <c r="BZ389" s="33"/>
      <c r="CA389" s="33"/>
      <c r="CB389" s="33"/>
      <c r="CC389" s="33"/>
      <c r="CD389" s="33"/>
      <c r="CE389" s="33"/>
      <c r="CF389" s="33"/>
      <c r="CG389" s="33"/>
      <c r="CH389" s="33"/>
      <c r="CI389" s="33"/>
      <c r="CJ389" s="33"/>
      <c r="CK389" s="33"/>
      <c r="CL389" s="33"/>
      <c r="CM389" s="33"/>
      <c r="CN389" s="33"/>
      <c r="CO389" s="33"/>
      <c r="CP389" s="33">
        <v>189.42000000000002</v>
      </c>
      <c r="CQ389" s="33"/>
      <c r="CR389" s="33">
        <v>0.594418</v>
      </c>
      <c r="CS389" s="33">
        <v>5.6780900000000001</v>
      </c>
      <c r="CT389" s="33"/>
      <c r="CU389" s="33"/>
      <c r="CV389" s="33">
        <v>162.36000000000001</v>
      </c>
      <c r="CW389" s="33">
        <v>1.8923960000000002</v>
      </c>
      <c r="CX389" s="33"/>
      <c r="CY389" s="33">
        <v>441.97999999999996</v>
      </c>
      <c r="CZ389" s="33"/>
      <c r="DA389" s="33">
        <v>2.1224059999999998</v>
      </c>
      <c r="DB389" s="33"/>
      <c r="DC389" s="33"/>
      <c r="DD389" s="33"/>
      <c r="DE389" s="33"/>
      <c r="DF389" s="33"/>
      <c r="DG389" s="33"/>
      <c r="DH389" s="33"/>
      <c r="DI389" s="33"/>
      <c r="DJ389" s="33"/>
      <c r="DK389" s="33"/>
      <c r="DL389" s="33"/>
      <c r="DM389" s="33"/>
      <c r="DN389" s="33"/>
      <c r="DO389" s="33"/>
      <c r="DP389" s="33"/>
      <c r="DQ389" s="33"/>
      <c r="DR389" s="33"/>
      <c r="DS389" s="33"/>
      <c r="DT389" s="33"/>
      <c r="DU389" s="33"/>
      <c r="DV389" s="33"/>
      <c r="DW389" s="33"/>
      <c r="DX389" s="33"/>
      <c r="DY389" s="33"/>
      <c r="DZ389" s="33"/>
      <c r="EA389" s="33"/>
      <c r="EB389" s="33"/>
      <c r="EC389" s="33"/>
      <c r="ED389" s="33"/>
      <c r="EE389" s="33"/>
      <c r="EF389" s="33"/>
      <c r="EG389" s="33"/>
      <c r="EH389" s="33"/>
      <c r="EI389" s="33"/>
      <c r="EJ389" s="33"/>
      <c r="EK389" s="33"/>
      <c r="EL389" s="33"/>
      <c r="EM389" s="33"/>
      <c r="EN389" s="33"/>
      <c r="EO389" s="33"/>
      <c r="EP389" s="33"/>
      <c r="EQ389" s="33"/>
      <c r="ER389" s="33"/>
      <c r="ES389" s="33"/>
      <c r="ET389" s="33"/>
      <c r="EU389" s="33"/>
      <c r="EV389" s="33"/>
      <c r="EW389" s="33"/>
      <c r="EX389" s="33"/>
      <c r="EY389" s="33"/>
      <c r="EZ389" s="33"/>
      <c r="FA389" s="33"/>
      <c r="FB389" s="33"/>
      <c r="FC389" s="33"/>
      <c r="FD389" s="33"/>
      <c r="FE389" s="33"/>
      <c r="FF389" s="33"/>
      <c r="FG389" s="33"/>
      <c r="FH389" s="33"/>
      <c r="FI389" s="33"/>
      <c r="FJ389" s="33"/>
      <c r="FK389" s="33"/>
      <c r="FL389" s="33"/>
      <c r="FM389" s="33"/>
      <c r="FN389" s="33"/>
      <c r="FO389" s="33"/>
      <c r="FP389" s="33"/>
      <c r="FQ389" s="33"/>
      <c r="FR389" s="33"/>
      <c r="FS389" s="33"/>
      <c r="FT389" s="33"/>
      <c r="FU389" s="33"/>
      <c r="FV389" s="33"/>
      <c r="FW389" s="33"/>
      <c r="FX389" s="33"/>
      <c r="FY389" s="33"/>
      <c r="FZ389" s="33"/>
      <c r="GA389" s="33"/>
      <c r="GB389" s="33"/>
      <c r="GC389" s="33"/>
      <c r="GD389" s="33"/>
      <c r="GE389" s="33"/>
      <c r="GF389" s="33"/>
      <c r="GG389" s="33"/>
      <c r="GH389" s="33"/>
      <c r="GI389" s="33"/>
      <c r="GJ389" s="33"/>
      <c r="GK389" s="33"/>
      <c r="GL389" s="33"/>
      <c r="GM389" s="33"/>
      <c r="GN389" s="33"/>
      <c r="GO389" s="33"/>
      <c r="GP389" s="33"/>
      <c r="GQ389" s="33"/>
      <c r="GR389" s="33"/>
      <c r="GS389" s="33"/>
      <c r="GT389" s="33"/>
      <c r="GU389" s="33"/>
      <c r="GV389" s="33"/>
      <c r="GW389" s="33"/>
      <c r="GX389" s="33"/>
      <c r="GY389" s="33"/>
      <c r="GZ389" s="33"/>
      <c r="HA389" s="33"/>
      <c r="HB389" s="33"/>
      <c r="HC389" s="33"/>
      <c r="HD389" s="33"/>
      <c r="HE389" s="33"/>
      <c r="HF389" s="33"/>
      <c r="HG389" s="33"/>
      <c r="HH389" s="33"/>
      <c r="HI389" s="33"/>
      <c r="HJ389" s="33"/>
      <c r="HK389" s="33"/>
      <c r="HL389" s="33"/>
      <c r="HM389" s="33"/>
      <c r="HN389" s="33"/>
      <c r="HO389" s="33"/>
      <c r="HP389" s="33"/>
      <c r="HQ389" s="33"/>
      <c r="HR389" s="33"/>
      <c r="HS389" s="33"/>
      <c r="HT389" s="33"/>
      <c r="HU389" s="33"/>
      <c r="HV389" s="33"/>
      <c r="HW389" s="33"/>
      <c r="HX389" s="33"/>
      <c r="HY389" s="33"/>
      <c r="HZ389" s="33"/>
      <c r="IA389" s="33"/>
      <c r="IB389" s="33"/>
      <c r="IC389" s="33"/>
      <c r="ID389" s="33"/>
      <c r="IE389" s="33"/>
      <c r="IF389" s="33"/>
      <c r="IG389" s="33"/>
      <c r="IH389" s="33"/>
      <c r="II389" s="33"/>
      <c r="IJ389" s="33"/>
      <c r="IK389" s="33"/>
      <c r="IL389" s="33"/>
      <c r="IM389" s="33"/>
      <c r="IN389" s="33"/>
      <c r="IO389" s="33"/>
      <c r="IP389" s="33"/>
      <c r="IQ389" s="33"/>
      <c r="IR389" s="33"/>
      <c r="IS389" s="33"/>
      <c r="IT389" s="33"/>
      <c r="IU389" s="33"/>
      <c r="IV389" s="33"/>
      <c r="IW389" s="33"/>
      <c r="IX389" s="33"/>
      <c r="IY389" s="33"/>
      <c r="IZ389" s="33"/>
      <c r="JA389" s="33"/>
      <c r="JB389" s="33"/>
      <c r="JC389" s="33"/>
      <c r="JD389" s="33"/>
      <c r="JE389" s="33"/>
      <c r="JF389" s="33"/>
      <c r="JG389" s="33"/>
      <c r="JH389" s="33"/>
      <c r="JI389" s="33"/>
      <c r="JJ389" s="33"/>
      <c r="JK389" s="33"/>
      <c r="JL389" s="33"/>
      <c r="JM389" s="33"/>
      <c r="JN389" s="33"/>
      <c r="JO389" s="33"/>
      <c r="JP389" s="33"/>
      <c r="JQ389" s="33"/>
      <c r="JR389" s="33"/>
      <c r="KZ389" s="33"/>
      <c r="LA389" s="33"/>
      <c r="LB389" s="33"/>
      <c r="LC389" s="33"/>
      <c r="LD389" s="33"/>
      <c r="LE389" s="33"/>
      <c r="LF389" s="33"/>
      <c r="LG389" s="33"/>
      <c r="LH389" s="33"/>
      <c r="LI389" s="33"/>
      <c r="LJ389" s="33"/>
      <c r="LK389" s="33"/>
      <c r="LL389" s="33"/>
      <c r="LM389" s="33"/>
      <c r="LN389" s="33"/>
      <c r="LO389" s="33"/>
      <c r="LP389" s="44"/>
      <c r="LQ389" s="44"/>
      <c r="LR389" s="44"/>
      <c r="LS389" s="44"/>
      <c r="LT389" s="44"/>
      <c r="LU389" s="44"/>
      <c r="LV389" s="44"/>
    </row>
    <row r="390" spans="1:334" x14ac:dyDescent="0.2">
      <c r="A390" s="1" t="s">
        <v>8984</v>
      </c>
      <c r="B390" s="1" t="s">
        <v>8985</v>
      </c>
      <c r="D390" s="1" t="s">
        <v>8946</v>
      </c>
      <c r="E390" s="1" t="s">
        <v>7</v>
      </c>
      <c r="F390" s="1" t="s">
        <v>8187</v>
      </c>
      <c r="G390" s="1" t="s">
        <v>8947</v>
      </c>
      <c r="H390" s="1" t="s">
        <v>8986</v>
      </c>
      <c r="J390" s="1" t="s">
        <v>8953</v>
      </c>
      <c r="K390" s="1">
        <v>2014</v>
      </c>
      <c r="L390" s="1" t="s">
        <v>8950</v>
      </c>
      <c r="M390" s="1" t="s">
        <v>7659</v>
      </c>
      <c r="N390" s="17" t="s">
        <v>7945</v>
      </c>
      <c r="O390" s="33"/>
      <c r="P390" s="33"/>
      <c r="Q390" s="33"/>
      <c r="R390" s="33"/>
      <c r="S390" s="33">
        <v>9.6999999999999993</v>
      </c>
      <c r="T390" s="33"/>
      <c r="U390" s="33"/>
      <c r="V390" s="33"/>
      <c r="W390" s="33"/>
      <c r="X390" s="33"/>
      <c r="Y390" s="33"/>
      <c r="Z390" s="33">
        <v>19.09845</v>
      </c>
      <c r="AA390" s="33"/>
      <c r="AB390" s="33"/>
      <c r="AC390" s="33">
        <v>0.83979000000000004</v>
      </c>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33"/>
      <c r="BE390" s="33"/>
      <c r="BF390" s="33"/>
      <c r="BG390" s="33"/>
      <c r="BH390" s="33"/>
      <c r="BI390" s="33"/>
      <c r="BJ390" s="33"/>
      <c r="BK390" s="33"/>
      <c r="BL390" s="33"/>
      <c r="BM390" s="33"/>
      <c r="BN390" s="33"/>
      <c r="BO390" s="33"/>
      <c r="BP390" s="33"/>
      <c r="BQ390" s="33">
        <v>2.7180300000000002</v>
      </c>
      <c r="BR390" s="33"/>
      <c r="BS390" s="33"/>
      <c r="BT390" s="33"/>
      <c r="BU390" s="33"/>
      <c r="BV390" s="33"/>
      <c r="BW390" s="33"/>
      <c r="BX390" s="33"/>
      <c r="BY390" s="33"/>
      <c r="BZ390" s="33"/>
      <c r="CA390" s="33"/>
      <c r="CB390" s="33"/>
      <c r="CC390" s="33"/>
      <c r="CD390" s="33"/>
      <c r="CE390" s="33"/>
      <c r="CF390" s="33"/>
      <c r="CG390" s="33"/>
      <c r="CH390" s="33"/>
      <c r="CI390" s="33"/>
      <c r="CJ390" s="33"/>
      <c r="CK390" s="33"/>
      <c r="CL390" s="33"/>
      <c r="CM390" s="33"/>
      <c r="CN390" s="33"/>
      <c r="CO390" s="33"/>
      <c r="CP390" s="33">
        <v>171.57</v>
      </c>
      <c r="CQ390" s="33"/>
      <c r="CR390" s="33">
        <v>0.717885</v>
      </c>
      <c r="CS390" s="33">
        <v>5.2807440000000003</v>
      </c>
      <c r="CT390" s="33"/>
      <c r="CU390" s="33"/>
      <c r="CV390" s="33">
        <v>153.51000000000002</v>
      </c>
      <c r="CW390" s="33">
        <v>1.7147969999999997</v>
      </c>
      <c r="CX390" s="33"/>
      <c r="CY390" s="33">
        <v>325.08</v>
      </c>
      <c r="CZ390" s="33"/>
      <c r="DA390" s="33">
        <v>2.6494019999999998</v>
      </c>
      <c r="DB390" s="33"/>
      <c r="DC390" s="33"/>
      <c r="DD390" s="33"/>
      <c r="DE390" s="33"/>
      <c r="DF390" s="33"/>
      <c r="DG390" s="33"/>
      <c r="DH390" s="33"/>
      <c r="DI390" s="33"/>
      <c r="DJ390" s="33"/>
      <c r="DK390" s="33"/>
      <c r="DL390" s="33"/>
      <c r="DM390" s="33"/>
      <c r="DN390" s="33"/>
      <c r="DO390" s="33"/>
      <c r="DP390" s="33"/>
      <c r="DQ390" s="33"/>
      <c r="DR390" s="33"/>
      <c r="DS390" s="33"/>
      <c r="DT390" s="33"/>
      <c r="DU390" s="33"/>
      <c r="DV390" s="33"/>
      <c r="DW390" s="33"/>
      <c r="DX390" s="33"/>
      <c r="DY390" s="33"/>
      <c r="DZ390" s="33"/>
      <c r="EA390" s="33"/>
      <c r="EB390" s="33"/>
      <c r="EC390" s="33"/>
      <c r="ED390" s="33"/>
      <c r="EE390" s="33"/>
      <c r="EF390" s="33"/>
      <c r="EG390" s="33"/>
      <c r="EH390" s="33"/>
      <c r="EI390" s="33"/>
      <c r="EJ390" s="33"/>
      <c r="EK390" s="33"/>
      <c r="EL390" s="33"/>
      <c r="EM390" s="33"/>
      <c r="EN390" s="33"/>
      <c r="EO390" s="33"/>
      <c r="EP390" s="33"/>
      <c r="EQ390" s="33"/>
      <c r="ER390" s="33"/>
      <c r="ES390" s="33"/>
      <c r="ET390" s="33"/>
      <c r="EU390" s="33"/>
      <c r="EV390" s="33"/>
      <c r="EW390" s="33"/>
      <c r="EX390" s="33"/>
      <c r="EY390" s="33"/>
      <c r="EZ390" s="33"/>
      <c r="FA390" s="33"/>
      <c r="FB390" s="33"/>
      <c r="FC390" s="33"/>
      <c r="FD390" s="33"/>
      <c r="FE390" s="33"/>
      <c r="FF390" s="33"/>
      <c r="FG390" s="33"/>
      <c r="FH390" s="33"/>
      <c r="FI390" s="33"/>
      <c r="FJ390" s="33"/>
      <c r="FK390" s="33"/>
      <c r="FL390" s="33"/>
      <c r="FM390" s="33"/>
      <c r="FN390" s="33"/>
      <c r="FO390" s="33"/>
      <c r="FP390" s="33"/>
      <c r="FQ390" s="33"/>
      <c r="FR390" s="33"/>
      <c r="FS390" s="33"/>
      <c r="FT390" s="33"/>
      <c r="FU390" s="33"/>
      <c r="FV390" s="33"/>
      <c r="FW390" s="33"/>
      <c r="FX390" s="33"/>
      <c r="FY390" s="33"/>
      <c r="FZ390" s="33"/>
      <c r="GA390" s="33"/>
      <c r="GB390" s="33"/>
      <c r="GC390" s="33"/>
      <c r="GD390" s="33"/>
      <c r="GE390" s="33"/>
      <c r="GF390" s="33"/>
      <c r="GG390" s="33"/>
      <c r="GH390" s="33"/>
      <c r="GI390" s="33"/>
      <c r="GJ390" s="33"/>
      <c r="GK390" s="33"/>
      <c r="GL390" s="33"/>
      <c r="GM390" s="33"/>
      <c r="GN390" s="33"/>
      <c r="GO390" s="33"/>
      <c r="GP390" s="33"/>
      <c r="GQ390" s="33"/>
      <c r="GR390" s="33"/>
      <c r="GS390" s="33"/>
      <c r="GT390" s="33"/>
      <c r="GU390" s="33"/>
      <c r="GV390" s="33"/>
      <c r="GW390" s="33"/>
      <c r="GX390" s="33"/>
      <c r="GY390" s="33"/>
      <c r="GZ390" s="33"/>
      <c r="HA390" s="33"/>
      <c r="HB390" s="33"/>
      <c r="HC390" s="33"/>
      <c r="HD390" s="33"/>
      <c r="HE390" s="33"/>
      <c r="HF390" s="33"/>
      <c r="HG390" s="33"/>
      <c r="HH390" s="33"/>
      <c r="HI390" s="33"/>
      <c r="HJ390" s="33"/>
      <c r="HK390" s="33"/>
      <c r="HL390" s="33"/>
      <c r="HM390" s="33"/>
      <c r="HN390" s="33"/>
      <c r="HO390" s="33"/>
      <c r="HP390" s="33"/>
      <c r="HQ390" s="33"/>
      <c r="HR390" s="33"/>
      <c r="HS390" s="33"/>
      <c r="HT390" s="33"/>
      <c r="HU390" s="33"/>
      <c r="HV390" s="33"/>
      <c r="HW390" s="33"/>
      <c r="HX390" s="33"/>
      <c r="HY390" s="33"/>
      <c r="HZ390" s="33"/>
      <c r="IA390" s="33"/>
      <c r="IB390" s="33"/>
      <c r="IC390" s="33"/>
      <c r="ID390" s="33"/>
      <c r="IE390" s="33"/>
      <c r="IF390" s="33"/>
      <c r="IG390" s="33"/>
      <c r="IH390" s="33"/>
      <c r="II390" s="33"/>
      <c r="IJ390" s="33"/>
      <c r="IK390" s="33"/>
      <c r="IL390" s="33"/>
      <c r="IM390" s="33"/>
      <c r="IN390" s="33"/>
      <c r="IO390" s="33"/>
      <c r="IP390" s="33"/>
      <c r="IQ390" s="33"/>
      <c r="IR390" s="33"/>
      <c r="IS390" s="33"/>
      <c r="IT390" s="33"/>
      <c r="IU390" s="33"/>
      <c r="IV390" s="33"/>
      <c r="IW390" s="33"/>
      <c r="IX390" s="33"/>
      <c r="IY390" s="33"/>
      <c r="IZ390" s="33"/>
      <c r="JA390" s="33"/>
      <c r="JB390" s="33"/>
      <c r="JC390" s="33"/>
      <c r="JD390" s="33"/>
      <c r="JE390" s="33"/>
      <c r="JF390" s="33"/>
      <c r="JG390" s="33"/>
      <c r="JH390" s="33"/>
      <c r="JI390" s="33"/>
      <c r="JJ390" s="33"/>
      <c r="JK390" s="33"/>
      <c r="JL390" s="33"/>
      <c r="JM390" s="33"/>
      <c r="JN390" s="33"/>
      <c r="JO390" s="33"/>
      <c r="JP390" s="33"/>
      <c r="JQ390" s="33"/>
      <c r="JR390" s="33"/>
      <c r="KZ390" s="33"/>
      <c r="LA390" s="33"/>
      <c r="LB390" s="33"/>
      <c r="LC390" s="33"/>
      <c r="LD390" s="33"/>
      <c r="LE390" s="33"/>
      <c r="LF390" s="33"/>
      <c r="LG390" s="33"/>
      <c r="LH390" s="33"/>
      <c r="LI390" s="33"/>
      <c r="LJ390" s="33"/>
      <c r="LK390" s="33"/>
      <c r="LL390" s="33"/>
      <c r="LM390" s="33"/>
      <c r="LN390" s="33"/>
      <c r="LO390" s="33"/>
      <c r="LP390" s="44"/>
      <c r="LQ390" s="44"/>
      <c r="LR390" s="44"/>
      <c r="LS390" s="44"/>
      <c r="LT390" s="44"/>
      <c r="LU390" s="44"/>
      <c r="LV390" s="44"/>
    </row>
    <row r="391" spans="1:334" x14ac:dyDescent="0.2">
      <c r="A391" s="1" t="s">
        <v>8987</v>
      </c>
      <c r="B391" s="1" t="s">
        <v>8985</v>
      </c>
      <c r="D391" s="1" t="s">
        <v>8946</v>
      </c>
      <c r="E391" s="1" t="s">
        <v>7</v>
      </c>
      <c r="F391" s="1" t="s">
        <v>8187</v>
      </c>
      <c r="G391" s="1" t="s">
        <v>8947</v>
      </c>
      <c r="H391" s="1" t="s">
        <v>8988</v>
      </c>
      <c r="J391" s="1" t="s">
        <v>8953</v>
      </c>
      <c r="K391" s="1">
        <v>2014</v>
      </c>
      <c r="L391" s="1" t="s">
        <v>8950</v>
      </c>
      <c r="M391" s="1" t="s">
        <v>7659</v>
      </c>
      <c r="N391" s="17" t="s">
        <v>7945</v>
      </c>
      <c r="O391" s="33"/>
      <c r="P391" s="33"/>
      <c r="Q391" s="33"/>
      <c r="R391" s="33"/>
      <c r="S391" s="33">
        <v>6.9</v>
      </c>
      <c r="T391" s="33"/>
      <c r="U391" s="33"/>
      <c r="V391" s="33"/>
      <c r="W391" s="33"/>
      <c r="X391" s="33"/>
      <c r="Y391" s="33"/>
      <c r="Z391" s="33">
        <v>21.319899999999997</v>
      </c>
      <c r="AA391" s="33"/>
      <c r="AB391" s="33"/>
      <c r="AC391" s="33">
        <v>0.58653</v>
      </c>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c r="BO391" s="33"/>
      <c r="BP391" s="33"/>
      <c r="BQ391" s="33">
        <v>3.0722999999999998</v>
      </c>
      <c r="BR391" s="33"/>
      <c r="BS391" s="33"/>
      <c r="BT391" s="33"/>
      <c r="BU391" s="33"/>
      <c r="BV391" s="33"/>
      <c r="BW391" s="33"/>
      <c r="BX391" s="33"/>
      <c r="BY391" s="33"/>
      <c r="BZ391" s="33"/>
      <c r="CA391" s="33"/>
      <c r="CB391" s="33"/>
      <c r="CC391" s="33"/>
      <c r="CD391" s="33"/>
      <c r="CE391" s="33"/>
      <c r="CF391" s="33"/>
      <c r="CG391" s="33"/>
      <c r="CH391" s="33"/>
      <c r="CI391" s="33"/>
      <c r="CJ391" s="33"/>
      <c r="CK391" s="33"/>
      <c r="CL391" s="33"/>
      <c r="CM391" s="33"/>
      <c r="CN391" s="33"/>
      <c r="CO391" s="33"/>
      <c r="CP391" s="33">
        <v>195.51</v>
      </c>
      <c r="CQ391" s="33"/>
      <c r="CR391" s="33">
        <v>0.72152499999999997</v>
      </c>
      <c r="CS391" s="33">
        <v>5.4910379999999996</v>
      </c>
      <c r="CT391" s="33"/>
      <c r="CU391" s="33"/>
      <c r="CV391" s="33">
        <v>148.95999999999998</v>
      </c>
      <c r="CW391" s="33">
        <v>1.7214189999999996</v>
      </c>
      <c r="CX391" s="33"/>
      <c r="CY391" s="33">
        <v>325.84999999999991</v>
      </c>
      <c r="CZ391" s="33"/>
      <c r="DA391" s="33">
        <v>2.7687939999999998</v>
      </c>
      <c r="DB391" s="33"/>
      <c r="DC391" s="33"/>
      <c r="DD391" s="33"/>
      <c r="DE391" s="33"/>
      <c r="DF391" s="33"/>
      <c r="DG391" s="33"/>
      <c r="DH391" s="33"/>
      <c r="DI391" s="33"/>
      <c r="DJ391" s="33"/>
      <c r="DK391" s="33"/>
      <c r="DL391" s="33"/>
      <c r="DM391" s="33"/>
      <c r="DN391" s="33"/>
      <c r="DO391" s="33"/>
      <c r="DP391" s="33"/>
      <c r="DQ391" s="33"/>
      <c r="DR391" s="33"/>
      <c r="DS391" s="33"/>
      <c r="DT391" s="33"/>
      <c r="DU391" s="33"/>
      <c r="DV391" s="33"/>
      <c r="DW391" s="33"/>
      <c r="DX391" s="33"/>
      <c r="DY391" s="33"/>
      <c r="DZ391" s="33"/>
      <c r="EA391" s="33"/>
      <c r="EB391" s="33"/>
      <c r="EC391" s="33"/>
      <c r="ED391" s="33"/>
      <c r="EE391" s="33"/>
      <c r="EF391" s="33"/>
      <c r="EG391" s="33"/>
      <c r="EH391" s="33"/>
      <c r="EI391" s="33"/>
      <c r="EJ391" s="33"/>
      <c r="EK391" s="33"/>
      <c r="EL391" s="33"/>
      <c r="EM391" s="33"/>
      <c r="EN391" s="33"/>
      <c r="EO391" s="33"/>
      <c r="EP391" s="33"/>
      <c r="EQ391" s="33"/>
      <c r="ER391" s="33"/>
      <c r="ES391" s="33"/>
      <c r="ET391" s="33"/>
      <c r="EU391" s="33"/>
      <c r="EV391" s="33"/>
      <c r="EW391" s="33"/>
      <c r="EX391" s="33"/>
      <c r="EY391" s="33"/>
      <c r="EZ391" s="33"/>
      <c r="FA391" s="33"/>
      <c r="FB391" s="33"/>
      <c r="FC391" s="33"/>
      <c r="FD391" s="33"/>
      <c r="FE391" s="33"/>
      <c r="FF391" s="33"/>
      <c r="FG391" s="33"/>
      <c r="FH391" s="33"/>
      <c r="FI391" s="33"/>
      <c r="FJ391" s="33"/>
      <c r="FK391" s="33"/>
      <c r="FL391" s="33"/>
      <c r="FM391" s="33"/>
      <c r="FN391" s="33"/>
      <c r="FO391" s="33"/>
      <c r="FP391" s="33"/>
      <c r="FQ391" s="33"/>
      <c r="FR391" s="33"/>
      <c r="FS391" s="33"/>
      <c r="FT391" s="33"/>
      <c r="FU391" s="33"/>
      <c r="FV391" s="33"/>
      <c r="FW391" s="33"/>
      <c r="FX391" s="33"/>
      <c r="FY391" s="33"/>
      <c r="FZ391" s="33"/>
      <c r="GA391" s="33"/>
      <c r="GB391" s="33"/>
      <c r="GC391" s="33"/>
      <c r="GD391" s="33"/>
      <c r="GE391" s="33"/>
      <c r="GF391" s="33"/>
      <c r="GG391" s="33"/>
      <c r="GH391" s="33"/>
      <c r="GI391" s="33"/>
      <c r="GJ391" s="33"/>
      <c r="GK391" s="33"/>
      <c r="GL391" s="33"/>
      <c r="GM391" s="33"/>
      <c r="GN391" s="33"/>
      <c r="GO391" s="33"/>
      <c r="GP391" s="33"/>
      <c r="GQ391" s="33"/>
      <c r="GR391" s="33"/>
      <c r="GS391" s="33"/>
      <c r="GT391" s="33"/>
      <c r="GU391" s="33"/>
      <c r="GV391" s="33"/>
      <c r="GW391" s="33"/>
      <c r="GX391" s="33"/>
      <c r="GY391" s="33"/>
      <c r="GZ391" s="33"/>
      <c r="HA391" s="33"/>
      <c r="HB391" s="33"/>
      <c r="HC391" s="33"/>
      <c r="HD391" s="33"/>
      <c r="HE391" s="33"/>
      <c r="HF391" s="33"/>
      <c r="HG391" s="33"/>
      <c r="HH391" s="33"/>
      <c r="HI391" s="33"/>
      <c r="HJ391" s="33"/>
      <c r="HK391" s="33"/>
      <c r="HL391" s="33"/>
      <c r="HM391" s="33"/>
      <c r="HN391" s="33"/>
      <c r="HO391" s="33"/>
      <c r="HP391" s="33"/>
      <c r="HQ391" s="33"/>
      <c r="HR391" s="33"/>
      <c r="HS391" s="33"/>
      <c r="HT391" s="33"/>
      <c r="HU391" s="33"/>
      <c r="HV391" s="33"/>
      <c r="HW391" s="33"/>
      <c r="HX391" s="33"/>
      <c r="HY391" s="33"/>
      <c r="HZ391" s="33"/>
      <c r="IA391" s="33"/>
      <c r="IB391" s="33"/>
      <c r="IC391" s="33"/>
      <c r="ID391" s="33"/>
      <c r="IE391" s="33"/>
      <c r="IF391" s="33"/>
      <c r="IG391" s="33"/>
      <c r="IH391" s="33"/>
      <c r="II391" s="33"/>
      <c r="IJ391" s="33"/>
      <c r="IK391" s="33"/>
      <c r="IL391" s="33"/>
      <c r="IM391" s="33"/>
      <c r="IN391" s="33"/>
      <c r="IO391" s="33"/>
      <c r="IP391" s="33"/>
      <c r="IQ391" s="33"/>
      <c r="IR391" s="33"/>
      <c r="IS391" s="33"/>
      <c r="IT391" s="33"/>
      <c r="IU391" s="33"/>
      <c r="IV391" s="33"/>
      <c r="IW391" s="33"/>
      <c r="IX391" s="33"/>
      <c r="IY391" s="33"/>
      <c r="IZ391" s="33"/>
      <c r="JA391" s="33"/>
      <c r="JB391" s="33"/>
      <c r="JC391" s="33"/>
      <c r="JD391" s="33"/>
      <c r="JE391" s="33"/>
      <c r="JF391" s="33"/>
      <c r="JG391" s="33"/>
      <c r="JH391" s="33"/>
      <c r="JI391" s="33"/>
      <c r="JJ391" s="33"/>
      <c r="JK391" s="33"/>
      <c r="JL391" s="33"/>
      <c r="JM391" s="33"/>
      <c r="JN391" s="33"/>
      <c r="JO391" s="33"/>
      <c r="JP391" s="33"/>
      <c r="JQ391" s="33"/>
      <c r="JR391" s="33"/>
      <c r="KZ391" s="33"/>
      <c r="LA391" s="33"/>
      <c r="LB391" s="33"/>
      <c r="LC391" s="33"/>
      <c r="LD391" s="33"/>
      <c r="LE391" s="33"/>
      <c r="LF391" s="33"/>
      <c r="LG391" s="33"/>
      <c r="LH391" s="33"/>
      <c r="LI391" s="33"/>
      <c r="LJ391" s="33"/>
      <c r="LK391" s="33"/>
      <c r="LL391" s="33"/>
      <c r="LM391" s="33"/>
      <c r="LN391" s="33"/>
      <c r="LO391" s="33"/>
      <c r="LP391" s="44"/>
      <c r="LQ391" s="44"/>
      <c r="LR391" s="44"/>
      <c r="LS391" s="44"/>
      <c r="LT391" s="44"/>
      <c r="LU391" s="44"/>
      <c r="LV391" s="44"/>
    </row>
    <row r="392" spans="1:334" x14ac:dyDescent="0.2">
      <c r="A392" s="1" t="s">
        <v>8989</v>
      </c>
      <c r="B392" s="1" t="s">
        <v>8990</v>
      </c>
      <c r="D392" s="1" t="s">
        <v>8946</v>
      </c>
      <c r="E392" s="1" t="s">
        <v>7</v>
      </c>
      <c r="F392" s="1" t="s">
        <v>8187</v>
      </c>
      <c r="G392" s="1" t="s">
        <v>8947</v>
      </c>
      <c r="H392" s="1" t="s">
        <v>8991</v>
      </c>
      <c r="J392" s="1" t="s">
        <v>8953</v>
      </c>
      <c r="K392" s="1">
        <v>2014</v>
      </c>
      <c r="L392" s="1" t="s">
        <v>8950</v>
      </c>
      <c r="M392" s="1" t="s">
        <v>7659</v>
      </c>
      <c r="N392" s="17" t="s">
        <v>7945</v>
      </c>
      <c r="O392" s="33"/>
      <c r="P392" s="33"/>
      <c r="Q392" s="33"/>
      <c r="R392" s="33"/>
      <c r="S392" s="33">
        <v>7</v>
      </c>
      <c r="T392" s="33"/>
      <c r="U392" s="33"/>
      <c r="V392" s="33"/>
      <c r="W392" s="33"/>
      <c r="X392" s="33"/>
      <c r="Y392" s="33"/>
      <c r="Z392" s="33">
        <v>21.045899999999996</v>
      </c>
      <c r="AA392" s="33"/>
      <c r="AB392" s="33"/>
      <c r="AC392" s="33">
        <v>1.3298999999999999</v>
      </c>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33"/>
      <c r="BE392" s="33"/>
      <c r="BF392" s="33"/>
      <c r="BG392" s="33"/>
      <c r="BH392" s="33"/>
      <c r="BI392" s="33"/>
      <c r="BJ392" s="33"/>
      <c r="BK392" s="33"/>
      <c r="BL392" s="33"/>
      <c r="BM392" s="33"/>
      <c r="BN392" s="33"/>
      <c r="BO392" s="33"/>
      <c r="BP392" s="33"/>
      <c r="BQ392" s="33">
        <v>2.8178999999999998</v>
      </c>
      <c r="BR392" s="33"/>
      <c r="BS392" s="33"/>
      <c r="BT392" s="33"/>
      <c r="BU392" s="33"/>
      <c r="BV392" s="33"/>
      <c r="BW392" s="33"/>
      <c r="BX392" s="33"/>
      <c r="BY392" s="33"/>
      <c r="BZ392" s="33"/>
      <c r="CA392" s="33"/>
      <c r="CB392" s="33"/>
      <c r="CC392" s="33"/>
      <c r="CD392" s="33"/>
      <c r="CE392" s="33"/>
      <c r="CF392" s="33"/>
      <c r="CG392" s="33"/>
      <c r="CH392" s="33"/>
      <c r="CI392" s="33"/>
      <c r="CJ392" s="33"/>
      <c r="CK392" s="33"/>
      <c r="CL392" s="33"/>
      <c r="CM392" s="33"/>
      <c r="CN392" s="33"/>
      <c r="CO392" s="33"/>
      <c r="CP392" s="33">
        <v>232.5</v>
      </c>
      <c r="CQ392" s="33"/>
      <c r="CR392" s="33">
        <v>0.87884999999999991</v>
      </c>
      <c r="CS392" s="33">
        <v>6.5592899999999998</v>
      </c>
      <c r="CT392" s="33"/>
      <c r="CU392" s="33"/>
      <c r="CV392" s="33">
        <v>186.00000000000003</v>
      </c>
      <c r="CW392" s="33">
        <v>1.3959300000000001</v>
      </c>
      <c r="CX392" s="33"/>
      <c r="CY392" s="33">
        <v>557.99999999999989</v>
      </c>
      <c r="CZ392" s="33"/>
      <c r="DA392" s="33">
        <v>3.0606299999999997</v>
      </c>
      <c r="DB392" s="33"/>
      <c r="DC392" s="33"/>
      <c r="DD392" s="33"/>
      <c r="DE392" s="33"/>
      <c r="DF392" s="33"/>
      <c r="DG392" s="33"/>
      <c r="DH392" s="33"/>
      <c r="DI392" s="33"/>
      <c r="DJ392" s="33"/>
      <c r="DK392" s="33"/>
      <c r="DL392" s="33"/>
      <c r="DM392" s="33"/>
      <c r="DN392" s="33"/>
      <c r="DO392" s="33"/>
      <c r="DP392" s="33"/>
      <c r="DQ392" s="33"/>
      <c r="DR392" s="33"/>
      <c r="DS392" s="33"/>
      <c r="DT392" s="33"/>
      <c r="DU392" s="33"/>
      <c r="DV392" s="33"/>
      <c r="DW392" s="33"/>
      <c r="DX392" s="33"/>
      <c r="DY392" s="33"/>
      <c r="DZ392" s="33"/>
      <c r="EA392" s="33"/>
      <c r="EB392" s="33"/>
      <c r="EC392" s="33"/>
      <c r="ED392" s="33"/>
      <c r="EE392" s="33"/>
      <c r="EF392" s="33"/>
      <c r="EG392" s="33"/>
      <c r="EH392" s="33"/>
      <c r="EI392" s="33"/>
      <c r="EJ392" s="33"/>
      <c r="EK392" s="33"/>
      <c r="EL392" s="33"/>
      <c r="EM392" s="33"/>
      <c r="EN392" s="33"/>
      <c r="EO392" s="33"/>
      <c r="EP392" s="33"/>
      <c r="EQ392" s="33"/>
      <c r="ER392" s="33"/>
      <c r="ES392" s="33"/>
      <c r="ET392" s="33"/>
      <c r="EU392" s="33"/>
      <c r="EV392" s="33"/>
      <c r="EW392" s="33"/>
      <c r="EX392" s="33"/>
      <c r="EY392" s="33"/>
      <c r="EZ392" s="33"/>
      <c r="FA392" s="33"/>
      <c r="FB392" s="33"/>
      <c r="FC392" s="33"/>
      <c r="FD392" s="33"/>
      <c r="FE392" s="33"/>
      <c r="FF392" s="33"/>
      <c r="FG392" s="33"/>
      <c r="FH392" s="33"/>
      <c r="FI392" s="33"/>
      <c r="FJ392" s="33"/>
      <c r="FK392" s="33"/>
      <c r="FL392" s="33"/>
      <c r="FM392" s="33"/>
      <c r="FN392" s="33"/>
      <c r="FO392" s="33"/>
      <c r="FP392" s="33"/>
      <c r="FQ392" s="33"/>
      <c r="FR392" s="33"/>
      <c r="FS392" s="33"/>
      <c r="FT392" s="33"/>
      <c r="FU392" s="33"/>
      <c r="FV392" s="33"/>
      <c r="FW392" s="33"/>
      <c r="FX392" s="33"/>
      <c r="FY392" s="33"/>
      <c r="FZ392" s="33"/>
      <c r="GA392" s="33"/>
      <c r="GB392" s="33"/>
      <c r="GC392" s="33"/>
      <c r="GD392" s="33"/>
      <c r="GE392" s="33"/>
      <c r="GF392" s="33"/>
      <c r="GG392" s="33"/>
      <c r="GH392" s="33"/>
      <c r="GI392" s="33"/>
      <c r="GJ392" s="33"/>
      <c r="GK392" s="33"/>
      <c r="GL392" s="33"/>
      <c r="GM392" s="33"/>
      <c r="GN392" s="33"/>
      <c r="GO392" s="33"/>
      <c r="GP392" s="33"/>
      <c r="GQ392" s="33"/>
      <c r="GR392" s="33"/>
      <c r="GS392" s="33"/>
      <c r="GT392" s="33"/>
      <c r="GU392" s="33"/>
      <c r="GV392" s="33"/>
      <c r="GW392" s="33"/>
      <c r="GX392" s="33"/>
      <c r="GY392" s="33"/>
      <c r="GZ392" s="33"/>
      <c r="HA392" s="33"/>
      <c r="HB392" s="33"/>
      <c r="HC392" s="33"/>
      <c r="HD392" s="33"/>
      <c r="HE392" s="33"/>
      <c r="HF392" s="33"/>
      <c r="HG392" s="33"/>
      <c r="HH392" s="33"/>
      <c r="HI392" s="33"/>
      <c r="HJ392" s="33"/>
      <c r="HK392" s="33"/>
      <c r="HL392" s="33"/>
      <c r="HM392" s="33"/>
      <c r="HN392" s="33"/>
      <c r="HO392" s="33"/>
      <c r="HP392" s="33"/>
      <c r="HQ392" s="33"/>
      <c r="HR392" s="33"/>
      <c r="HS392" s="33"/>
      <c r="HT392" s="33"/>
      <c r="HU392" s="33"/>
      <c r="HV392" s="33"/>
      <c r="HW392" s="33"/>
      <c r="HX392" s="33"/>
      <c r="HY392" s="33"/>
      <c r="HZ392" s="33"/>
      <c r="IA392" s="33"/>
      <c r="IB392" s="33"/>
      <c r="IC392" s="33"/>
      <c r="ID392" s="33"/>
      <c r="IE392" s="33"/>
      <c r="IF392" s="33"/>
      <c r="IG392" s="33"/>
      <c r="IH392" s="33"/>
      <c r="II392" s="33"/>
      <c r="IJ392" s="33"/>
      <c r="IK392" s="33"/>
      <c r="IL392" s="33"/>
      <c r="IM392" s="33"/>
      <c r="IN392" s="33"/>
      <c r="IO392" s="33"/>
      <c r="IP392" s="33"/>
      <c r="IQ392" s="33"/>
      <c r="IR392" s="33"/>
      <c r="IS392" s="33"/>
      <c r="IT392" s="33"/>
      <c r="IU392" s="33"/>
      <c r="IV392" s="33"/>
      <c r="IW392" s="33"/>
      <c r="IX392" s="33"/>
      <c r="IY392" s="33"/>
      <c r="IZ392" s="33"/>
      <c r="JA392" s="33"/>
      <c r="JB392" s="33"/>
      <c r="JC392" s="33"/>
      <c r="JD392" s="33"/>
      <c r="JE392" s="33"/>
      <c r="JF392" s="33"/>
      <c r="JG392" s="33"/>
      <c r="JH392" s="33"/>
      <c r="JI392" s="33"/>
      <c r="JJ392" s="33"/>
      <c r="JK392" s="33"/>
      <c r="JL392" s="33"/>
      <c r="JM392" s="33"/>
      <c r="JN392" s="33"/>
      <c r="JO392" s="33"/>
      <c r="JP392" s="33"/>
      <c r="JQ392" s="33"/>
      <c r="JR392" s="33"/>
      <c r="KZ392" s="33"/>
      <c r="LA392" s="33"/>
      <c r="LB392" s="33"/>
      <c r="LC392" s="33"/>
      <c r="LD392" s="33"/>
      <c r="LE392" s="33"/>
      <c r="LF392" s="33"/>
      <c r="LG392" s="33"/>
      <c r="LH392" s="33"/>
      <c r="LI392" s="33"/>
      <c r="LJ392" s="33"/>
      <c r="LK392" s="33"/>
      <c r="LL392" s="33"/>
      <c r="LM392" s="33"/>
      <c r="LN392" s="33"/>
      <c r="LO392" s="33"/>
      <c r="LP392" s="44"/>
      <c r="LQ392" s="44"/>
      <c r="LR392" s="44"/>
      <c r="LS392" s="44"/>
      <c r="LT392" s="44"/>
      <c r="LU392" s="44"/>
      <c r="LV392" s="44"/>
    </row>
    <row r="393" spans="1:334" x14ac:dyDescent="0.2">
      <c r="A393" s="1" t="s">
        <v>8992</v>
      </c>
      <c r="B393" s="1" t="s">
        <v>8990</v>
      </c>
      <c r="D393" s="1" t="s">
        <v>8946</v>
      </c>
      <c r="E393" s="1" t="s">
        <v>7</v>
      </c>
      <c r="F393" s="1" t="s">
        <v>8187</v>
      </c>
      <c r="G393" s="1" t="s">
        <v>8947</v>
      </c>
      <c r="H393" s="1" t="s">
        <v>8993</v>
      </c>
      <c r="J393" s="1" t="s">
        <v>8953</v>
      </c>
      <c r="K393" s="1">
        <v>2014</v>
      </c>
      <c r="L393" s="1" t="s">
        <v>8950</v>
      </c>
      <c r="M393" s="1" t="s">
        <v>7659</v>
      </c>
      <c r="N393" s="17" t="s">
        <v>7945</v>
      </c>
      <c r="O393" s="33"/>
      <c r="P393" s="33"/>
      <c r="Q393" s="33"/>
      <c r="R393" s="33"/>
      <c r="S393" s="33">
        <v>7.8</v>
      </c>
      <c r="T393" s="33"/>
      <c r="U393" s="33"/>
      <c r="V393" s="33"/>
      <c r="W393" s="33"/>
      <c r="X393" s="33"/>
      <c r="Y393" s="33"/>
      <c r="Z393" s="33">
        <v>20.86486</v>
      </c>
      <c r="AA393" s="33"/>
      <c r="AB393" s="33"/>
      <c r="AC393" s="33">
        <v>0.96810000000000007</v>
      </c>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c r="BO393" s="33"/>
      <c r="BP393" s="33"/>
      <c r="BQ393" s="33">
        <v>3.0425999999999997</v>
      </c>
      <c r="BR393" s="33"/>
      <c r="BS393" s="33"/>
      <c r="BT393" s="33"/>
      <c r="BU393" s="33"/>
      <c r="BV393" s="33"/>
      <c r="BW393" s="33"/>
      <c r="BX393" s="33"/>
      <c r="BY393" s="33"/>
      <c r="BZ393" s="33"/>
      <c r="CA393" s="33"/>
      <c r="CB393" s="33"/>
      <c r="CC393" s="33"/>
      <c r="CD393" s="33"/>
      <c r="CE393" s="33"/>
      <c r="CF393" s="33"/>
      <c r="CG393" s="33"/>
      <c r="CH393" s="33"/>
      <c r="CI393" s="33"/>
      <c r="CJ393" s="33"/>
      <c r="CK393" s="33"/>
      <c r="CL393" s="33"/>
      <c r="CM393" s="33"/>
      <c r="CN393" s="33"/>
      <c r="CO393" s="33"/>
      <c r="CP393" s="33">
        <v>184.4</v>
      </c>
      <c r="CQ393" s="33"/>
      <c r="CR393" s="33">
        <v>0.90816999999999992</v>
      </c>
      <c r="CS393" s="33">
        <v>6.3175439999999998</v>
      </c>
      <c r="CT393" s="33"/>
      <c r="CU393" s="33"/>
      <c r="CV393" s="33">
        <v>175.18</v>
      </c>
      <c r="CW393" s="33">
        <v>1.383</v>
      </c>
      <c r="CX393" s="33"/>
      <c r="CY393" s="33">
        <v>590.08000000000004</v>
      </c>
      <c r="CZ393" s="33"/>
      <c r="DA393" s="33">
        <v>3.1172820000000003</v>
      </c>
      <c r="DB393" s="33"/>
      <c r="DC393" s="33"/>
      <c r="DD393" s="33"/>
      <c r="DE393" s="33"/>
      <c r="DF393" s="33"/>
      <c r="DG393" s="33"/>
      <c r="DH393" s="33"/>
      <c r="DI393" s="33"/>
      <c r="DJ393" s="33"/>
      <c r="DK393" s="33"/>
      <c r="DL393" s="33"/>
      <c r="DM393" s="33"/>
      <c r="DN393" s="33"/>
      <c r="DO393" s="33"/>
      <c r="DP393" s="33"/>
      <c r="DQ393" s="33"/>
      <c r="DR393" s="33"/>
      <c r="DS393" s="33"/>
      <c r="DT393" s="33"/>
      <c r="DU393" s="33"/>
      <c r="DV393" s="33"/>
      <c r="DW393" s="33"/>
      <c r="DX393" s="33"/>
      <c r="DY393" s="33"/>
      <c r="DZ393" s="33"/>
      <c r="EA393" s="33"/>
      <c r="EB393" s="33"/>
      <c r="EC393" s="33"/>
      <c r="ED393" s="33"/>
      <c r="EE393" s="33"/>
      <c r="EF393" s="33"/>
      <c r="EG393" s="33"/>
      <c r="EH393" s="33"/>
      <c r="EI393" s="33"/>
      <c r="EJ393" s="33"/>
      <c r="EK393" s="33"/>
      <c r="EL393" s="33"/>
      <c r="EM393" s="33"/>
      <c r="EN393" s="33"/>
      <c r="EO393" s="33"/>
      <c r="EP393" s="33"/>
      <c r="EQ393" s="33"/>
      <c r="ER393" s="33"/>
      <c r="ES393" s="33"/>
      <c r="ET393" s="33"/>
      <c r="EU393" s="33"/>
      <c r="EV393" s="33"/>
      <c r="EW393" s="33"/>
      <c r="EX393" s="33"/>
      <c r="EY393" s="33"/>
      <c r="EZ393" s="33"/>
      <c r="FA393" s="33"/>
      <c r="FB393" s="33"/>
      <c r="FC393" s="33"/>
      <c r="FD393" s="33"/>
      <c r="FE393" s="33"/>
      <c r="FF393" s="33"/>
      <c r="FG393" s="33"/>
      <c r="FH393" s="33"/>
      <c r="FI393" s="33"/>
      <c r="FJ393" s="33"/>
      <c r="FK393" s="33"/>
      <c r="FL393" s="33"/>
      <c r="FM393" s="33"/>
      <c r="FN393" s="33"/>
      <c r="FO393" s="33"/>
      <c r="FP393" s="33"/>
      <c r="FQ393" s="33"/>
      <c r="FR393" s="33"/>
      <c r="FS393" s="33"/>
      <c r="FT393" s="33"/>
      <c r="FU393" s="33"/>
      <c r="FV393" s="33"/>
      <c r="FW393" s="33"/>
      <c r="FX393" s="33"/>
      <c r="FY393" s="33"/>
      <c r="FZ393" s="33"/>
      <c r="GA393" s="33"/>
      <c r="GB393" s="33"/>
      <c r="GC393" s="33"/>
      <c r="GD393" s="33"/>
      <c r="GE393" s="33"/>
      <c r="GF393" s="33"/>
      <c r="GG393" s="33"/>
      <c r="GH393" s="33"/>
      <c r="GI393" s="33"/>
      <c r="GJ393" s="33"/>
      <c r="GK393" s="33"/>
      <c r="GL393" s="33"/>
      <c r="GM393" s="33"/>
      <c r="GN393" s="33"/>
      <c r="GO393" s="33"/>
      <c r="GP393" s="33"/>
      <c r="GQ393" s="33"/>
      <c r="GR393" s="33"/>
      <c r="GS393" s="33"/>
      <c r="GT393" s="33"/>
      <c r="GU393" s="33"/>
      <c r="GV393" s="33"/>
      <c r="GW393" s="33"/>
      <c r="GX393" s="33"/>
      <c r="GY393" s="33"/>
      <c r="GZ393" s="33"/>
      <c r="HA393" s="33"/>
      <c r="HB393" s="33"/>
      <c r="HC393" s="33"/>
      <c r="HD393" s="33"/>
      <c r="HE393" s="33"/>
      <c r="HF393" s="33"/>
      <c r="HG393" s="33"/>
      <c r="HH393" s="33"/>
      <c r="HI393" s="33"/>
      <c r="HJ393" s="33"/>
      <c r="HK393" s="33"/>
      <c r="HL393" s="33"/>
      <c r="HM393" s="33"/>
      <c r="HN393" s="33"/>
      <c r="HO393" s="33"/>
      <c r="HP393" s="33"/>
      <c r="HQ393" s="33"/>
      <c r="HR393" s="33"/>
      <c r="HS393" s="33"/>
      <c r="HT393" s="33"/>
      <c r="HU393" s="33"/>
      <c r="HV393" s="33"/>
      <c r="HW393" s="33"/>
      <c r="HX393" s="33"/>
      <c r="HY393" s="33"/>
      <c r="HZ393" s="33"/>
      <c r="IA393" s="33"/>
      <c r="IB393" s="33"/>
      <c r="IC393" s="33"/>
      <c r="ID393" s="33"/>
      <c r="IE393" s="33"/>
      <c r="IF393" s="33"/>
      <c r="IG393" s="33"/>
      <c r="IH393" s="33"/>
      <c r="II393" s="33"/>
      <c r="IJ393" s="33"/>
      <c r="IK393" s="33"/>
      <c r="IL393" s="33"/>
      <c r="IM393" s="33"/>
      <c r="IN393" s="33"/>
      <c r="IO393" s="33"/>
      <c r="IP393" s="33"/>
      <c r="IQ393" s="33"/>
      <c r="IR393" s="33"/>
      <c r="IS393" s="33"/>
      <c r="IT393" s="33"/>
      <c r="IU393" s="33"/>
      <c r="IV393" s="33"/>
      <c r="IW393" s="33"/>
      <c r="IX393" s="33"/>
      <c r="IY393" s="33"/>
      <c r="IZ393" s="33"/>
      <c r="JA393" s="33"/>
      <c r="JB393" s="33"/>
      <c r="JC393" s="33"/>
      <c r="JD393" s="33"/>
      <c r="JE393" s="33"/>
      <c r="JF393" s="33"/>
      <c r="JG393" s="33"/>
      <c r="JH393" s="33"/>
      <c r="JI393" s="33"/>
      <c r="JJ393" s="33"/>
      <c r="JK393" s="33"/>
      <c r="JL393" s="33"/>
      <c r="JM393" s="33"/>
      <c r="JN393" s="33"/>
      <c r="JO393" s="33"/>
      <c r="JP393" s="33"/>
      <c r="JQ393" s="33"/>
      <c r="JR393" s="33"/>
      <c r="KZ393" s="33"/>
      <c r="LA393" s="33"/>
      <c r="LB393" s="33"/>
      <c r="LC393" s="33"/>
      <c r="LD393" s="33"/>
      <c r="LE393" s="33"/>
      <c r="LF393" s="33"/>
      <c r="LG393" s="33"/>
      <c r="LH393" s="33"/>
      <c r="LI393" s="33"/>
      <c r="LJ393" s="33"/>
      <c r="LK393" s="33"/>
      <c r="LL393" s="33"/>
      <c r="LM393" s="33"/>
      <c r="LN393" s="33"/>
      <c r="LO393" s="33"/>
      <c r="LP393" s="44"/>
      <c r="LQ393" s="44"/>
      <c r="LR393" s="44"/>
      <c r="LS393" s="44"/>
      <c r="LT393" s="44"/>
      <c r="LU393" s="44"/>
      <c r="LV393" s="44"/>
    </row>
    <row r="394" spans="1:334" x14ac:dyDescent="0.2">
      <c r="A394" s="1" t="s">
        <v>8994</v>
      </c>
      <c r="B394" s="1" t="s">
        <v>8995</v>
      </c>
      <c r="D394" s="1" t="s">
        <v>8946</v>
      </c>
      <c r="E394" s="1" t="s">
        <v>7</v>
      </c>
      <c r="F394" s="1" t="s">
        <v>8187</v>
      </c>
      <c r="G394" s="1" t="s">
        <v>8947</v>
      </c>
      <c r="H394" s="1" t="s">
        <v>8996</v>
      </c>
      <c r="J394" s="1" t="s">
        <v>8953</v>
      </c>
      <c r="K394" s="1">
        <v>2014</v>
      </c>
      <c r="L394" s="1" t="s">
        <v>8950</v>
      </c>
      <c r="M394" s="1" t="s">
        <v>7659</v>
      </c>
      <c r="N394" s="17" t="s">
        <v>7945</v>
      </c>
      <c r="O394" s="33"/>
      <c r="P394" s="33"/>
      <c r="Q394" s="33"/>
      <c r="R394" s="33"/>
      <c r="S394" s="33">
        <v>9.1999999999999993</v>
      </c>
      <c r="T394" s="33"/>
      <c r="U394" s="33"/>
      <c r="V394" s="33"/>
      <c r="W394" s="33"/>
      <c r="X394" s="33"/>
      <c r="Y394" s="33"/>
      <c r="Z394" s="33">
        <v>20.039559999999998</v>
      </c>
      <c r="AA394" s="33"/>
      <c r="AB394" s="33"/>
      <c r="AC394" s="33">
        <v>1.1985600000000001</v>
      </c>
      <c r="AD394" s="33"/>
      <c r="AE394" s="33"/>
      <c r="AF394" s="33"/>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33"/>
      <c r="BC394" s="33"/>
      <c r="BD394" s="33"/>
      <c r="BE394" s="33"/>
      <c r="BF394" s="33"/>
      <c r="BG394" s="33"/>
      <c r="BH394" s="33"/>
      <c r="BI394" s="33"/>
      <c r="BJ394" s="33"/>
      <c r="BK394" s="33"/>
      <c r="BL394" s="33"/>
      <c r="BM394" s="33"/>
      <c r="BN394" s="33"/>
      <c r="BO394" s="33"/>
      <c r="BP394" s="33"/>
      <c r="BQ394" s="33">
        <v>3.0871999999999997</v>
      </c>
      <c r="BR394" s="33"/>
      <c r="BS394" s="33"/>
      <c r="BT394" s="33"/>
      <c r="BU394" s="33"/>
      <c r="BV394" s="33"/>
      <c r="BW394" s="33"/>
      <c r="BX394" s="33"/>
      <c r="BY394" s="33"/>
      <c r="BZ394" s="33"/>
      <c r="CA394" s="33"/>
      <c r="CB394" s="33"/>
      <c r="CC394" s="33"/>
      <c r="CD394" s="33"/>
      <c r="CE394" s="33"/>
      <c r="CF394" s="33"/>
      <c r="CG394" s="33"/>
      <c r="CH394" s="33"/>
      <c r="CI394" s="33"/>
      <c r="CJ394" s="33"/>
      <c r="CK394" s="33"/>
      <c r="CL394" s="33"/>
      <c r="CM394" s="33"/>
      <c r="CN394" s="33"/>
      <c r="CO394" s="33"/>
      <c r="CP394" s="33">
        <v>163.43999999999997</v>
      </c>
      <c r="CQ394" s="33"/>
      <c r="CR394" s="33">
        <v>0.81992399999999976</v>
      </c>
      <c r="CS394" s="33">
        <v>5.7984879999999999</v>
      </c>
      <c r="CT394" s="33"/>
      <c r="CU394" s="33"/>
      <c r="CV394" s="33">
        <v>163.43999999999997</v>
      </c>
      <c r="CW394" s="33">
        <v>1.9476599999999997</v>
      </c>
      <c r="CX394" s="33"/>
      <c r="CY394" s="33">
        <v>363.20000000000005</v>
      </c>
      <c r="CZ394" s="33"/>
      <c r="DA394" s="33">
        <v>2.5641919999999994</v>
      </c>
      <c r="DB394" s="33"/>
      <c r="DC394" s="33"/>
      <c r="DD394" s="33"/>
      <c r="DE394" s="33"/>
      <c r="DF394" s="33"/>
      <c r="DG394" s="33"/>
      <c r="DH394" s="33"/>
      <c r="DI394" s="33"/>
      <c r="DJ394" s="33"/>
      <c r="DK394" s="33"/>
      <c r="DL394" s="33"/>
      <c r="DM394" s="33"/>
      <c r="DN394" s="33"/>
      <c r="DO394" s="33"/>
      <c r="DP394" s="33"/>
      <c r="DQ394" s="33"/>
      <c r="DR394" s="33"/>
      <c r="DS394" s="33"/>
      <c r="DT394" s="33"/>
      <c r="DU394" s="33"/>
      <c r="DV394" s="33"/>
      <c r="DW394" s="33"/>
      <c r="DX394" s="33"/>
      <c r="DY394" s="33"/>
      <c r="DZ394" s="33"/>
      <c r="EA394" s="33"/>
      <c r="EB394" s="33"/>
      <c r="EC394" s="33"/>
      <c r="ED394" s="33"/>
      <c r="EE394" s="33"/>
      <c r="EF394" s="33"/>
      <c r="EG394" s="33"/>
      <c r="EH394" s="33"/>
      <c r="EI394" s="33"/>
      <c r="EJ394" s="33"/>
      <c r="EK394" s="33"/>
      <c r="EL394" s="33"/>
      <c r="EM394" s="33"/>
      <c r="EN394" s="33"/>
      <c r="EO394" s="33"/>
      <c r="EP394" s="33"/>
      <c r="EQ394" s="33"/>
      <c r="ER394" s="33"/>
      <c r="ES394" s="33"/>
      <c r="ET394" s="33"/>
      <c r="EU394" s="33"/>
      <c r="EV394" s="33"/>
      <c r="EW394" s="33"/>
      <c r="EX394" s="33"/>
      <c r="EY394" s="33"/>
      <c r="EZ394" s="33"/>
      <c r="FA394" s="33"/>
      <c r="FB394" s="33"/>
      <c r="FC394" s="33"/>
      <c r="FD394" s="33"/>
      <c r="FE394" s="33"/>
      <c r="FF394" s="33"/>
      <c r="FG394" s="33"/>
      <c r="FH394" s="33"/>
      <c r="FI394" s="33"/>
      <c r="FJ394" s="33"/>
      <c r="FK394" s="33"/>
      <c r="FL394" s="33"/>
      <c r="FM394" s="33"/>
      <c r="FN394" s="33"/>
      <c r="FO394" s="33"/>
      <c r="FP394" s="33"/>
      <c r="FQ394" s="33"/>
      <c r="FR394" s="33"/>
      <c r="FS394" s="33"/>
      <c r="FT394" s="33"/>
      <c r="FU394" s="33"/>
      <c r="FV394" s="33"/>
      <c r="FW394" s="33"/>
      <c r="FX394" s="33"/>
      <c r="FY394" s="33"/>
      <c r="FZ394" s="33"/>
      <c r="GA394" s="33"/>
      <c r="GB394" s="33"/>
      <c r="GC394" s="33"/>
      <c r="GD394" s="33"/>
      <c r="GE394" s="33"/>
      <c r="GF394" s="33"/>
      <c r="GG394" s="33"/>
      <c r="GH394" s="33"/>
      <c r="GI394" s="33"/>
      <c r="GJ394" s="33"/>
      <c r="GK394" s="33"/>
      <c r="GL394" s="33"/>
      <c r="GM394" s="33"/>
      <c r="GN394" s="33"/>
      <c r="GO394" s="33"/>
      <c r="GP394" s="33"/>
      <c r="GQ394" s="33"/>
      <c r="GR394" s="33"/>
      <c r="GS394" s="33"/>
      <c r="GT394" s="33"/>
      <c r="GU394" s="33"/>
      <c r="GV394" s="33"/>
      <c r="GW394" s="33"/>
      <c r="GX394" s="33"/>
      <c r="GY394" s="33"/>
      <c r="GZ394" s="33"/>
      <c r="HA394" s="33"/>
      <c r="HB394" s="33"/>
      <c r="HC394" s="33"/>
      <c r="HD394" s="33"/>
      <c r="HE394" s="33"/>
      <c r="HF394" s="33"/>
      <c r="HG394" s="33"/>
      <c r="HH394" s="33"/>
      <c r="HI394" s="33"/>
      <c r="HJ394" s="33"/>
      <c r="HK394" s="33"/>
      <c r="HL394" s="33"/>
      <c r="HM394" s="33"/>
      <c r="HN394" s="33"/>
      <c r="HO394" s="33"/>
      <c r="HP394" s="33"/>
      <c r="HQ394" s="33"/>
      <c r="HR394" s="33"/>
      <c r="HS394" s="33"/>
      <c r="HT394" s="33"/>
      <c r="HU394" s="33"/>
      <c r="HV394" s="33"/>
      <c r="HW394" s="33"/>
      <c r="HX394" s="33"/>
      <c r="HY394" s="33"/>
      <c r="HZ394" s="33"/>
      <c r="IA394" s="33"/>
      <c r="IB394" s="33"/>
      <c r="IC394" s="33"/>
      <c r="ID394" s="33"/>
      <c r="IE394" s="33"/>
      <c r="IF394" s="33"/>
      <c r="IG394" s="33"/>
      <c r="IH394" s="33"/>
      <c r="II394" s="33"/>
      <c r="IJ394" s="33"/>
      <c r="IK394" s="33"/>
      <c r="IL394" s="33"/>
      <c r="IM394" s="33"/>
      <c r="IN394" s="33"/>
      <c r="IO394" s="33"/>
      <c r="IP394" s="33"/>
      <c r="IQ394" s="33"/>
      <c r="IR394" s="33"/>
      <c r="IS394" s="33"/>
      <c r="IT394" s="33"/>
      <c r="IU394" s="33"/>
      <c r="IV394" s="33"/>
      <c r="IW394" s="33"/>
      <c r="IX394" s="33"/>
      <c r="IY394" s="33"/>
      <c r="IZ394" s="33"/>
      <c r="JA394" s="33"/>
      <c r="JB394" s="33"/>
      <c r="JC394" s="33"/>
      <c r="JD394" s="33"/>
      <c r="JE394" s="33"/>
      <c r="JF394" s="33"/>
      <c r="JG394" s="33"/>
      <c r="JH394" s="33"/>
      <c r="JI394" s="33"/>
      <c r="JJ394" s="33"/>
      <c r="JK394" s="33"/>
      <c r="JL394" s="33"/>
      <c r="JM394" s="33"/>
      <c r="JN394" s="33"/>
      <c r="JO394" s="33"/>
      <c r="JP394" s="33"/>
      <c r="JQ394" s="33"/>
      <c r="JR394" s="33"/>
      <c r="KZ394" s="33"/>
      <c r="LA394" s="33"/>
      <c r="LB394" s="33"/>
      <c r="LC394" s="33"/>
      <c r="LD394" s="33"/>
      <c r="LE394" s="33"/>
      <c r="LF394" s="33"/>
      <c r="LG394" s="33"/>
      <c r="LH394" s="33"/>
      <c r="LI394" s="33"/>
      <c r="LJ394" s="33"/>
      <c r="LK394" s="33"/>
      <c r="LL394" s="33"/>
      <c r="LM394" s="33"/>
      <c r="LN394" s="33"/>
      <c r="LO394" s="33"/>
      <c r="LP394" s="44"/>
      <c r="LQ394" s="44"/>
      <c r="LR394" s="44"/>
      <c r="LS394" s="44"/>
      <c r="LT394" s="44"/>
      <c r="LU394" s="44"/>
      <c r="LV394" s="44"/>
    </row>
    <row r="395" spans="1:334" x14ac:dyDescent="0.2">
      <c r="A395" s="1" t="s">
        <v>8997</v>
      </c>
      <c r="B395" s="1" t="s">
        <v>8995</v>
      </c>
      <c r="D395" s="1" t="s">
        <v>8946</v>
      </c>
      <c r="E395" s="1" t="s">
        <v>7</v>
      </c>
      <c r="F395" s="1" t="s">
        <v>8187</v>
      </c>
      <c r="G395" s="1" t="s">
        <v>8947</v>
      </c>
      <c r="H395" s="1" t="s">
        <v>8998</v>
      </c>
      <c r="J395" s="1" t="s">
        <v>8953</v>
      </c>
      <c r="K395" s="1">
        <v>2014</v>
      </c>
      <c r="L395" s="1" t="s">
        <v>8950</v>
      </c>
      <c r="M395" s="1" t="s">
        <v>7659</v>
      </c>
      <c r="N395" s="17" t="s">
        <v>7945</v>
      </c>
      <c r="O395" s="33"/>
      <c r="P395" s="33"/>
      <c r="Q395" s="33"/>
      <c r="R395" s="33"/>
      <c r="S395" s="33">
        <v>7.8</v>
      </c>
      <c r="T395" s="33"/>
      <c r="U395" s="33"/>
      <c r="V395" s="33"/>
      <c r="W395" s="33"/>
      <c r="X395" s="33"/>
      <c r="Y395" s="33"/>
      <c r="Z395" s="33">
        <v>18.836459999999999</v>
      </c>
      <c r="AA395" s="33"/>
      <c r="AB395" s="33"/>
      <c r="AC395" s="33">
        <v>1.30924</v>
      </c>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33"/>
      <c r="BE395" s="33"/>
      <c r="BF395" s="33"/>
      <c r="BG395" s="33"/>
      <c r="BH395" s="33"/>
      <c r="BI395" s="33"/>
      <c r="BJ395" s="33"/>
      <c r="BK395" s="33"/>
      <c r="BL395" s="33"/>
      <c r="BM395" s="33"/>
      <c r="BN395" s="33"/>
      <c r="BO395" s="33"/>
      <c r="BP395" s="33"/>
      <c r="BQ395" s="33">
        <v>2.5078400000000003</v>
      </c>
      <c r="BR395" s="33"/>
      <c r="BS395" s="33"/>
      <c r="BT395" s="33"/>
      <c r="BU395" s="33"/>
      <c r="BV395" s="33"/>
      <c r="BW395" s="33"/>
      <c r="BX395" s="33"/>
      <c r="BY395" s="33"/>
      <c r="BZ395" s="33"/>
      <c r="CA395" s="33"/>
      <c r="CB395" s="33"/>
      <c r="CC395" s="33"/>
      <c r="CD395" s="33"/>
      <c r="CE395" s="33"/>
      <c r="CF395" s="33"/>
      <c r="CG395" s="33"/>
      <c r="CH395" s="33"/>
      <c r="CI395" s="33"/>
      <c r="CJ395" s="33"/>
      <c r="CK395" s="33"/>
      <c r="CL395" s="33"/>
      <c r="CM395" s="33"/>
      <c r="CN395" s="33"/>
      <c r="CO395" s="33"/>
      <c r="CP395" s="33">
        <v>212.06000000000003</v>
      </c>
      <c r="CQ395" s="33"/>
      <c r="CR395" s="33">
        <v>0.81689199999999995</v>
      </c>
      <c r="CS395" s="33">
        <v>5.8178200000000002</v>
      </c>
      <c r="CT395" s="33"/>
      <c r="CU395" s="33"/>
      <c r="CV395" s="33">
        <v>147.52000000000001</v>
      </c>
      <c r="CW395" s="33">
        <v>2.0320879999999999</v>
      </c>
      <c r="CX395" s="33"/>
      <c r="CY395" s="33">
        <v>350.36</v>
      </c>
      <c r="CZ395" s="33"/>
      <c r="DA395" s="33">
        <v>2.69685</v>
      </c>
      <c r="DB395" s="33"/>
      <c r="DC395" s="33"/>
      <c r="DD395" s="33"/>
      <c r="DE395" s="33"/>
      <c r="DF395" s="33"/>
      <c r="DG395" s="33"/>
      <c r="DH395" s="33"/>
      <c r="DI395" s="33"/>
      <c r="DJ395" s="33"/>
      <c r="DK395" s="33"/>
      <c r="DL395" s="33"/>
      <c r="DM395" s="33"/>
      <c r="DN395" s="33"/>
      <c r="DO395" s="33"/>
      <c r="DP395" s="33"/>
      <c r="DQ395" s="33"/>
      <c r="DR395" s="33"/>
      <c r="DS395" s="33"/>
      <c r="DT395" s="33"/>
      <c r="DU395" s="33"/>
      <c r="DV395" s="33"/>
      <c r="DW395" s="33"/>
      <c r="DX395" s="33"/>
      <c r="DY395" s="33"/>
      <c r="DZ395" s="33"/>
      <c r="EA395" s="33"/>
      <c r="EB395" s="33"/>
      <c r="EC395" s="33"/>
      <c r="ED395" s="33"/>
      <c r="EE395" s="33"/>
      <c r="EF395" s="33"/>
      <c r="EG395" s="33"/>
      <c r="EH395" s="33"/>
      <c r="EI395" s="33"/>
      <c r="EJ395" s="33"/>
      <c r="EK395" s="33"/>
      <c r="EL395" s="33"/>
      <c r="EM395" s="33"/>
      <c r="EN395" s="33"/>
      <c r="EO395" s="33"/>
      <c r="EP395" s="33"/>
      <c r="EQ395" s="33"/>
      <c r="ER395" s="33"/>
      <c r="ES395" s="33"/>
      <c r="ET395" s="33"/>
      <c r="EU395" s="33"/>
      <c r="EV395" s="33"/>
      <c r="EW395" s="33"/>
      <c r="EX395" s="33"/>
      <c r="EY395" s="33"/>
      <c r="EZ395" s="33"/>
      <c r="FA395" s="33"/>
      <c r="FB395" s="33"/>
      <c r="FC395" s="33"/>
      <c r="FD395" s="33"/>
      <c r="FE395" s="33"/>
      <c r="FF395" s="33"/>
      <c r="FG395" s="33"/>
      <c r="FH395" s="33"/>
      <c r="FI395" s="33"/>
      <c r="FJ395" s="33"/>
      <c r="FK395" s="33"/>
      <c r="FL395" s="33"/>
      <c r="FM395" s="33"/>
      <c r="FN395" s="33"/>
      <c r="FO395" s="33"/>
      <c r="FP395" s="33"/>
      <c r="FQ395" s="33"/>
      <c r="FR395" s="33"/>
      <c r="FS395" s="33"/>
      <c r="FT395" s="33"/>
      <c r="FU395" s="33"/>
      <c r="FV395" s="33"/>
      <c r="FW395" s="33"/>
      <c r="FX395" s="33"/>
      <c r="FY395" s="33"/>
      <c r="FZ395" s="33"/>
      <c r="GA395" s="33"/>
      <c r="GB395" s="33"/>
      <c r="GC395" s="33"/>
      <c r="GD395" s="33"/>
      <c r="GE395" s="33"/>
      <c r="GF395" s="33"/>
      <c r="GG395" s="33"/>
      <c r="GH395" s="33"/>
      <c r="GI395" s="33"/>
      <c r="GJ395" s="33"/>
      <c r="GK395" s="33"/>
      <c r="GL395" s="33"/>
      <c r="GM395" s="33"/>
      <c r="GN395" s="33"/>
      <c r="GO395" s="33"/>
      <c r="GP395" s="33"/>
      <c r="GQ395" s="33"/>
      <c r="GR395" s="33"/>
      <c r="GS395" s="33"/>
      <c r="GT395" s="33"/>
      <c r="GU395" s="33"/>
      <c r="GV395" s="33"/>
      <c r="GW395" s="33"/>
      <c r="GX395" s="33"/>
      <c r="GY395" s="33"/>
      <c r="GZ395" s="33"/>
      <c r="HA395" s="33"/>
      <c r="HB395" s="33"/>
      <c r="HC395" s="33"/>
      <c r="HD395" s="33"/>
      <c r="HE395" s="33"/>
      <c r="HF395" s="33"/>
      <c r="HG395" s="33"/>
      <c r="HH395" s="33"/>
      <c r="HI395" s="33"/>
      <c r="HJ395" s="33"/>
      <c r="HK395" s="33"/>
      <c r="HL395" s="33"/>
      <c r="HM395" s="33"/>
      <c r="HN395" s="33"/>
      <c r="HO395" s="33"/>
      <c r="HP395" s="33"/>
      <c r="HQ395" s="33"/>
      <c r="HR395" s="33"/>
      <c r="HS395" s="33"/>
      <c r="HT395" s="33"/>
      <c r="HU395" s="33"/>
      <c r="HV395" s="33"/>
      <c r="HW395" s="33"/>
      <c r="HX395" s="33"/>
      <c r="HY395" s="33"/>
      <c r="HZ395" s="33"/>
      <c r="IA395" s="33"/>
      <c r="IB395" s="33"/>
      <c r="IC395" s="33"/>
      <c r="ID395" s="33"/>
      <c r="IE395" s="33"/>
      <c r="IF395" s="33"/>
      <c r="IG395" s="33"/>
      <c r="IH395" s="33"/>
      <c r="II395" s="33"/>
      <c r="IJ395" s="33"/>
      <c r="IK395" s="33"/>
      <c r="IL395" s="33"/>
      <c r="IM395" s="33"/>
      <c r="IN395" s="33"/>
      <c r="IO395" s="33"/>
      <c r="IP395" s="33"/>
      <c r="IQ395" s="33"/>
      <c r="IR395" s="33"/>
      <c r="IS395" s="33"/>
      <c r="IT395" s="33"/>
      <c r="IU395" s="33"/>
      <c r="IV395" s="33"/>
      <c r="IW395" s="33"/>
      <c r="IX395" s="33"/>
      <c r="IY395" s="33"/>
      <c r="IZ395" s="33"/>
      <c r="JA395" s="33"/>
      <c r="JB395" s="33"/>
      <c r="JC395" s="33"/>
      <c r="JD395" s="33"/>
      <c r="JE395" s="33"/>
      <c r="JF395" s="33"/>
      <c r="JG395" s="33"/>
      <c r="JH395" s="33"/>
      <c r="JI395" s="33"/>
      <c r="JJ395" s="33"/>
      <c r="JK395" s="33"/>
      <c r="JL395" s="33"/>
      <c r="JM395" s="33"/>
      <c r="JN395" s="33"/>
      <c r="JO395" s="33"/>
      <c r="JP395" s="33"/>
      <c r="JQ395" s="33"/>
      <c r="JR395" s="33"/>
      <c r="KZ395" s="33"/>
      <c r="LA395" s="33"/>
      <c r="LB395" s="33"/>
      <c r="LC395" s="33"/>
      <c r="LD395" s="33"/>
      <c r="LE395" s="33"/>
      <c r="LF395" s="33"/>
      <c r="LG395" s="33"/>
      <c r="LH395" s="33"/>
      <c r="LI395" s="33"/>
      <c r="LJ395" s="33"/>
      <c r="LK395" s="33"/>
      <c r="LL395" s="33"/>
      <c r="LM395" s="33"/>
      <c r="LN395" s="33"/>
      <c r="LO395" s="33"/>
      <c r="LP395" s="44"/>
      <c r="LQ395" s="44"/>
      <c r="LR395" s="44"/>
      <c r="LS395" s="44"/>
      <c r="LT395" s="44"/>
      <c r="LU395" s="44"/>
      <c r="LV395" s="44"/>
    </row>
    <row r="396" spans="1:334" x14ac:dyDescent="0.2">
      <c r="A396" s="1" t="s">
        <v>8999</v>
      </c>
      <c r="B396" s="1" t="s">
        <v>9000</v>
      </c>
      <c r="D396" s="1" t="s">
        <v>8946</v>
      </c>
      <c r="E396" s="1" t="s">
        <v>7</v>
      </c>
      <c r="F396" s="1" t="s">
        <v>8187</v>
      </c>
      <c r="G396" s="1" t="s">
        <v>8947</v>
      </c>
      <c r="H396" s="1" t="s">
        <v>9001</v>
      </c>
      <c r="J396" s="1" t="s">
        <v>8953</v>
      </c>
      <c r="K396" s="1">
        <v>2014</v>
      </c>
      <c r="L396" s="1" t="s">
        <v>8950</v>
      </c>
      <c r="M396" s="1" t="s">
        <v>7659</v>
      </c>
      <c r="N396" s="17" t="s">
        <v>7945</v>
      </c>
      <c r="O396" s="33"/>
      <c r="P396" s="33"/>
      <c r="Q396" s="33"/>
      <c r="R396" s="33"/>
      <c r="S396" s="33">
        <v>9.6</v>
      </c>
      <c r="T396" s="33"/>
      <c r="U396" s="33"/>
      <c r="V396" s="33"/>
      <c r="W396" s="33"/>
      <c r="X396" s="33"/>
      <c r="Y396" s="33"/>
      <c r="Z396" s="33">
        <v>19.589680000000001</v>
      </c>
      <c r="AA396" s="33"/>
      <c r="AB396" s="33"/>
      <c r="AC396" s="33">
        <v>0.85880000000000001</v>
      </c>
      <c r="AD396" s="33"/>
      <c r="AE396" s="33"/>
      <c r="AF396" s="33"/>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33"/>
      <c r="BC396" s="33"/>
      <c r="BD396" s="33"/>
      <c r="BE396" s="33"/>
      <c r="BF396" s="33"/>
      <c r="BG396" s="33"/>
      <c r="BH396" s="33"/>
      <c r="BI396" s="33"/>
      <c r="BJ396" s="33"/>
      <c r="BK396" s="33"/>
      <c r="BL396" s="33"/>
      <c r="BM396" s="33"/>
      <c r="BN396" s="33"/>
      <c r="BO396" s="33"/>
      <c r="BP396" s="33"/>
      <c r="BQ396" s="33">
        <v>2.9832000000000001</v>
      </c>
      <c r="BR396" s="33"/>
      <c r="BS396" s="33"/>
      <c r="BT396" s="33"/>
      <c r="BU396" s="33"/>
      <c r="BV396" s="33"/>
      <c r="BW396" s="33"/>
      <c r="BX396" s="33"/>
      <c r="BY396" s="33"/>
      <c r="BZ396" s="33"/>
      <c r="CA396" s="33"/>
      <c r="CB396" s="33"/>
      <c r="CC396" s="33"/>
      <c r="CD396" s="33"/>
      <c r="CE396" s="33"/>
      <c r="CF396" s="33"/>
      <c r="CG396" s="33"/>
      <c r="CH396" s="33"/>
      <c r="CI396" s="33"/>
      <c r="CJ396" s="33"/>
      <c r="CK396" s="33"/>
      <c r="CL396" s="33"/>
      <c r="CM396" s="33"/>
      <c r="CN396" s="33"/>
      <c r="CO396" s="33"/>
      <c r="CP396" s="33">
        <v>162.72000000000003</v>
      </c>
      <c r="CQ396" s="33"/>
      <c r="CR396" s="33">
        <v>0.75936000000000015</v>
      </c>
      <c r="CS396" s="33">
        <v>5.6490960000000001</v>
      </c>
      <c r="CT396" s="33"/>
      <c r="CU396" s="33"/>
      <c r="CV396" s="33">
        <v>144.63999999999999</v>
      </c>
      <c r="CW396" s="33">
        <v>2.2600000000000002</v>
      </c>
      <c r="CX396" s="33"/>
      <c r="CY396" s="33">
        <v>316.40000000000003</v>
      </c>
      <c r="CZ396" s="33"/>
      <c r="DA396" s="33">
        <v>2.6387760000000005</v>
      </c>
      <c r="DB396" s="33"/>
      <c r="DC396" s="33"/>
      <c r="DD396" s="33"/>
      <c r="DE396" s="33"/>
      <c r="DF396" s="33"/>
      <c r="DG396" s="33"/>
      <c r="DH396" s="33"/>
      <c r="DI396" s="33"/>
      <c r="DJ396" s="33"/>
      <c r="DK396" s="33"/>
      <c r="DL396" s="33"/>
      <c r="DM396" s="33"/>
      <c r="DN396" s="33"/>
      <c r="DO396" s="33"/>
      <c r="DP396" s="33"/>
      <c r="DQ396" s="33"/>
      <c r="DR396" s="33"/>
      <c r="DS396" s="33"/>
      <c r="DT396" s="33"/>
      <c r="DU396" s="33"/>
      <c r="DV396" s="33"/>
      <c r="DW396" s="33"/>
      <c r="DX396" s="33"/>
      <c r="DY396" s="33"/>
      <c r="DZ396" s="33"/>
      <c r="EA396" s="33"/>
      <c r="EB396" s="33"/>
      <c r="EC396" s="33"/>
      <c r="ED396" s="33"/>
      <c r="EE396" s="33"/>
      <c r="EF396" s="33"/>
      <c r="EG396" s="33"/>
      <c r="EH396" s="33"/>
      <c r="EI396" s="33"/>
      <c r="EJ396" s="33"/>
      <c r="EK396" s="33"/>
      <c r="EL396" s="33"/>
      <c r="EM396" s="33"/>
      <c r="EN396" s="33"/>
      <c r="EO396" s="33"/>
      <c r="EP396" s="33"/>
      <c r="EQ396" s="33"/>
      <c r="ER396" s="33"/>
      <c r="ES396" s="33"/>
      <c r="ET396" s="33"/>
      <c r="EU396" s="33"/>
      <c r="EV396" s="33"/>
      <c r="EW396" s="33"/>
      <c r="EX396" s="33"/>
      <c r="EY396" s="33"/>
      <c r="EZ396" s="33"/>
      <c r="FA396" s="33"/>
      <c r="FB396" s="33"/>
      <c r="FC396" s="33"/>
      <c r="FD396" s="33"/>
      <c r="FE396" s="33"/>
      <c r="FF396" s="33"/>
      <c r="FG396" s="33"/>
      <c r="FH396" s="33"/>
      <c r="FI396" s="33"/>
      <c r="FJ396" s="33"/>
      <c r="FK396" s="33"/>
      <c r="FL396" s="33"/>
      <c r="FM396" s="33"/>
      <c r="FN396" s="33"/>
      <c r="FO396" s="33"/>
      <c r="FP396" s="33"/>
      <c r="FQ396" s="33"/>
      <c r="FR396" s="33"/>
      <c r="FS396" s="33"/>
      <c r="FT396" s="33"/>
      <c r="FU396" s="33"/>
      <c r="FV396" s="33"/>
      <c r="FW396" s="33"/>
      <c r="FX396" s="33"/>
      <c r="FY396" s="33"/>
      <c r="FZ396" s="33"/>
      <c r="GA396" s="33"/>
      <c r="GB396" s="33"/>
      <c r="GC396" s="33"/>
      <c r="GD396" s="33"/>
      <c r="GE396" s="33"/>
      <c r="GF396" s="33"/>
      <c r="GG396" s="33"/>
      <c r="GH396" s="33"/>
      <c r="GI396" s="33"/>
      <c r="GJ396" s="33"/>
      <c r="GK396" s="33"/>
      <c r="GL396" s="33"/>
      <c r="GM396" s="33"/>
      <c r="GN396" s="33"/>
      <c r="GO396" s="33"/>
      <c r="GP396" s="33"/>
      <c r="GQ396" s="33"/>
      <c r="GR396" s="33"/>
      <c r="GS396" s="33"/>
      <c r="GT396" s="33"/>
      <c r="GU396" s="33"/>
      <c r="GV396" s="33"/>
      <c r="GW396" s="33"/>
      <c r="GX396" s="33"/>
      <c r="GY396" s="33"/>
      <c r="GZ396" s="33"/>
      <c r="HA396" s="33"/>
      <c r="HB396" s="33"/>
      <c r="HC396" s="33"/>
      <c r="HD396" s="33"/>
      <c r="HE396" s="33"/>
      <c r="HF396" s="33"/>
      <c r="HG396" s="33"/>
      <c r="HH396" s="33"/>
      <c r="HI396" s="33"/>
      <c r="HJ396" s="33"/>
      <c r="HK396" s="33"/>
      <c r="HL396" s="33"/>
      <c r="HM396" s="33"/>
      <c r="HN396" s="33"/>
      <c r="HO396" s="33"/>
      <c r="HP396" s="33"/>
      <c r="HQ396" s="33"/>
      <c r="HR396" s="33"/>
      <c r="HS396" s="33"/>
      <c r="HT396" s="33"/>
      <c r="HU396" s="33"/>
      <c r="HV396" s="33"/>
      <c r="HW396" s="33"/>
      <c r="HX396" s="33"/>
      <c r="HY396" s="33"/>
      <c r="HZ396" s="33"/>
      <c r="IA396" s="33"/>
      <c r="IB396" s="33"/>
      <c r="IC396" s="33"/>
      <c r="ID396" s="33"/>
      <c r="IE396" s="33"/>
      <c r="IF396" s="33"/>
      <c r="IG396" s="33"/>
      <c r="IH396" s="33"/>
      <c r="II396" s="33"/>
      <c r="IJ396" s="33"/>
      <c r="IK396" s="33"/>
      <c r="IL396" s="33"/>
      <c r="IM396" s="33"/>
      <c r="IN396" s="33"/>
      <c r="IO396" s="33"/>
      <c r="IP396" s="33"/>
      <c r="IQ396" s="33"/>
      <c r="IR396" s="33"/>
      <c r="IS396" s="33"/>
      <c r="IT396" s="33"/>
      <c r="IU396" s="33"/>
      <c r="IV396" s="33"/>
      <c r="IW396" s="33"/>
      <c r="IX396" s="33"/>
      <c r="IY396" s="33"/>
      <c r="IZ396" s="33"/>
      <c r="JA396" s="33"/>
      <c r="JB396" s="33"/>
      <c r="JC396" s="33"/>
      <c r="JD396" s="33"/>
      <c r="JE396" s="33"/>
      <c r="JF396" s="33"/>
      <c r="JG396" s="33"/>
      <c r="JH396" s="33"/>
      <c r="JI396" s="33"/>
      <c r="JJ396" s="33"/>
      <c r="JK396" s="33"/>
      <c r="JL396" s="33"/>
      <c r="JM396" s="33"/>
      <c r="JN396" s="33"/>
      <c r="JO396" s="33"/>
      <c r="JP396" s="33"/>
      <c r="JQ396" s="33"/>
      <c r="JR396" s="33"/>
      <c r="KZ396" s="33"/>
      <c r="LA396" s="33"/>
      <c r="LB396" s="33"/>
      <c r="LC396" s="33"/>
      <c r="LD396" s="33"/>
      <c r="LE396" s="33"/>
      <c r="LF396" s="33"/>
      <c r="LG396" s="33"/>
      <c r="LH396" s="33"/>
      <c r="LI396" s="33"/>
      <c r="LJ396" s="33"/>
      <c r="LK396" s="33"/>
      <c r="LL396" s="33"/>
      <c r="LM396" s="33"/>
      <c r="LN396" s="33"/>
      <c r="LO396" s="33"/>
      <c r="LP396" s="44"/>
      <c r="LQ396" s="44"/>
      <c r="LR396" s="44"/>
      <c r="LS396" s="44"/>
      <c r="LT396" s="44"/>
      <c r="LU396" s="44"/>
      <c r="LV396" s="44"/>
    </row>
    <row r="397" spans="1:334" x14ac:dyDescent="0.2">
      <c r="A397" s="1" t="s">
        <v>9002</v>
      </c>
      <c r="B397" s="1" t="s">
        <v>9000</v>
      </c>
      <c r="D397" s="1" t="s">
        <v>8946</v>
      </c>
      <c r="E397" s="1" t="s">
        <v>7</v>
      </c>
      <c r="F397" s="1" t="s">
        <v>8187</v>
      </c>
      <c r="G397" s="1" t="s">
        <v>8947</v>
      </c>
      <c r="H397" s="1" t="s">
        <v>9003</v>
      </c>
      <c r="J397" s="1" t="s">
        <v>8953</v>
      </c>
      <c r="K397" s="1">
        <v>2014</v>
      </c>
      <c r="L397" s="1" t="s">
        <v>8950</v>
      </c>
      <c r="M397" s="1" t="s">
        <v>7659</v>
      </c>
      <c r="N397" s="17" t="s">
        <v>7945</v>
      </c>
      <c r="O397" s="33"/>
      <c r="P397" s="33"/>
      <c r="Q397" s="33"/>
      <c r="R397" s="33"/>
      <c r="S397" s="33">
        <v>6.7</v>
      </c>
      <c r="T397" s="33"/>
      <c r="U397" s="33"/>
      <c r="V397" s="33"/>
      <c r="W397" s="33"/>
      <c r="X397" s="33"/>
      <c r="Y397" s="33"/>
      <c r="Z397" s="33">
        <v>19.219799999999999</v>
      </c>
      <c r="AA397" s="33"/>
      <c r="AB397" s="33"/>
      <c r="AC397" s="33">
        <v>0.88634999999999986</v>
      </c>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33"/>
      <c r="BE397" s="33"/>
      <c r="BF397" s="33"/>
      <c r="BG397" s="33"/>
      <c r="BH397" s="33"/>
      <c r="BI397" s="33"/>
      <c r="BJ397" s="33"/>
      <c r="BK397" s="33"/>
      <c r="BL397" s="33"/>
      <c r="BM397" s="33"/>
      <c r="BN397" s="33"/>
      <c r="BO397" s="33"/>
      <c r="BP397" s="33"/>
      <c r="BQ397" s="33">
        <v>2.9576099999999999</v>
      </c>
      <c r="BR397" s="33"/>
      <c r="BS397" s="33"/>
      <c r="BT397" s="33"/>
      <c r="BU397" s="33"/>
      <c r="BV397" s="33"/>
      <c r="BW397" s="33"/>
      <c r="BX397" s="33"/>
      <c r="BY397" s="33"/>
      <c r="BZ397" s="33"/>
      <c r="CA397" s="33"/>
      <c r="CB397" s="33"/>
      <c r="CC397" s="33"/>
      <c r="CD397" s="33"/>
      <c r="CE397" s="33"/>
      <c r="CF397" s="33"/>
      <c r="CG397" s="33"/>
      <c r="CH397" s="33"/>
      <c r="CI397" s="33"/>
      <c r="CJ397" s="33"/>
      <c r="CK397" s="33"/>
      <c r="CL397" s="33"/>
      <c r="CM397" s="33"/>
      <c r="CN397" s="33"/>
      <c r="CO397" s="33"/>
      <c r="CP397" s="33">
        <v>205.26</v>
      </c>
      <c r="CQ397" s="33"/>
      <c r="CR397" s="33">
        <v>0.80237999999999998</v>
      </c>
      <c r="CS397" s="33">
        <v>5.6894339999999994</v>
      </c>
      <c r="CT397" s="33"/>
      <c r="CU397" s="33"/>
      <c r="CV397" s="33">
        <v>158.61000000000001</v>
      </c>
      <c r="CW397" s="33">
        <v>2.1916169999999999</v>
      </c>
      <c r="CX397" s="33"/>
      <c r="CY397" s="33">
        <v>317.22000000000003</v>
      </c>
      <c r="CZ397" s="33"/>
      <c r="DA397" s="33">
        <v>2.7747419999999998</v>
      </c>
      <c r="DB397" s="33"/>
      <c r="DC397" s="33"/>
      <c r="DD397" s="33"/>
      <c r="DE397" s="33"/>
      <c r="DF397" s="33"/>
      <c r="DG397" s="33"/>
      <c r="DH397" s="33"/>
      <c r="DI397" s="33"/>
      <c r="DJ397" s="33"/>
      <c r="DK397" s="33"/>
      <c r="DL397" s="33"/>
      <c r="DM397" s="33"/>
      <c r="DN397" s="33"/>
      <c r="DO397" s="33"/>
      <c r="DP397" s="33"/>
      <c r="DQ397" s="33"/>
      <c r="DR397" s="33"/>
      <c r="DS397" s="33"/>
      <c r="DT397" s="33"/>
      <c r="DU397" s="33"/>
      <c r="DV397" s="33"/>
      <c r="DW397" s="33"/>
      <c r="DX397" s="33"/>
      <c r="DY397" s="33"/>
      <c r="DZ397" s="33"/>
      <c r="EA397" s="33"/>
      <c r="EB397" s="33"/>
      <c r="EC397" s="33"/>
      <c r="ED397" s="33"/>
      <c r="EE397" s="33"/>
      <c r="EF397" s="33"/>
      <c r="EG397" s="33"/>
      <c r="EH397" s="33"/>
      <c r="EI397" s="33"/>
      <c r="EJ397" s="33"/>
      <c r="EK397" s="33"/>
      <c r="EL397" s="33"/>
      <c r="EM397" s="33"/>
      <c r="EN397" s="33"/>
      <c r="EO397" s="33"/>
      <c r="EP397" s="33"/>
      <c r="EQ397" s="33"/>
      <c r="ER397" s="33"/>
      <c r="ES397" s="33"/>
      <c r="ET397" s="33"/>
      <c r="EU397" s="33"/>
      <c r="EV397" s="33"/>
      <c r="EW397" s="33"/>
      <c r="EX397" s="33"/>
      <c r="EY397" s="33"/>
      <c r="EZ397" s="33"/>
      <c r="FA397" s="33"/>
      <c r="FB397" s="33"/>
      <c r="FC397" s="33"/>
      <c r="FD397" s="33"/>
      <c r="FE397" s="33"/>
      <c r="FF397" s="33"/>
      <c r="FG397" s="33"/>
      <c r="FH397" s="33"/>
      <c r="FI397" s="33"/>
      <c r="FJ397" s="33"/>
      <c r="FK397" s="33"/>
      <c r="FL397" s="33"/>
      <c r="FM397" s="33"/>
      <c r="FN397" s="33"/>
      <c r="FO397" s="33"/>
      <c r="FP397" s="33"/>
      <c r="FQ397" s="33"/>
      <c r="FR397" s="33"/>
      <c r="FS397" s="33"/>
      <c r="FT397" s="33"/>
      <c r="FU397" s="33"/>
      <c r="FV397" s="33"/>
      <c r="FW397" s="33"/>
      <c r="FX397" s="33"/>
      <c r="FY397" s="33"/>
      <c r="FZ397" s="33"/>
      <c r="GA397" s="33"/>
      <c r="GB397" s="33"/>
      <c r="GC397" s="33"/>
      <c r="GD397" s="33"/>
      <c r="GE397" s="33"/>
      <c r="GF397" s="33"/>
      <c r="GG397" s="33"/>
      <c r="GH397" s="33"/>
      <c r="GI397" s="33"/>
      <c r="GJ397" s="33"/>
      <c r="GK397" s="33"/>
      <c r="GL397" s="33"/>
      <c r="GM397" s="33"/>
      <c r="GN397" s="33"/>
      <c r="GO397" s="33"/>
      <c r="GP397" s="33"/>
      <c r="GQ397" s="33"/>
      <c r="GR397" s="33"/>
      <c r="GS397" s="33"/>
      <c r="GT397" s="33"/>
      <c r="GU397" s="33"/>
      <c r="GV397" s="33"/>
      <c r="GW397" s="33"/>
      <c r="GX397" s="33"/>
      <c r="GY397" s="33"/>
      <c r="GZ397" s="33"/>
      <c r="HA397" s="33"/>
      <c r="HB397" s="33"/>
      <c r="HC397" s="33"/>
      <c r="HD397" s="33"/>
      <c r="HE397" s="33"/>
      <c r="HF397" s="33"/>
      <c r="HG397" s="33"/>
      <c r="HH397" s="33"/>
      <c r="HI397" s="33"/>
      <c r="HJ397" s="33"/>
      <c r="HK397" s="33"/>
      <c r="HL397" s="33"/>
      <c r="HM397" s="33"/>
      <c r="HN397" s="33"/>
      <c r="HO397" s="33"/>
      <c r="HP397" s="33"/>
      <c r="HQ397" s="33"/>
      <c r="HR397" s="33"/>
      <c r="HS397" s="33"/>
      <c r="HT397" s="33"/>
      <c r="HU397" s="33"/>
      <c r="HV397" s="33"/>
      <c r="HW397" s="33"/>
      <c r="HX397" s="33"/>
      <c r="HY397" s="33"/>
      <c r="HZ397" s="33"/>
      <c r="IA397" s="33"/>
      <c r="IB397" s="33"/>
      <c r="IC397" s="33"/>
      <c r="ID397" s="33"/>
      <c r="IE397" s="33"/>
      <c r="IF397" s="33"/>
      <c r="IG397" s="33"/>
      <c r="IH397" s="33"/>
      <c r="II397" s="33"/>
      <c r="IJ397" s="33"/>
      <c r="IK397" s="33"/>
      <c r="IL397" s="33"/>
      <c r="IM397" s="33"/>
      <c r="IN397" s="33"/>
      <c r="IO397" s="33"/>
      <c r="IP397" s="33"/>
      <c r="IQ397" s="33"/>
      <c r="IR397" s="33"/>
      <c r="IS397" s="33"/>
      <c r="IT397" s="33"/>
      <c r="IU397" s="33"/>
      <c r="IV397" s="33"/>
      <c r="IW397" s="33"/>
      <c r="IX397" s="33"/>
      <c r="IY397" s="33"/>
      <c r="IZ397" s="33"/>
      <c r="JA397" s="33"/>
      <c r="JB397" s="33"/>
      <c r="JC397" s="33"/>
      <c r="JD397" s="33"/>
      <c r="JE397" s="33"/>
      <c r="JF397" s="33"/>
      <c r="JG397" s="33"/>
      <c r="JH397" s="33"/>
      <c r="JI397" s="33"/>
      <c r="JJ397" s="33"/>
      <c r="JK397" s="33"/>
      <c r="JL397" s="33"/>
      <c r="JM397" s="33"/>
      <c r="JN397" s="33"/>
      <c r="JO397" s="33"/>
      <c r="JP397" s="33"/>
      <c r="JQ397" s="33"/>
      <c r="JR397" s="33"/>
      <c r="KZ397" s="33"/>
      <c r="LA397" s="33"/>
      <c r="LB397" s="33"/>
      <c r="LC397" s="33"/>
      <c r="LD397" s="33"/>
      <c r="LE397" s="33"/>
      <c r="LF397" s="33"/>
      <c r="LG397" s="33"/>
      <c r="LH397" s="33"/>
      <c r="LI397" s="33"/>
      <c r="LJ397" s="33"/>
      <c r="LK397" s="33"/>
      <c r="LL397" s="33"/>
      <c r="LM397" s="33"/>
      <c r="LN397" s="33"/>
      <c r="LO397" s="33"/>
      <c r="LP397" s="44"/>
      <c r="LQ397" s="44"/>
      <c r="LR397" s="44"/>
      <c r="LS397" s="44"/>
      <c r="LT397" s="44"/>
      <c r="LU397" s="44"/>
      <c r="LV397" s="44"/>
    </row>
    <row r="398" spans="1:334" x14ac:dyDescent="0.2">
      <c r="A398" s="1" t="s">
        <v>9004</v>
      </c>
      <c r="B398" s="1" t="s">
        <v>9005</v>
      </c>
      <c r="D398" s="1" t="s">
        <v>8946</v>
      </c>
      <c r="E398" s="1" t="s">
        <v>7</v>
      </c>
      <c r="F398" s="1" t="s">
        <v>8187</v>
      </c>
      <c r="G398" s="1" t="s">
        <v>8947</v>
      </c>
      <c r="H398" s="1" t="s">
        <v>9006</v>
      </c>
      <c r="J398" s="1" t="s">
        <v>8953</v>
      </c>
      <c r="K398" s="1">
        <v>2014</v>
      </c>
      <c r="L398" s="1" t="s">
        <v>8950</v>
      </c>
      <c r="M398" s="1" t="s">
        <v>7659</v>
      </c>
      <c r="N398" s="17" t="s">
        <v>7945</v>
      </c>
      <c r="O398" s="33"/>
      <c r="P398" s="33"/>
      <c r="Q398" s="33"/>
      <c r="R398" s="33"/>
      <c r="S398" s="33">
        <v>5.6</v>
      </c>
      <c r="T398" s="33"/>
      <c r="U398" s="33"/>
      <c r="V398" s="33"/>
      <c r="W398" s="33"/>
      <c r="X398" s="33"/>
      <c r="Y398" s="33"/>
      <c r="Z398" s="33">
        <v>20.362080000000002</v>
      </c>
      <c r="AA398" s="33"/>
      <c r="AB398" s="33"/>
      <c r="AC398" s="33">
        <v>0.71743999999999997</v>
      </c>
      <c r="AD398" s="33"/>
      <c r="AE398" s="33"/>
      <c r="AF398" s="33"/>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33"/>
      <c r="BC398" s="33"/>
      <c r="BD398" s="33"/>
      <c r="BE398" s="33"/>
      <c r="BF398" s="33"/>
      <c r="BG398" s="33"/>
      <c r="BH398" s="33"/>
      <c r="BI398" s="33"/>
      <c r="BJ398" s="33"/>
      <c r="BK398" s="33"/>
      <c r="BL398" s="33"/>
      <c r="BM398" s="33"/>
      <c r="BN398" s="33"/>
      <c r="BO398" s="33"/>
      <c r="BP398" s="33"/>
      <c r="BQ398" s="33">
        <v>2.95472</v>
      </c>
      <c r="BR398" s="33"/>
      <c r="BS398" s="33"/>
      <c r="BT398" s="33"/>
      <c r="BU398" s="33"/>
      <c r="BV398" s="33"/>
      <c r="BW398" s="33"/>
      <c r="BX398" s="33"/>
      <c r="BY398" s="33"/>
      <c r="BZ398" s="33"/>
      <c r="CA398" s="33"/>
      <c r="CB398" s="33"/>
      <c r="CC398" s="33"/>
      <c r="CD398" s="33"/>
      <c r="CE398" s="33"/>
      <c r="CF398" s="33"/>
      <c r="CG398" s="33"/>
      <c r="CH398" s="33"/>
      <c r="CI398" s="33"/>
      <c r="CJ398" s="33"/>
      <c r="CK398" s="33"/>
      <c r="CL398" s="33"/>
      <c r="CM398" s="33"/>
      <c r="CN398" s="33"/>
      <c r="CO398" s="33"/>
      <c r="CP398" s="33">
        <v>207.68</v>
      </c>
      <c r="CQ398" s="33"/>
      <c r="CR398" s="33">
        <v>0.91190400000000016</v>
      </c>
      <c r="CS398" s="33">
        <v>10.821071999999999</v>
      </c>
      <c r="CT398" s="33"/>
      <c r="CU398" s="33"/>
      <c r="CV398" s="33">
        <v>179.35999999999999</v>
      </c>
      <c r="CW398" s="33">
        <v>1.9842880000000001</v>
      </c>
      <c r="CX398" s="33"/>
      <c r="CY398" s="33">
        <v>405.92</v>
      </c>
      <c r="CZ398" s="33"/>
      <c r="DA398" s="33">
        <v>4.0497600000000009</v>
      </c>
      <c r="DB398" s="33"/>
      <c r="DC398" s="33"/>
      <c r="DD398" s="33"/>
      <c r="DE398" s="33"/>
      <c r="DF398" s="33"/>
      <c r="DG398" s="33"/>
      <c r="DH398" s="33"/>
      <c r="DI398" s="33"/>
      <c r="DJ398" s="33"/>
      <c r="DK398" s="33"/>
      <c r="DL398" s="33"/>
      <c r="DM398" s="33"/>
      <c r="DN398" s="33"/>
      <c r="DO398" s="33"/>
      <c r="DP398" s="33"/>
      <c r="DQ398" s="33"/>
      <c r="DR398" s="33"/>
      <c r="DS398" s="33"/>
      <c r="DT398" s="33"/>
      <c r="DU398" s="33"/>
      <c r="DV398" s="33"/>
      <c r="DW398" s="33"/>
      <c r="DX398" s="33"/>
      <c r="DY398" s="33"/>
      <c r="DZ398" s="33"/>
      <c r="EA398" s="33"/>
      <c r="EB398" s="33"/>
      <c r="EC398" s="33"/>
      <c r="ED398" s="33"/>
      <c r="EE398" s="33"/>
      <c r="EF398" s="33"/>
      <c r="EG398" s="33"/>
      <c r="EH398" s="33"/>
      <c r="EI398" s="33"/>
      <c r="EJ398" s="33"/>
      <c r="EK398" s="33"/>
      <c r="EL398" s="33"/>
      <c r="EM398" s="33"/>
      <c r="EN398" s="33"/>
      <c r="EO398" s="33"/>
      <c r="EP398" s="33"/>
      <c r="EQ398" s="33"/>
      <c r="ER398" s="33"/>
      <c r="ES398" s="33"/>
      <c r="ET398" s="33"/>
      <c r="EU398" s="33"/>
      <c r="EV398" s="33"/>
      <c r="EW398" s="33"/>
      <c r="EX398" s="33"/>
      <c r="EY398" s="33"/>
      <c r="EZ398" s="33"/>
      <c r="FA398" s="33"/>
      <c r="FB398" s="33"/>
      <c r="FC398" s="33"/>
      <c r="FD398" s="33"/>
      <c r="FE398" s="33"/>
      <c r="FF398" s="33"/>
      <c r="FG398" s="33"/>
      <c r="FH398" s="33"/>
      <c r="FI398" s="33"/>
      <c r="FJ398" s="33"/>
      <c r="FK398" s="33"/>
      <c r="FL398" s="33"/>
      <c r="FM398" s="33"/>
      <c r="FN398" s="33"/>
      <c r="FO398" s="33"/>
      <c r="FP398" s="33"/>
      <c r="FQ398" s="33"/>
      <c r="FR398" s="33"/>
      <c r="FS398" s="33"/>
      <c r="FT398" s="33"/>
      <c r="FU398" s="33"/>
      <c r="FV398" s="33"/>
      <c r="FW398" s="33"/>
      <c r="FX398" s="33"/>
      <c r="FY398" s="33"/>
      <c r="FZ398" s="33"/>
      <c r="GA398" s="33"/>
      <c r="GB398" s="33"/>
      <c r="GC398" s="33"/>
      <c r="GD398" s="33"/>
      <c r="GE398" s="33"/>
      <c r="GF398" s="33"/>
      <c r="GG398" s="33"/>
      <c r="GH398" s="33"/>
      <c r="GI398" s="33"/>
      <c r="GJ398" s="33"/>
      <c r="GK398" s="33"/>
      <c r="GL398" s="33"/>
      <c r="GM398" s="33"/>
      <c r="GN398" s="33"/>
      <c r="GO398" s="33"/>
      <c r="GP398" s="33"/>
      <c r="GQ398" s="33"/>
      <c r="GR398" s="33"/>
      <c r="GS398" s="33"/>
      <c r="GT398" s="33"/>
      <c r="GU398" s="33"/>
      <c r="GV398" s="33"/>
      <c r="GW398" s="33"/>
      <c r="GX398" s="33"/>
      <c r="GY398" s="33"/>
      <c r="GZ398" s="33"/>
      <c r="HA398" s="33"/>
      <c r="HB398" s="33"/>
      <c r="HC398" s="33"/>
      <c r="HD398" s="33"/>
      <c r="HE398" s="33"/>
      <c r="HF398" s="33"/>
      <c r="HG398" s="33"/>
      <c r="HH398" s="33"/>
      <c r="HI398" s="33"/>
      <c r="HJ398" s="33"/>
      <c r="HK398" s="33"/>
      <c r="HL398" s="33"/>
      <c r="HM398" s="33"/>
      <c r="HN398" s="33"/>
      <c r="HO398" s="33"/>
      <c r="HP398" s="33"/>
      <c r="HQ398" s="33"/>
      <c r="HR398" s="33"/>
      <c r="HS398" s="33"/>
      <c r="HT398" s="33"/>
      <c r="HU398" s="33"/>
      <c r="HV398" s="33"/>
      <c r="HW398" s="33"/>
      <c r="HX398" s="33"/>
      <c r="HY398" s="33"/>
      <c r="HZ398" s="33"/>
      <c r="IA398" s="33"/>
      <c r="IB398" s="33"/>
      <c r="IC398" s="33"/>
      <c r="ID398" s="33"/>
      <c r="IE398" s="33"/>
      <c r="IF398" s="33"/>
      <c r="IG398" s="33"/>
      <c r="IH398" s="33"/>
      <c r="II398" s="33"/>
      <c r="IJ398" s="33"/>
      <c r="IK398" s="33"/>
      <c r="IL398" s="33"/>
      <c r="IM398" s="33"/>
      <c r="IN398" s="33"/>
      <c r="IO398" s="33"/>
      <c r="IP398" s="33"/>
      <c r="IQ398" s="33"/>
      <c r="IR398" s="33"/>
      <c r="IS398" s="33"/>
      <c r="IT398" s="33"/>
      <c r="IU398" s="33"/>
      <c r="IV398" s="33"/>
      <c r="IW398" s="33"/>
      <c r="IX398" s="33"/>
      <c r="IY398" s="33"/>
      <c r="IZ398" s="33"/>
      <c r="JA398" s="33"/>
      <c r="JB398" s="33"/>
      <c r="JC398" s="33"/>
      <c r="JD398" s="33"/>
      <c r="JE398" s="33"/>
      <c r="JF398" s="33"/>
      <c r="JG398" s="33"/>
      <c r="JH398" s="33"/>
      <c r="JI398" s="33"/>
      <c r="JJ398" s="33"/>
      <c r="JK398" s="33"/>
      <c r="JL398" s="33"/>
      <c r="JM398" s="33"/>
      <c r="JN398" s="33"/>
      <c r="JO398" s="33"/>
      <c r="JP398" s="33"/>
      <c r="JQ398" s="33"/>
      <c r="JR398" s="33"/>
      <c r="KZ398" s="33"/>
      <c r="LA398" s="33"/>
      <c r="LB398" s="33"/>
      <c r="LC398" s="33"/>
      <c r="LD398" s="33"/>
      <c r="LE398" s="33"/>
      <c r="LF398" s="33"/>
      <c r="LG398" s="33"/>
      <c r="LH398" s="33"/>
      <c r="LI398" s="33"/>
      <c r="LJ398" s="33"/>
      <c r="LK398" s="33"/>
      <c r="LL398" s="33"/>
      <c r="LM398" s="33"/>
      <c r="LN398" s="33"/>
      <c r="LO398" s="33"/>
      <c r="LP398" s="44"/>
      <c r="LQ398" s="44"/>
      <c r="LR398" s="44"/>
      <c r="LS398" s="44"/>
      <c r="LT398" s="44"/>
      <c r="LU398" s="44"/>
      <c r="LV398" s="44"/>
    </row>
    <row r="399" spans="1:334" x14ac:dyDescent="0.2">
      <c r="A399" s="1" t="s">
        <v>9007</v>
      </c>
      <c r="B399" s="1" t="s">
        <v>9005</v>
      </c>
      <c r="D399" s="1" t="s">
        <v>8946</v>
      </c>
      <c r="E399" s="1" t="s">
        <v>7</v>
      </c>
      <c r="F399" s="1" t="s">
        <v>8187</v>
      </c>
      <c r="G399" s="1" t="s">
        <v>8947</v>
      </c>
      <c r="H399" s="1" t="s">
        <v>9008</v>
      </c>
      <c r="J399" s="1" t="s">
        <v>8953</v>
      </c>
      <c r="K399" s="1">
        <v>2014</v>
      </c>
      <c r="L399" s="1" t="s">
        <v>8950</v>
      </c>
      <c r="M399" s="1" t="s">
        <v>7659</v>
      </c>
      <c r="N399" s="17" t="s">
        <v>7945</v>
      </c>
      <c r="O399" s="33"/>
      <c r="P399" s="33"/>
      <c r="Q399" s="33"/>
      <c r="R399" s="33"/>
      <c r="S399" s="33">
        <v>6.8</v>
      </c>
      <c r="T399" s="33"/>
      <c r="U399" s="33"/>
      <c r="V399" s="33"/>
      <c r="W399" s="33"/>
      <c r="X399" s="33"/>
      <c r="Y399" s="33"/>
      <c r="Z399" s="33">
        <v>20.81156</v>
      </c>
      <c r="AA399" s="33"/>
      <c r="AB399" s="33"/>
      <c r="AC399" s="33">
        <v>1.1277200000000001</v>
      </c>
      <c r="AD399" s="33"/>
      <c r="AE399" s="33"/>
      <c r="AF399" s="33"/>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33"/>
      <c r="BC399" s="33"/>
      <c r="BD399" s="33"/>
      <c r="BE399" s="33"/>
      <c r="BF399" s="33"/>
      <c r="BG399" s="33"/>
      <c r="BH399" s="33"/>
      <c r="BI399" s="33"/>
      <c r="BJ399" s="33"/>
      <c r="BK399" s="33"/>
      <c r="BL399" s="33"/>
      <c r="BM399" s="33"/>
      <c r="BN399" s="33"/>
      <c r="BO399" s="33"/>
      <c r="BP399" s="33"/>
      <c r="BQ399" s="33">
        <v>2.8146399999999998</v>
      </c>
      <c r="BR399" s="33"/>
      <c r="BS399" s="33"/>
      <c r="BT399" s="33"/>
      <c r="BU399" s="33"/>
      <c r="BV399" s="33"/>
      <c r="BW399" s="33"/>
      <c r="BX399" s="33"/>
      <c r="BY399" s="33"/>
      <c r="BZ399" s="33"/>
      <c r="CA399" s="33"/>
      <c r="CB399" s="33"/>
      <c r="CC399" s="33"/>
      <c r="CD399" s="33"/>
      <c r="CE399" s="33"/>
      <c r="CF399" s="33"/>
      <c r="CG399" s="33"/>
      <c r="CH399" s="33"/>
      <c r="CI399" s="33"/>
      <c r="CJ399" s="33"/>
      <c r="CK399" s="33"/>
      <c r="CL399" s="33"/>
      <c r="CM399" s="33"/>
      <c r="CN399" s="33"/>
      <c r="CO399" s="33"/>
      <c r="CP399" s="33">
        <v>288.92</v>
      </c>
      <c r="CQ399" s="33"/>
      <c r="CR399" s="33">
        <v>0.89006000000000007</v>
      </c>
      <c r="CS399" s="33">
        <v>6.3357360000000007</v>
      </c>
      <c r="CT399" s="33"/>
      <c r="CU399" s="33"/>
      <c r="CV399" s="33">
        <v>167.76</v>
      </c>
      <c r="CW399" s="33">
        <v>1.4912000000000001</v>
      </c>
      <c r="CX399" s="33"/>
      <c r="CY399" s="33">
        <v>419.40000000000003</v>
      </c>
      <c r="CZ399" s="33"/>
      <c r="DA399" s="33">
        <v>4.0812280000000003</v>
      </c>
      <c r="DB399" s="33"/>
      <c r="DC399" s="33"/>
      <c r="DD399" s="33"/>
      <c r="DE399" s="33"/>
      <c r="DF399" s="33"/>
      <c r="DG399" s="33"/>
      <c r="DH399" s="33"/>
      <c r="DI399" s="33"/>
      <c r="DJ399" s="33"/>
      <c r="DK399" s="33"/>
      <c r="DL399" s="33"/>
      <c r="DM399" s="33"/>
      <c r="DN399" s="33"/>
      <c r="DO399" s="33"/>
      <c r="DP399" s="33"/>
      <c r="DQ399" s="33"/>
      <c r="DR399" s="33"/>
      <c r="DS399" s="33"/>
      <c r="DT399" s="33"/>
      <c r="DU399" s="33"/>
      <c r="DV399" s="33"/>
      <c r="DW399" s="33"/>
      <c r="DX399" s="33"/>
      <c r="DY399" s="33"/>
      <c r="DZ399" s="33"/>
      <c r="EA399" s="33"/>
      <c r="EB399" s="33"/>
      <c r="EC399" s="33"/>
      <c r="ED399" s="33"/>
      <c r="EE399" s="33"/>
      <c r="EF399" s="33"/>
      <c r="EG399" s="33"/>
      <c r="EH399" s="33"/>
      <c r="EI399" s="33"/>
      <c r="EJ399" s="33"/>
      <c r="EK399" s="33"/>
      <c r="EL399" s="33"/>
      <c r="EM399" s="33"/>
      <c r="EN399" s="33"/>
      <c r="EO399" s="33"/>
      <c r="EP399" s="33"/>
      <c r="EQ399" s="33"/>
      <c r="ER399" s="33"/>
      <c r="ES399" s="33"/>
      <c r="ET399" s="33"/>
      <c r="EU399" s="33"/>
      <c r="EV399" s="33"/>
      <c r="EW399" s="33"/>
      <c r="EX399" s="33"/>
      <c r="EY399" s="33"/>
      <c r="EZ399" s="33"/>
      <c r="FA399" s="33"/>
      <c r="FB399" s="33"/>
      <c r="FC399" s="33"/>
      <c r="FD399" s="33"/>
      <c r="FE399" s="33"/>
      <c r="FF399" s="33"/>
      <c r="FG399" s="33"/>
      <c r="FH399" s="33"/>
      <c r="FI399" s="33"/>
      <c r="FJ399" s="33"/>
      <c r="FK399" s="33"/>
      <c r="FL399" s="33"/>
      <c r="FM399" s="33"/>
      <c r="FN399" s="33"/>
      <c r="FO399" s="33"/>
      <c r="FP399" s="33"/>
      <c r="FQ399" s="33"/>
      <c r="FR399" s="33"/>
      <c r="FS399" s="33"/>
      <c r="FT399" s="33"/>
      <c r="FU399" s="33"/>
      <c r="FV399" s="33"/>
      <c r="FW399" s="33"/>
      <c r="FX399" s="33"/>
      <c r="FY399" s="33"/>
      <c r="FZ399" s="33"/>
      <c r="GA399" s="33"/>
      <c r="GB399" s="33"/>
      <c r="GC399" s="33"/>
      <c r="GD399" s="33"/>
      <c r="GE399" s="33"/>
      <c r="GF399" s="33"/>
      <c r="GG399" s="33"/>
      <c r="GH399" s="33"/>
      <c r="GI399" s="33"/>
      <c r="GJ399" s="33"/>
      <c r="GK399" s="33"/>
      <c r="GL399" s="33"/>
      <c r="GM399" s="33"/>
      <c r="GN399" s="33"/>
      <c r="GO399" s="33"/>
      <c r="GP399" s="33"/>
      <c r="GQ399" s="33"/>
      <c r="GR399" s="33"/>
      <c r="GS399" s="33"/>
      <c r="GT399" s="33"/>
      <c r="GU399" s="33"/>
      <c r="GV399" s="33"/>
      <c r="GW399" s="33"/>
      <c r="GX399" s="33"/>
      <c r="GY399" s="33"/>
      <c r="GZ399" s="33"/>
      <c r="HA399" s="33"/>
      <c r="HB399" s="33"/>
      <c r="HC399" s="33"/>
      <c r="HD399" s="33"/>
      <c r="HE399" s="33"/>
      <c r="HF399" s="33"/>
      <c r="HG399" s="33"/>
      <c r="HH399" s="33"/>
      <c r="HI399" s="33"/>
      <c r="HJ399" s="33"/>
      <c r="HK399" s="33"/>
      <c r="HL399" s="33"/>
      <c r="HM399" s="33"/>
      <c r="HN399" s="33"/>
      <c r="HO399" s="33"/>
      <c r="HP399" s="33"/>
      <c r="HQ399" s="33"/>
      <c r="HR399" s="33"/>
      <c r="HS399" s="33"/>
      <c r="HT399" s="33"/>
      <c r="HU399" s="33"/>
      <c r="HV399" s="33"/>
      <c r="HW399" s="33"/>
      <c r="HX399" s="33"/>
      <c r="HY399" s="33"/>
      <c r="HZ399" s="33"/>
      <c r="IA399" s="33"/>
      <c r="IB399" s="33"/>
      <c r="IC399" s="33"/>
      <c r="ID399" s="33"/>
      <c r="IE399" s="33"/>
      <c r="IF399" s="33"/>
      <c r="IG399" s="33"/>
      <c r="IH399" s="33"/>
      <c r="II399" s="33"/>
      <c r="IJ399" s="33"/>
      <c r="IK399" s="33"/>
      <c r="IL399" s="33"/>
      <c r="IM399" s="33"/>
      <c r="IN399" s="33"/>
      <c r="IO399" s="33"/>
      <c r="IP399" s="33"/>
      <c r="IQ399" s="33"/>
      <c r="IR399" s="33"/>
      <c r="IS399" s="33"/>
      <c r="IT399" s="33"/>
      <c r="IU399" s="33"/>
      <c r="IV399" s="33"/>
      <c r="IW399" s="33"/>
      <c r="IX399" s="33"/>
      <c r="IY399" s="33"/>
      <c r="IZ399" s="33"/>
      <c r="JA399" s="33"/>
      <c r="JB399" s="33"/>
      <c r="JC399" s="33"/>
      <c r="JD399" s="33"/>
      <c r="JE399" s="33"/>
      <c r="JF399" s="33"/>
      <c r="JG399" s="33"/>
      <c r="JH399" s="33"/>
      <c r="JI399" s="33"/>
      <c r="JJ399" s="33"/>
      <c r="JK399" s="33"/>
      <c r="JL399" s="33"/>
      <c r="JM399" s="33"/>
      <c r="JN399" s="33"/>
      <c r="JO399" s="33"/>
      <c r="JP399" s="33"/>
      <c r="JQ399" s="33"/>
      <c r="JR399" s="33"/>
      <c r="KZ399" s="33"/>
      <c r="LA399" s="33"/>
      <c r="LB399" s="33"/>
      <c r="LC399" s="33"/>
      <c r="LD399" s="33"/>
      <c r="LE399" s="33"/>
      <c r="LF399" s="33"/>
      <c r="LG399" s="33"/>
      <c r="LH399" s="33"/>
      <c r="LI399" s="33"/>
      <c r="LJ399" s="33"/>
      <c r="LK399" s="33"/>
      <c r="LL399" s="33"/>
      <c r="LM399" s="33"/>
      <c r="LN399" s="33"/>
      <c r="LO399" s="33"/>
      <c r="LP399" s="44"/>
      <c r="LQ399" s="44"/>
      <c r="LR399" s="44"/>
      <c r="LS399" s="44"/>
      <c r="LT399" s="44"/>
      <c r="LU399" s="44"/>
      <c r="LV399" s="44"/>
    </row>
    <row r="400" spans="1:334" x14ac:dyDescent="0.2">
      <c r="A400" s="1" t="s">
        <v>9009</v>
      </c>
      <c r="B400" s="1" t="s">
        <v>9010</v>
      </c>
      <c r="D400" s="1" t="s">
        <v>8946</v>
      </c>
      <c r="E400" s="1" t="s">
        <v>7</v>
      </c>
      <c r="F400" s="1" t="s">
        <v>8187</v>
      </c>
      <c r="G400" s="1" t="s">
        <v>8947</v>
      </c>
      <c r="H400" s="1" t="s">
        <v>9011</v>
      </c>
      <c r="J400" s="1" t="s">
        <v>8953</v>
      </c>
      <c r="K400" s="1">
        <v>2014</v>
      </c>
      <c r="L400" s="1" t="s">
        <v>8950</v>
      </c>
      <c r="M400" s="1" t="s">
        <v>7659</v>
      </c>
      <c r="N400" s="17" t="s">
        <v>7945</v>
      </c>
      <c r="O400" s="33"/>
      <c r="P400" s="33"/>
      <c r="Q400" s="33"/>
      <c r="R400" s="33"/>
      <c r="S400" s="33">
        <v>8.56</v>
      </c>
      <c r="T400" s="33"/>
      <c r="U400" s="33"/>
      <c r="V400" s="33"/>
      <c r="W400" s="33"/>
      <c r="X400" s="33"/>
      <c r="Y400" s="33"/>
      <c r="Z400" s="33">
        <v>19.540728000000001</v>
      </c>
      <c r="AA400" s="33"/>
      <c r="AB400" s="33"/>
      <c r="AC400" s="33">
        <v>1.2710159999999999</v>
      </c>
      <c r="AD400" s="33"/>
      <c r="AE400" s="33"/>
      <c r="AF400" s="33"/>
      <c r="AG400" s="33"/>
      <c r="AH400" s="33"/>
      <c r="AI400" s="33"/>
      <c r="AJ400" s="33"/>
      <c r="AK400" s="33"/>
      <c r="AL400" s="33"/>
      <c r="AM400" s="33"/>
      <c r="AN400" s="33"/>
      <c r="AO400" s="33"/>
      <c r="AP400" s="33"/>
      <c r="AQ400" s="33"/>
      <c r="AR400" s="33"/>
      <c r="AS400" s="33"/>
      <c r="AT400" s="33"/>
      <c r="AU400" s="33"/>
      <c r="AV400" s="33"/>
      <c r="AW400" s="33"/>
      <c r="AX400" s="33"/>
      <c r="AY400" s="33"/>
      <c r="AZ400" s="33"/>
      <c r="BA400" s="33"/>
      <c r="BB400" s="33"/>
      <c r="BC400" s="33"/>
      <c r="BD400" s="33"/>
      <c r="BE400" s="33"/>
      <c r="BF400" s="33"/>
      <c r="BG400" s="33"/>
      <c r="BH400" s="33"/>
      <c r="BI400" s="33"/>
      <c r="BJ400" s="33"/>
      <c r="BK400" s="33"/>
      <c r="BL400" s="33"/>
      <c r="BM400" s="33"/>
      <c r="BN400" s="33"/>
      <c r="BO400" s="33"/>
      <c r="BP400" s="33"/>
      <c r="BQ400" s="33">
        <v>2.9535119999999999</v>
      </c>
      <c r="BR400" s="33"/>
      <c r="BS400" s="33"/>
      <c r="BT400" s="33"/>
      <c r="BU400" s="33"/>
      <c r="BV400" s="33"/>
      <c r="BW400" s="33"/>
      <c r="BX400" s="33"/>
      <c r="BY400" s="33"/>
      <c r="BZ400" s="33"/>
      <c r="CA400" s="33"/>
      <c r="CB400" s="33"/>
      <c r="CC400" s="33"/>
      <c r="CD400" s="33"/>
      <c r="CE400" s="33"/>
      <c r="CF400" s="33"/>
      <c r="CG400" s="33"/>
      <c r="CH400" s="33"/>
      <c r="CI400" s="33"/>
      <c r="CJ400" s="33"/>
      <c r="CK400" s="33"/>
      <c r="CL400" s="33"/>
      <c r="CM400" s="33"/>
      <c r="CN400" s="33"/>
      <c r="CO400" s="33"/>
      <c r="CP400" s="33">
        <v>256.03200000000004</v>
      </c>
      <c r="CQ400" s="33"/>
      <c r="CR400" s="33">
        <v>0.91805759999999981</v>
      </c>
      <c r="CS400" s="33">
        <v>6.2535815999999995</v>
      </c>
      <c r="CT400" s="33"/>
      <c r="CU400" s="33"/>
      <c r="CV400" s="33">
        <v>182.88000000000002</v>
      </c>
      <c r="CW400" s="33">
        <v>1.7346168</v>
      </c>
      <c r="CX400" s="33"/>
      <c r="CY400" s="33">
        <v>521.20799999999997</v>
      </c>
      <c r="CZ400" s="33"/>
      <c r="DA400" s="33">
        <v>3.5926775999999996</v>
      </c>
      <c r="DB400" s="33"/>
      <c r="DC400" s="33"/>
      <c r="DD400" s="33"/>
      <c r="DE400" s="33"/>
      <c r="DF400" s="33"/>
      <c r="DG400" s="33"/>
      <c r="DH400" s="33"/>
      <c r="DI400" s="33"/>
      <c r="DJ400" s="33"/>
      <c r="DK400" s="33"/>
      <c r="DL400" s="33"/>
      <c r="DM400" s="33"/>
      <c r="DN400" s="33"/>
      <c r="DO400" s="33"/>
      <c r="DP400" s="33"/>
      <c r="DQ400" s="33"/>
      <c r="DR400" s="33"/>
      <c r="DS400" s="33"/>
      <c r="DT400" s="33"/>
      <c r="DU400" s="33"/>
      <c r="DV400" s="33"/>
      <c r="DW400" s="33"/>
      <c r="DX400" s="33"/>
      <c r="DY400" s="33"/>
      <c r="DZ400" s="33"/>
      <c r="EA400" s="33"/>
      <c r="EB400" s="33"/>
      <c r="EC400" s="33"/>
      <c r="ED400" s="33"/>
      <c r="EE400" s="33"/>
      <c r="EF400" s="33"/>
      <c r="EG400" s="33"/>
      <c r="EH400" s="33"/>
      <c r="EI400" s="33"/>
      <c r="EJ400" s="33"/>
      <c r="EK400" s="33"/>
      <c r="EL400" s="33"/>
      <c r="EM400" s="33"/>
      <c r="EN400" s="33"/>
      <c r="EO400" s="33"/>
      <c r="EP400" s="33"/>
      <c r="EQ400" s="33"/>
      <c r="ER400" s="33"/>
      <c r="ES400" s="33"/>
      <c r="ET400" s="33"/>
      <c r="EU400" s="33"/>
      <c r="EV400" s="33"/>
      <c r="EW400" s="33"/>
      <c r="EX400" s="33"/>
      <c r="EY400" s="33"/>
      <c r="EZ400" s="33"/>
      <c r="FA400" s="33"/>
      <c r="FB400" s="33"/>
      <c r="FC400" s="33"/>
      <c r="FD400" s="33"/>
      <c r="FE400" s="33"/>
      <c r="FF400" s="33"/>
      <c r="FG400" s="33"/>
      <c r="FH400" s="33"/>
      <c r="FI400" s="33"/>
      <c r="FJ400" s="33"/>
      <c r="FK400" s="33"/>
      <c r="FL400" s="33"/>
      <c r="FM400" s="33"/>
      <c r="FN400" s="33"/>
      <c r="FO400" s="33"/>
      <c r="FP400" s="33"/>
      <c r="FQ400" s="33"/>
      <c r="FR400" s="33"/>
      <c r="FS400" s="33"/>
      <c r="FT400" s="33"/>
      <c r="FU400" s="33"/>
      <c r="FV400" s="33"/>
      <c r="FW400" s="33"/>
      <c r="FX400" s="33"/>
      <c r="FY400" s="33"/>
      <c r="FZ400" s="33"/>
      <c r="GA400" s="33"/>
      <c r="GB400" s="33"/>
      <c r="GC400" s="33"/>
      <c r="GD400" s="33"/>
      <c r="GE400" s="33"/>
      <c r="GF400" s="33"/>
      <c r="GG400" s="33"/>
      <c r="GH400" s="33"/>
      <c r="GI400" s="33"/>
      <c r="GJ400" s="33"/>
      <c r="GK400" s="33"/>
      <c r="GL400" s="33"/>
      <c r="GM400" s="33"/>
      <c r="GN400" s="33"/>
      <c r="GO400" s="33"/>
      <c r="GP400" s="33"/>
      <c r="GQ400" s="33"/>
      <c r="GR400" s="33"/>
      <c r="GS400" s="33"/>
      <c r="GT400" s="33"/>
      <c r="GU400" s="33"/>
      <c r="GV400" s="33"/>
      <c r="GW400" s="33"/>
      <c r="GX400" s="33"/>
      <c r="GY400" s="33"/>
      <c r="GZ400" s="33"/>
      <c r="HA400" s="33"/>
      <c r="HB400" s="33"/>
      <c r="HC400" s="33"/>
      <c r="HD400" s="33"/>
      <c r="HE400" s="33"/>
      <c r="HF400" s="33"/>
      <c r="HG400" s="33"/>
      <c r="HH400" s="33"/>
      <c r="HI400" s="33"/>
      <c r="HJ400" s="33"/>
      <c r="HK400" s="33"/>
      <c r="HL400" s="33"/>
      <c r="HM400" s="33"/>
      <c r="HN400" s="33"/>
      <c r="HO400" s="33"/>
      <c r="HP400" s="33"/>
      <c r="HQ400" s="33"/>
      <c r="HR400" s="33"/>
      <c r="HS400" s="33"/>
      <c r="HT400" s="33"/>
      <c r="HU400" s="33"/>
      <c r="HV400" s="33"/>
      <c r="HW400" s="33"/>
      <c r="HX400" s="33"/>
      <c r="HY400" s="33"/>
      <c r="HZ400" s="33"/>
      <c r="IA400" s="33"/>
      <c r="IB400" s="33"/>
      <c r="IC400" s="33"/>
      <c r="ID400" s="33"/>
      <c r="IE400" s="33"/>
      <c r="IF400" s="33"/>
      <c r="IG400" s="33"/>
      <c r="IH400" s="33"/>
      <c r="II400" s="33"/>
      <c r="IJ400" s="33"/>
      <c r="IK400" s="33"/>
      <c r="IL400" s="33"/>
      <c r="IM400" s="33"/>
      <c r="IN400" s="33"/>
      <c r="IO400" s="33"/>
      <c r="IP400" s="33"/>
      <c r="IQ400" s="33"/>
      <c r="IR400" s="33"/>
      <c r="IS400" s="33"/>
      <c r="IT400" s="33"/>
      <c r="IU400" s="33"/>
      <c r="IV400" s="33"/>
      <c r="IW400" s="33"/>
      <c r="IX400" s="33"/>
      <c r="IY400" s="33"/>
      <c r="IZ400" s="33"/>
      <c r="JA400" s="33"/>
      <c r="JB400" s="33"/>
      <c r="JC400" s="33"/>
      <c r="JD400" s="33"/>
      <c r="JE400" s="33"/>
      <c r="JF400" s="33"/>
      <c r="JG400" s="33"/>
      <c r="JH400" s="33"/>
      <c r="JI400" s="33"/>
      <c r="JJ400" s="33"/>
      <c r="JK400" s="33"/>
      <c r="JL400" s="33"/>
      <c r="JM400" s="33"/>
      <c r="JN400" s="33"/>
      <c r="JO400" s="33"/>
      <c r="JP400" s="33"/>
      <c r="JQ400" s="33"/>
      <c r="JR400" s="33"/>
      <c r="KZ400" s="33"/>
      <c r="LA400" s="33"/>
      <c r="LB400" s="33"/>
      <c r="LC400" s="33"/>
      <c r="LD400" s="33"/>
      <c r="LE400" s="33"/>
      <c r="LF400" s="33"/>
      <c r="LG400" s="33"/>
      <c r="LH400" s="33"/>
      <c r="LI400" s="33"/>
      <c r="LJ400" s="33"/>
      <c r="LK400" s="33"/>
      <c r="LL400" s="33"/>
      <c r="LM400" s="33"/>
      <c r="LN400" s="33"/>
      <c r="LO400" s="33"/>
      <c r="LP400" s="44"/>
      <c r="LQ400" s="44"/>
      <c r="LR400" s="44"/>
      <c r="LS400" s="44"/>
      <c r="LT400" s="44"/>
      <c r="LU400" s="44"/>
      <c r="LV400" s="44"/>
    </row>
    <row r="401" spans="1:334" x14ac:dyDescent="0.2">
      <c r="A401" s="1" t="s">
        <v>9012</v>
      </c>
      <c r="B401" s="1" t="s">
        <v>9013</v>
      </c>
      <c r="D401" s="1" t="s">
        <v>8946</v>
      </c>
      <c r="E401" s="1" t="s">
        <v>7</v>
      </c>
      <c r="F401" s="1" t="s">
        <v>8187</v>
      </c>
      <c r="G401" s="1" t="s">
        <v>8947</v>
      </c>
      <c r="H401" s="1" t="s">
        <v>9014</v>
      </c>
      <c r="J401" s="1" t="s">
        <v>8953</v>
      </c>
      <c r="K401" s="1">
        <v>2014</v>
      </c>
      <c r="L401" s="1" t="s">
        <v>8950</v>
      </c>
      <c r="M401" s="1" t="s">
        <v>7659</v>
      </c>
      <c r="N401" s="17" t="s">
        <v>7945</v>
      </c>
      <c r="O401" s="33"/>
      <c r="P401" s="33"/>
      <c r="Q401" s="33"/>
      <c r="R401" s="33"/>
      <c r="S401" s="33">
        <v>9.8000000000000007</v>
      </c>
      <c r="T401" s="33"/>
      <c r="U401" s="33"/>
      <c r="V401" s="33"/>
      <c r="W401" s="33"/>
      <c r="X401" s="33"/>
      <c r="Y401" s="33"/>
      <c r="Z401" s="33">
        <v>19.393000000000001</v>
      </c>
      <c r="AA401" s="33"/>
      <c r="AB401" s="33"/>
      <c r="AC401" s="33">
        <v>0.91102000000000005</v>
      </c>
      <c r="AD401" s="33"/>
      <c r="AE401" s="33"/>
      <c r="AF401" s="33"/>
      <c r="AG401" s="33"/>
      <c r="AH401" s="33"/>
      <c r="AI401" s="33"/>
      <c r="AJ401" s="33"/>
      <c r="AK401" s="33"/>
      <c r="AL401" s="33"/>
      <c r="AM401" s="33"/>
      <c r="AN401" s="33"/>
      <c r="AO401" s="33"/>
      <c r="AP401" s="33"/>
      <c r="AQ401" s="33"/>
      <c r="AR401" s="33"/>
      <c r="AS401" s="33"/>
      <c r="AT401" s="33"/>
      <c r="AU401" s="33"/>
      <c r="AV401" s="33"/>
      <c r="AW401" s="33"/>
      <c r="AX401" s="33"/>
      <c r="AY401" s="33"/>
      <c r="AZ401" s="33"/>
      <c r="BA401" s="33"/>
      <c r="BB401" s="33"/>
      <c r="BC401" s="33"/>
      <c r="BD401" s="33"/>
      <c r="BE401" s="33"/>
      <c r="BF401" s="33"/>
      <c r="BG401" s="33"/>
      <c r="BH401" s="33"/>
      <c r="BI401" s="33"/>
      <c r="BJ401" s="33"/>
      <c r="BK401" s="33"/>
      <c r="BL401" s="33"/>
      <c r="BM401" s="33"/>
      <c r="BN401" s="33"/>
      <c r="BO401" s="33"/>
      <c r="BP401" s="33"/>
      <c r="BQ401" s="33">
        <v>2.6699200000000003</v>
      </c>
      <c r="BR401" s="33"/>
      <c r="BS401" s="33"/>
      <c r="BT401" s="33"/>
      <c r="BU401" s="33"/>
      <c r="BV401" s="33"/>
      <c r="BW401" s="33"/>
      <c r="BX401" s="33"/>
      <c r="BY401" s="33"/>
      <c r="BZ401" s="33"/>
      <c r="CA401" s="33"/>
      <c r="CB401" s="33"/>
      <c r="CC401" s="33"/>
      <c r="CD401" s="33"/>
      <c r="CE401" s="33"/>
      <c r="CF401" s="33"/>
      <c r="CG401" s="33"/>
      <c r="CH401" s="33"/>
      <c r="CI401" s="33"/>
      <c r="CJ401" s="33"/>
      <c r="CK401" s="33"/>
      <c r="CL401" s="33"/>
      <c r="CM401" s="33"/>
      <c r="CN401" s="33"/>
      <c r="CO401" s="33"/>
      <c r="CP401" s="33">
        <v>189.42000000000002</v>
      </c>
      <c r="CQ401" s="33"/>
      <c r="CR401" s="33">
        <v>1.0120439999999999</v>
      </c>
      <c r="CS401" s="33">
        <v>4.813072</v>
      </c>
      <c r="CT401" s="33"/>
      <c r="CU401" s="33"/>
      <c r="CV401" s="33">
        <v>180.40000000000003</v>
      </c>
      <c r="CW401" s="33">
        <v>0.89929400000000004</v>
      </c>
      <c r="CX401" s="33"/>
      <c r="CY401" s="33">
        <v>441.97999999999996</v>
      </c>
      <c r="CZ401" s="33"/>
      <c r="DA401" s="33">
        <v>4.1473959999999996</v>
      </c>
      <c r="DB401" s="33"/>
      <c r="DC401" s="33"/>
      <c r="DD401" s="33"/>
      <c r="DE401" s="33"/>
      <c r="DF401" s="33"/>
      <c r="DG401" s="33"/>
      <c r="DH401" s="33"/>
      <c r="DI401" s="33"/>
      <c r="DJ401" s="33"/>
      <c r="DK401" s="33"/>
      <c r="DL401" s="33"/>
      <c r="DM401" s="33"/>
      <c r="DN401" s="33"/>
      <c r="DO401" s="33"/>
      <c r="DP401" s="33"/>
      <c r="DQ401" s="33"/>
      <c r="DR401" s="33"/>
      <c r="DS401" s="33"/>
      <c r="DT401" s="33"/>
      <c r="DU401" s="33"/>
      <c r="DV401" s="33"/>
      <c r="DW401" s="33"/>
      <c r="DX401" s="33"/>
      <c r="DY401" s="33"/>
      <c r="DZ401" s="33"/>
      <c r="EA401" s="33"/>
      <c r="EB401" s="33"/>
      <c r="EC401" s="33"/>
      <c r="ED401" s="33"/>
      <c r="EE401" s="33"/>
      <c r="EF401" s="33"/>
      <c r="EG401" s="33"/>
      <c r="EH401" s="33"/>
      <c r="EI401" s="33"/>
      <c r="EJ401" s="33"/>
      <c r="EK401" s="33"/>
      <c r="EL401" s="33"/>
      <c r="EM401" s="33"/>
      <c r="EN401" s="33"/>
      <c r="EO401" s="33"/>
      <c r="EP401" s="33"/>
      <c r="EQ401" s="33"/>
      <c r="ER401" s="33"/>
      <c r="ES401" s="33"/>
      <c r="ET401" s="33"/>
      <c r="EU401" s="33"/>
      <c r="EV401" s="33"/>
      <c r="EW401" s="33"/>
      <c r="EX401" s="33"/>
      <c r="EY401" s="33"/>
      <c r="EZ401" s="33"/>
      <c r="FA401" s="33"/>
      <c r="FB401" s="33"/>
      <c r="FC401" s="33"/>
      <c r="FD401" s="33"/>
      <c r="FE401" s="33"/>
      <c r="FF401" s="33"/>
      <c r="FG401" s="33"/>
      <c r="FH401" s="33"/>
      <c r="FI401" s="33"/>
      <c r="FJ401" s="33"/>
      <c r="FK401" s="33"/>
      <c r="FL401" s="33"/>
      <c r="FM401" s="33"/>
      <c r="FN401" s="33"/>
      <c r="FO401" s="33"/>
      <c r="FP401" s="33"/>
      <c r="FQ401" s="33"/>
      <c r="FR401" s="33"/>
      <c r="FS401" s="33"/>
      <c r="FT401" s="33"/>
      <c r="FU401" s="33"/>
      <c r="FV401" s="33"/>
      <c r="FW401" s="33"/>
      <c r="FX401" s="33"/>
      <c r="FY401" s="33"/>
      <c r="FZ401" s="33"/>
      <c r="GA401" s="33"/>
      <c r="GB401" s="33"/>
      <c r="GC401" s="33"/>
      <c r="GD401" s="33"/>
      <c r="GE401" s="33"/>
      <c r="GF401" s="33"/>
      <c r="GG401" s="33"/>
      <c r="GH401" s="33"/>
      <c r="GI401" s="33"/>
      <c r="GJ401" s="33"/>
      <c r="GK401" s="33"/>
      <c r="GL401" s="33"/>
      <c r="GM401" s="33"/>
      <c r="GN401" s="33"/>
      <c r="GO401" s="33"/>
      <c r="GP401" s="33"/>
      <c r="GQ401" s="33"/>
      <c r="GR401" s="33"/>
      <c r="GS401" s="33"/>
      <c r="GT401" s="33"/>
      <c r="GU401" s="33"/>
      <c r="GV401" s="33"/>
      <c r="GW401" s="33"/>
      <c r="GX401" s="33"/>
      <c r="GY401" s="33"/>
      <c r="GZ401" s="33"/>
      <c r="HA401" s="33"/>
      <c r="HB401" s="33"/>
      <c r="HC401" s="33"/>
      <c r="HD401" s="33"/>
      <c r="HE401" s="33"/>
      <c r="HF401" s="33"/>
      <c r="HG401" s="33"/>
      <c r="HH401" s="33"/>
      <c r="HI401" s="33"/>
      <c r="HJ401" s="33"/>
      <c r="HK401" s="33"/>
      <c r="HL401" s="33"/>
      <c r="HM401" s="33"/>
      <c r="HN401" s="33"/>
      <c r="HO401" s="33"/>
      <c r="HP401" s="33"/>
      <c r="HQ401" s="33"/>
      <c r="HR401" s="33"/>
      <c r="HS401" s="33"/>
      <c r="HT401" s="33"/>
      <c r="HU401" s="33"/>
      <c r="HV401" s="33"/>
      <c r="HW401" s="33"/>
      <c r="HX401" s="33"/>
      <c r="HY401" s="33"/>
      <c r="HZ401" s="33"/>
      <c r="IA401" s="33"/>
      <c r="IB401" s="33"/>
      <c r="IC401" s="33"/>
      <c r="ID401" s="33"/>
      <c r="IE401" s="33"/>
      <c r="IF401" s="33"/>
      <c r="IG401" s="33"/>
      <c r="IH401" s="33"/>
      <c r="II401" s="33"/>
      <c r="IJ401" s="33"/>
      <c r="IK401" s="33"/>
      <c r="IL401" s="33"/>
      <c r="IM401" s="33"/>
      <c r="IN401" s="33"/>
      <c r="IO401" s="33"/>
      <c r="IP401" s="33"/>
      <c r="IQ401" s="33"/>
      <c r="IR401" s="33"/>
      <c r="IS401" s="33"/>
      <c r="IT401" s="33"/>
      <c r="IU401" s="33"/>
      <c r="IV401" s="33"/>
      <c r="IW401" s="33"/>
      <c r="IX401" s="33"/>
      <c r="IY401" s="33"/>
      <c r="IZ401" s="33"/>
      <c r="JA401" s="33"/>
      <c r="JB401" s="33"/>
      <c r="JC401" s="33"/>
      <c r="JD401" s="33"/>
      <c r="JE401" s="33"/>
      <c r="JF401" s="33"/>
      <c r="JG401" s="33"/>
      <c r="JH401" s="33"/>
      <c r="JI401" s="33"/>
      <c r="JJ401" s="33"/>
      <c r="JK401" s="33"/>
      <c r="JL401" s="33"/>
      <c r="JM401" s="33"/>
      <c r="JN401" s="33"/>
      <c r="JO401" s="33"/>
      <c r="JP401" s="33"/>
      <c r="JQ401" s="33"/>
      <c r="JR401" s="33"/>
      <c r="KZ401" s="33"/>
      <c r="LA401" s="33"/>
      <c r="LB401" s="33"/>
      <c r="LC401" s="33"/>
      <c r="LD401" s="33"/>
      <c r="LE401" s="33"/>
      <c r="LF401" s="33"/>
      <c r="LG401" s="33"/>
      <c r="LH401" s="33"/>
      <c r="LI401" s="33"/>
      <c r="LJ401" s="33"/>
      <c r="LK401" s="33"/>
      <c r="LL401" s="33"/>
      <c r="LM401" s="33"/>
      <c r="LN401" s="33"/>
      <c r="LO401" s="33"/>
      <c r="LP401" s="44"/>
      <c r="LQ401" s="44"/>
      <c r="LR401" s="44"/>
      <c r="LS401" s="44"/>
      <c r="LT401" s="44"/>
      <c r="LU401" s="44"/>
      <c r="LV401" s="44"/>
    </row>
    <row r="402" spans="1:334" x14ac:dyDescent="0.2">
      <c r="A402" s="1" t="s">
        <v>9015</v>
      </c>
      <c r="B402" s="1" t="s">
        <v>9016</v>
      </c>
      <c r="D402" s="1" t="s">
        <v>8946</v>
      </c>
      <c r="E402" s="1" t="s">
        <v>7</v>
      </c>
      <c r="F402" s="1" t="s">
        <v>8187</v>
      </c>
      <c r="G402" s="1" t="s">
        <v>8947</v>
      </c>
      <c r="H402" s="1" t="s">
        <v>9017</v>
      </c>
      <c r="J402" s="1" t="s">
        <v>8953</v>
      </c>
      <c r="K402" s="1">
        <v>2014</v>
      </c>
      <c r="L402" s="1" t="s">
        <v>8950</v>
      </c>
      <c r="M402" s="1" t="s">
        <v>7659</v>
      </c>
      <c r="N402" s="17" t="s">
        <v>7945</v>
      </c>
      <c r="O402" s="33"/>
      <c r="P402" s="33"/>
      <c r="Q402" s="33"/>
      <c r="R402" s="33"/>
      <c r="S402" s="33">
        <v>8.6</v>
      </c>
      <c r="T402" s="33"/>
      <c r="U402" s="33"/>
      <c r="V402" s="33"/>
      <c r="W402" s="33"/>
      <c r="X402" s="33"/>
      <c r="Y402" s="33"/>
      <c r="Z402" s="33">
        <v>18.252580000000002</v>
      </c>
      <c r="AA402" s="33"/>
      <c r="AB402" s="33"/>
      <c r="AC402" s="33">
        <v>1.0054000000000003</v>
      </c>
      <c r="AD402" s="33"/>
      <c r="AE402" s="33"/>
      <c r="AF402" s="33"/>
      <c r="AG402" s="33"/>
      <c r="AH402" s="33"/>
      <c r="AI402" s="33"/>
      <c r="AJ402" s="33"/>
      <c r="AK402" s="33"/>
      <c r="AL402" s="33"/>
      <c r="AM402" s="33"/>
      <c r="AN402" s="33"/>
      <c r="AO402" s="33"/>
      <c r="AP402" s="33"/>
      <c r="AQ402" s="33"/>
      <c r="AR402" s="33"/>
      <c r="AS402" s="33"/>
      <c r="AT402" s="33"/>
      <c r="AU402" s="33"/>
      <c r="AV402" s="33"/>
      <c r="AW402" s="33"/>
      <c r="AX402" s="33"/>
      <c r="AY402" s="33"/>
      <c r="AZ402" s="33"/>
      <c r="BA402" s="33"/>
      <c r="BB402" s="33"/>
      <c r="BC402" s="33"/>
      <c r="BD402" s="33"/>
      <c r="BE402" s="33"/>
      <c r="BF402" s="33"/>
      <c r="BG402" s="33"/>
      <c r="BH402" s="33"/>
      <c r="BI402" s="33"/>
      <c r="BJ402" s="33"/>
      <c r="BK402" s="33"/>
      <c r="BL402" s="33"/>
      <c r="BM402" s="33"/>
      <c r="BN402" s="33"/>
      <c r="BO402" s="33"/>
      <c r="BP402" s="33"/>
      <c r="BQ402" s="33">
        <v>2.7420000000000004</v>
      </c>
      <c r="BR402" s="33"/>
      <c r="BS402" s="33"/>
      <c r="BT402" s="33"/>
      <c r="BU402" s="33"/>
      <c r="BV402" s="33"/>
      <c r="BW402" s="33"/>
      <c r="BX402" s="33"/>
      <c r="BY402" s="33"/>
      <c r="BZ402" s="33"/>
      <c r="CA402" s="33"/>
      <c r="CB402" s="33"/>
      <c r="CC402" s="33"/>
      <c r="CD402" s="33"/>
      <c r="CE402" s="33"/>
      <c r="CF402" s="33"/>
      <c r="CG402" s="33"/>
      <c r="CH402" s="33"/>
      <c r="CI402" s="33"/>
      <c r="CJ402" s="33"/>
      <c r="CK402" s="33"/>
      <c r="CL402" s="33"/>
      <c r="CM402" s="33"/>
      <c r="CN402" s="33"/>
      <c r="CO402" s="33"/>
      <c r="CP402" s="33">
        <v>246.78000000000006</v>
      </c>
      <c r="CQ402" s="33"/>
      <c r="CR402" s="33">
        <v>0.84910599999999992</v>
      </c>
      <c r="CS402" s="33">
        <v>6.2517600000000009</v>
      </c>
      <c r="CT402" s="33"/>
      <c r="CU402" s="33"/>
      <c r="CV402" s="33">
        <v>155.38000000000002</v>
      </c>
      <c r="CW402" s="33">
        <v>1.7795580000000002</v>
      </c>
      <c r="CX402" s="33"/>
      <c r="CY402" s="33">
        <v>429.58</v>
      </c>
      <c r="CZ402" s="33"/>
      <c r="DA402" s="33">
        <v>2.8105500000000001</v>
      </c>
      <c r="DB402" s="33"/>
      <c r="DC402" s="33"/>
      <c r="DD402" s="33"/>
      <c r="DE402" s="33"/>
      <c r="DF402" s="33"/>
      <c r="DG402" s="33"/>
      <c r="DH402" s="33"/>
      <c r="DI402" s="33"/>
      <c r="DJ402" s="33"/>
      <c r="DK402" s="33"/>
      <c r="DL402" s="33"/>
      <c r="DM402" s="33"/>
      <c r="DN402" s="33"/>
      <c r="DO402" s="33"/>
      <c r="DP402" s="33"/>
      <c r="DQ402" s="33"/>
      <c r="DR402" s="33"/>
      <c r="DS402" s="33"/>
      <c r="DT402" s="33"/>
      <c r="DU402" s="33"/>
      <c r="DV402" s="33"/>
      <c r="DW402" s="33"/>
      <c r="DX402" s="33"/>
      <c r="DY402" s="33"/>
      <c r="DZ402" s="33"/>
      <c r="EA402" s="33"/>
      <c r="EB402" s="33"/>
      <c r="EC402" s="33"/>
      <c r="ED402" s="33"/>
      <c r="EE402" s="33"/>
      <c r="EF402" s="33"/>
      <c r="EG402" s="33"/>
      <c r="EH402" s="33"/>
      <c r="EI402" s="33"/>
      <c r="EJ402" s="33"/>
      <c r="EK402" s="33"/>
      <c r="EL402" s="33"/>
      <c r="EM402" s="33"/>
      <c r="EN402" s="33"/>
      <c r="EO402" s="33"/>
      <c r="EP402" s="33"/>
      <c r="EQ402" s="33"/>
      <c r="ER402" s="33"/>
      <c r="ES402" s="33"/>
      <c r="ET402" s="33"/>
      <c r="EU402" s="33"/>
      <c r="EV402" s="33"/>
      <c r="EW402" s="33"/>
      <c r="EX402" s="33"/>
      <c r="EY402" s="33"/>
      <c r="EZ402" s="33"/>
      <c r="FA402" s="33"/>
      <c r="FB402" s="33"/>
      <c r="FC402" s="33"/>
      <c r="FD402" s="33"/>
      <c r="FE402" s="33"/>
      <c r="FF402" s="33"/>
      <c r="FG402" s="33"/>
      <c r="FH402" s="33"/>
      <c r="FI402" s="33"/>
      <c r="FJ402" s="33"/>
      <c r="FK402" s="33"/>
      <c r="FL402" s="33"/>
      <c r="FM402" s="33"/>
      <c r="FN402" s="33"/>
      <c r="FO402" s="33"/>
      <c r="FP402" s="33"/>
      <c r="FQ402" s="33"/>
      <c r="FR402" s="33"/>
      <c r="FS402" s="33"/>
      <c r="FT402" s="33"/>
      <c r="FU402" s="33"/>
      <c r="FV402" s="33"/>
      <c r="FW402" s="33"/>
      <c r="FX402" s="33"/>
      <c r="FY402" s="33"/>
      <c r="FZ402" s="33"/>
      <c r="GA402" s="33"/>
      <c r="GB402" s="33"/>
      <c r="GC402" s="33"/>
      <c r="GD402" s="33"/>
      <c r="GE402" s="33"/>
      <c r="GF402" s="33"/>
      <c r="GG402" s="33"/>
      <c r="GH402" s="33"/>
      <c r="GI402" s="33"/>
      <c r="GJ402" s="33"/>
      <c r="GK402" s="33"/>
      <c r="GL402" s="33"/>
      <c r="GM402" s="33"/>
      <c r="GN402" s="33"/>
      <c r="GO402" s="33"/>
      <c r="GP402" s="33"/>
      <c r="GQ402" s="33"/>
      <c r="GR402" s="33"/>
      <c r="GS402" s="33"/>
      <c r="GT402" s="33"/>
      <c r="GU402" s="33"/>
      <c r="GV402" s="33"/>
      <c r="GW402" s="33"/>
      <c r="GX402" s="33"/>
      <c r="GY402" s="33"/>
      <c r="GZ402" s="33"/>
      <c r="HA402" s="33"/>
      <c r="HB402" s="33"/>
      <c r="HC402" s="33"/>
      <c r="HD402" s="33"/>
      <c r="HE402" s="33"/>
      <c r="HF402" s="33"/>
      <c r="HG402" s="33"/>
      <c r="HH402" s="33"/>
      <c r="HI402" s="33"/>
      <c r="HJ402" s="33"/>
      <c r="HK402" s="33"/>
      <c r="HL402" s="33"/>
      <c r="HM402" s="33"/>
      <c r="HN402" s="33"/>
      <c r="HO402" s="33"/>
      <c r="HP402" s="33"/>
      <c r="HQ402" s="33"/>
      <c r="HR402" s="33"/>
      <c r="HS402" s="33"/>
      <c r="HT402" s="33"/>
      <c r="HU402" s="33"/>
      <c r="HV402" s="33"/>
      <c r="HW402" s="33"/>
      <c r="HX402" s="33"/>
      <c r="HY402" s="33"/>
      <c r="HZ402" s="33"/>
      <c r="IA402" s="33"/>
      <c r="IB402" s="33"/>
      <c r="IC402" s="33"/>
      <c r="ID402" s="33"/>
      <c r="IE402" s="33"/>
      <c r="IF402" s="33"/>
      <c r="IG402" s="33"/>
      <c r="IH402" s="33"/>
      <c r="II402" s="33"/>
      <c r="IJ402" s="33"/>
      <c r="IK402" s="33"/>
      <c r="IL402" s="33"/>
      <c r="IM402" s="33"/>
      <c r="IN402" s="33"/>
      <c r="IO402" s="33"/>
      <c r="IP402" s="33"/>
      <c r="IQ402" s="33"/>
      <c r="IR402" s="33"/>
      <c r="IS402" s="33"/>
      <c r="IT402" s="33"/>
      <c r="IU402" s="33"/>
      <c r="IV402" s="33"/>
      <c r="IW402" s="33"/>
      <c r="IX402" s="33"/>
      <c r="IY402" s="33"/>
      <c r="IZ402" s="33"/>
      <c r="JA402" s="33"/>
      <c r="JB402" s="33"/>
      <c r="JC402" s="33"/>
      <c r="JD402" s="33"/>
      <c r="JE402" s="33"/>
      <c r="JF402" s="33"/>
      <c r="JG402" s="33"/>
      <c r="JH402" s="33"/>
      <c r="JI402" s="33"/>
      <c r="JJ402" s="33"/>
      <c r="JK402" s="33"/>
      <c r="JL402" s="33"/>
      <c r="JM402" s="33"/>
      <c r="JN402" s="33"/>
      <c r="JO402" s="33"/>
      <c r="JP402" s="33"/>
      <c r="JQ402" s="33"/>
      <c r="JR402" s="33"/>
      <c r="KZ402" s="33"/>
      <c r="LA402" s="33"/>
      <c r="LB402" s="33"/>
      <c r="LC402" s="33"/>
      <c r="LD402" s="33"/>
      <c r="LE402" s="33"/>
      <c r="LF402" s="33"/>
      <c r="LG402" s="33"/>
      <c r="LH402" s="33"/>
      <c r="LI402" s="33"/>
      <c r="LJ402" s="33"/>
      <c r="LK402" s="33"/>
      <c r="LL402" s="33"/>
      <c r="LM402" s="33"/>
      <c r="LN402" s="33"/>
      <c r="LO402" s="33"/>
      <c r="LP402" s="44"/>
      <c r="LQ402" s="44"/>
      <c r="LR402" s="44"/>
      <c r="LS402" s="44"/>
      <c r="LT402" s="44"/>
      <c r="LU402" s="44"/>
      <c r="LV402" s="44"/>
    </row>
    <row r="403" spans="1:334" x14ac:dyDescent="0.2">
      <c r="A403" s="1" t="s">
        <v>9018</v>
      </c>
      <c r="B403" s="1" t="s">
        <v>8955</v>
      </c>
      <c r="D403" s="1" t="s">
        <v>8946</v>
      </c>
      <c r="E403" s="1" t="s">
        <v>7</v>
      </c>
      <c r="F403" s="1" t="s">
        <v>8187</v>
      </c>
      <c r="G403" s="1" t="s">
        <v>8947</v>
      </c>
      <c r="H403" s="1" t="s">
        <v>9019</v>
      </c>
      <c r="J403" s="1" t="s">
        <v>8953</v>
      </c>
      <c r="K403" s="1">
        <v>2014</v>
      </c>
      <c r="L403" s="1" t="s">
        <v>8950</v>
      </c>
      <c r="M403" s="1" t="s">
        <v>7659</v>
      </c>
      <c r="N403" s="17" t="s">
        <v>7945</v>
      </c>
      <c r="O403" s="33"/>
      <c r="P403" s="33"/>
      <c r="Q403" s="33"/>
      <c r="R403" s="33"/>
      <c r="S403" s="33">
        <v>9.4</v>
      </c>
      <c r="T403" s="33"/>
      <c r="U403" s="33"/>
      <c r="V403" s="33"/>
      <c r="W403" s="33"/>
      <c r="X403" s="33"/>
      <c r="Y403" s="33"/>
      <c r="Z403" s="33">
        <v>19.116600000000002</v>
      </c>
      <c r="AA403" s="33"/>
      <c r="AB403" s="33"/>
      <c r="AC403" s="33">
        <v>1.3408799999999998</v>
      </c>
      <c r="AD403" s="33"/>
      <c r="AE403" s="33"/>
      <c r="AF403" s="33"/>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33"/>
      <c r="BC403" s="33"/>
      <c r="BD403" s="33"/>
      <c r="BE403" s="33"/>
      <c r="BF403" s="33"/>
      <c r="BG403" s="33"/>
      <c r="BH403" s="33"/>
      <c r="BI403" s="33"/>
      <c r="BJ403" s="33"/>
      <c r="BK403" s="33"/>
      <c r="BL403" s="33"/>
      <c r="BM403" s="33"/>
      <c r="BN403" s="33"/>
      <c r="BO403" s="33"/>
      <c r="BP403" s="33"/>
      <c r="BQ403" s="33">
        <v>2.8992</v>
      </c>
      <c r="BR403" s="33"/>
      <c r="BS403" s="33"/>
      <c r="BT403" s="33"/>
      <c r="BU403" s="33"/>
      <c r="BV403" s="33"/>
      <c r="BW403" s="33"/>
      <c r="BX403" s="33"/>
      <c r="BY403" s="33"/>
      <c r="BZ403" s="33"/>
      <c r="CA403" s="33"/>
      <c r="CB403" s="33"/>
      <c r="CC403" s="33"/>
      <c r="CD403" s="33"/>
      <c r="CE403" s="33"/>
      <c r="CF403" s="33"/>
      <c r="CG403" s="33"/>
      <c r="CH403" s="33"/>
      <c r="CI403" s="33"/>
      <c r="CJ403" s="33"/>
      <c r="CK403" s="33"/>
      <c r="CL403" s="33"/>
      <c r="CM403" s="33"/>
      <c r="CN403" s="33"/>
      <c r="CO403" s="33"/>
      <c r="CP403" s="33">
        <v>317.09999999999997</v>
      </c>
      <c r="CQ403" s="33"/>
      <c r="CR403" s="33">
        <v>0.7429199999999998</v>
      </c>
      <c r="CS403" s="33">
        <v>4.980281999999999</v>
      </c>
      <c r="CT403" s="33"/>
      <c r="CU403" s="33"/>
      <c r="CV403" s="33">
        <v>144.95999999999998</v>
      </c>
      <c r="CW403" s="33">
        <v>1.7657939999999996</v>
      </c>
      <c r="CX403" s="33"/>
      <c r="CY403" s="33">
        <v>298.98</v>
      </c>
      <c r="CZ403" s="33"/>
      <c r="DA403" s="33">
        <v>2.3501639999999999</v>
      </c>
      <c r="DB403" s="33"/>
      <c r="DC403" s="33"/>
      <c r="DD403" s="33"/>
      <c r="DE403" s="33"/>
      <c r="DF403" s="33"/>
      <c r="DG403" s="33"/>
      <c r="DH403" s="33"/>
      <c r="DI403" s="33"/>
      <c r="DJ403" s="33"/>
      <c r="DK403" s="33"/>
      <c r="DL403" s="33"/>
      <c r="DM403" s="33"/>
      <c r="DN403" s="33"/>
      <c r="DO403" s="33"/>
      <c r="DP403" s="33"/>
      <c r="DQ403" s="33"/>
      <c r="DR403" s="33"/>
      <c r="DS403" s="33"/>
      <c r="DT403" s="33"/>
      <c r="DU403" s="33"/>
      <c r="DV403" s="33"/>
      <c r="DW403" s="33"/>
      <c r="DX403" s="33"/>
      <c r="DY403" s="33"/>
      <c r="DZ403" s="33"/>
      <c r="EA403" s="33"/>
      <c r="EB403" s="33"/>
      <c r="EC403" s="33"/>
      <c r="ED403" s="33"/>
      <c r="EE403" s="33"/>
      <c r="EF403" s="33"/>
      <c r="EG403" s="33"/>
      <c r="EH403" s="33"/>
      <c r="EI403" s="33"/>
      <c r="EJ403" s="33"/>
      <c r="EK403" s="33"/>
      <c r="EL403" s="33"/>
      <c r="EM403" s="33"/>
      <c r="EN403" s="33"/>
      <c r="EO403" s="33"/>
      <c r="EP403" s="33"/>
      <c r="EQ403" s="33"/>
      <c r="ER403" s="33"/>
      <c r="ES403" s="33"/>
      <c r="ET403" s="33"/>
      <c r="EU403" s="33"/>
      <c r="EV403" s="33"/>
      <c r="EW403" s="33"/>
      <c r="EX403" s="33"/>
      <c r="EY403" s="33"/>
      <c r="EZ403" s="33"/>
      <c r="FA403" s="33"/>
      <c r="FB403" s="33"/>
      <c r="FC403" s="33"/>
      <c r="FD403" s="33"/>
      <c r="FE403" s="33"/>
      <c r="FF403" s="33"/>
      <c r="FG403" s="33"/>
      <c r="FH403" s="33"/>
      <c r="FI403" s="33"/>
      <c r="FJ403" s="33"/>
      <c r="FK403" s="33"/>
      <c r="FL403" s="33"/>
      <c r="FM403" s="33"/>
      <c r="FN403" s="33"/>
      <c r="FO403" s="33"/>
      <c r="FP403" s="33"/>
      <c r="FQ403" s="33"/>
      <c r="FR403" s="33"/>
      <c r="FS403" s="33"/>
      <c r="FT403" s="33"/>
      <c r="FU403" s="33"/>
      <c r="FV403" s="33"/>
      <c r="FW403" s="33"/>
      <c r="FX403" s="33"/>
      <c r="FY403" s="33"/>
      <c r="FZ403" s="33"/>
      <c r="GA403" s="33"/>
      <c r="GB403" s="33"/>
      <c r="GC403" s="33"/>
      <c r="GD403" s="33"/>
      <c r="GE403" s="33"/>
      <c r="GF403" s="33"/>
      <c r="GG403" s="33"/>
      <c r="GH403" s="33"/>
      <c r="GI403" s="33"/>
      <c r="GJ403" s="33"/>
      <c r="GK403" s="33"/>
      <c r="GL403" s="33"/>
      <c r="GM403" s="33"/>
      <c r="GN403" s="33"/>
      <c r="GO403" s="33"/>
      <c r="GP403" s="33"/>
      <c r="GQ403" s="33"/>
      <c r="GR403" s="33"/>
      <c r="GS403" s="33"/>
      <c r="GT403" s="33"/>
      <c r="GU403" s="33"/>
      <c r="GV403" s="33"/>
      <c r="GW403" s="33"/>
      <c r="GX403" s="33"/>
      <c r="GY403" s="33"/>
      <c r="GZ403" s="33"/>
      <c r="HA403" s="33"/>
      <c r="HB403" s="33"/>
      <c r="HC403" s="33"/>
      <c r="HD403" s="33"/>
      <c r="HE403" s="33"/>
      <c r="HF403" s="33"/>
      <c r="HG403" s="33"/>
      <c r="HH403" s="33"/>
      <c r="HI403" s="33"/>
      <c r="HJ403" s="33"/>
      <c r="HK403" s="33"/>
      <c r="HL403" s="33"/>
      <c r="HM403" s="33"/>
      <c r="HN403" s="33"/>
      <c r="HO403" s="33"/>
      <c r="HP403" s="33"/>
      <c r="HQ403" s="33"/>
      <c r="HR403" s="33"/>
      <c r="HS403" s="33"/>
      <c r="HT403" s="33"/>
      <c r="HU403" s="33"/>
      <c r="HV403" s="33"/>
      <c r="HW403" s="33"/>
      <c r="HX403" s="33"/>
      <c r="HY403" s="33"/>
      <c r="HZ403" s="33"/>
      <c r="IA403" s="33"/>
      <c r="IB403" s="33"/>
      <c r="IC403" s="33"/>
      <c r="ID403" s="33"/>
      <c r="IE403" s="33"/>
      <c r="IF403" s="33"/>
      <c r="IG403" s="33"/>
      <c r="IH403" s="33"/>
      <c r="II403" s="33"/>
      <c r="IJ403" s="33"/>
      <c r="IK403" s="33"/>
      <c r="IL403" s="33"/>
      <c r="IM403" s="33"/>
      <c r="IN403" s="33"/>
      <c r="IO403" s="33"/>
      <c r="IP403" s="33"/>
      <c r="IQ403" s="33"/>
      <c r="IR403" s="33"/>
      <c r="IS403" s="33"/>
      <c r="IT403" s="33"/>
      <c r="IU403" s="33"/>
      <c r="IV403" s="33"/>
      <c r="IW403" s="33"/>
      <c r="IX403" s="33"/>
      <c r="IY403" s="33"/>
      <c r="IZ403" s="33"/>
      <c r="JA403" s="33"/>
      <c r="JB403" s="33"/>
      <c r="JC403" s="33"/>
      <c r="JD403" s="33"/>
      <c r="JE403" s="33"/>
      <c r="JF403" s="33"/>
      <c r="JG403" s="33"/>
      <c r="JH403" s="33"/>
      <c r="JI403" s="33"/>
      <c r="JJ403" s="33"/>
      <c r="JK403" s="33"/>
      <c r="JL403" s="33"/>
      <c r="JM403" s="33"/>
      <c r="JN403" s="33"/>
      <c r="JO403" s="33"/>
      <c r="JP403" s="33"/>
      <c r="JQ403" s="33"/>
      <c r="JR403" s="33"/>
      <c r="KZ403" s="33"/>
      <c r="LA403" s="33"/>
      <c r="LB403" s="33"/>
      <c r="LC403" s="33"/>
      <c r="LD403" s="33"/>
      <c r="LE403" s="33"/>
      <c r="LF403" s="33"/>
      <c r="LG403" s="33"/>
      <c r="LH403" s="33"/>
      <c r="LI403" s="33"/>
      <c r="LJ403" s="33"/>
      <c r="LK403" s="33"/>
      <c r="LL403" s="33"/>
      <c r="LM403" s="33"/>
      <c r="LN403" s="33"/>
      <c r="LO403" s="33"/>
      <c r="LP403" s="44"/>
      <c r="LQ403" s="44"/>
      <c r="LR403" s="44"/>
      <c r="LS403" s="44"/>
      <c r="LT403" s="44"/>
      <c r="LU403" s="44"/>
      <c r="LV403" s="44"/>
    </row>
    <row r="404" spans="1:334" x14ac:dyDescent="0.2">
      <c r="A404" s="1" t="s">
        <v>9020</v>
      </c>
      <c r="B404" s="1" t="s">
        <v>9021</v>
      </c>
      <c r="D404" s="1" t="s">
        <v>8946</v>
      </c>
      <c r="E404" s="1" t="s">
        <v>7</v>
      </c>
      <c r="F404" s="1" t="s">
        <v>8187</v>
      </c>
      <c r="G404" s="1" t="s">
        <v>8947</v>
      </c>
      <c r="H404" s="1" t="s">
        <v>9022</v>
      </c>
      <c r="J404" s="1" t="s">
        <v>8953</v>
      </c>
      <c r="K404" s="1">
        <v>2014</v>
      </c>
      <c r="L404" s="1" t="s">
        <v>8950</v>
      </c>
      <c r="M404" s="1" t="s">
        <v>7659</v>
      </c>
      <c r="N404" s="17" t="s">
        <v>7945</v>
      </c>
      <c r="O404" s="33"/>
      <c r="P404" s="33"/>
      <c r="Q404" s="33"/>
      <c r="R404" s="33"/>
      <c r="S404" s="33">
        <v>10.1</v>
      </c>
      <c r="T404" s="33"/>
      <c r="U404" s="33"/>
      <c r="V404" s="33"/>
      <c r="W404" s="33"/>
      <c r="X404" s="33"/>
      <c r="Y404" s="33"/>
      <c r="Z404" s="33">
        <v>18.905970000000003</v>
      </c>
      <c r="AA404" s="33"/>
      <c r="AB404" s="33"/>
      <c r="AC404" s="33">
        <v>1.1327400000000001</v>
      </c>
      <c r="AD404" s="33"/>
      <c r="AE404" s="33"/>
      <c r="AF404" s="33"/>
      <c r="AG404" s="33"/>
      <c r="AH404" s="33"/>
      <c r="AI404" s="33"/>
      <c r="AJ404" s="33"/>
      <c r="AK404" s="33"/>
      <c r="AL404" s="33"/>
      <c r="AM404" s="33"/>
      <c r="AN404" s="33"/>
      <c r="AO404" s="33"/>
      <c r="AP404" s="33"/>
      <c r="AQ404" s="33"/>
      <c r="AR404" s="33"/>
      <c r="AS404" s="33"/>
      <c r="AT404" s="33"/>
      <c r="AU404" s="33"/>
      <c r="AV404" s="33"/>
      <c r="AW404" s="33"/>
      <c r="AX404" s="33"/>
      <c r="AY404" s="33"/>
      <c r="AZ404" s="33"/>
      <c r="BA404" s="33"/>
      <c r="BB404" s="33"/>
      <c r="BC404" s="33"/>
      <c r="BD404" s="33"/>
      <c r="BE404" s="33"/>
      <c r="BF404" s="33"/>
      <c r="BG404" s="33"/>
      <c r="BH404" s="33"/>
      <c r="BI404" s="33"/>
      <c r="BJ404" s="33"/>
      <c r="BK404" s="33"/>
      <c r="BL404" s="33"/>
      <c r="BM404" s="33"/>
      <c r="BN404" s="33"/>
      <c r="BO404" s="33"/>
      <c r="BP404" s="33"/>
      <c r="BQ404" s="33">
        <v>2.9037700000000002</v>
      </c>
      <c r="BR404" s="33"/>
      <c r="BS404" s="33"/>
      <c r="BT404" s="33"/>
      <c r="BU404" s="33"/>
      <c r="BV404" s="33"/>
      <c r="BW404" s="33"/>
      <c r="BX404" s="33"/>
      <c r="BY404" s="33"/>
      <c r="BZ404" s="33"/>
      <c r="CA404" s="33"/>
      <c r="CB404" s="33"/>
      <c r="CC404" s="33"/>
      <c r="CD404" s="33"/>
      <c r="CE404" s="33"/>
      <c r="CF404" s="33"/>
      <c r="CG404" s="33"/>
      <c r="CH404" s="33"/>
      <c r="CI404" s="33"/>
      <c r="CJ404" s="33"/>
      <c r="CK404" s="33"/>
      <c r="CL404" s="33"/>
      <c r="CM404" s="33"/>
      <c r="CN404" s="33"/>
      <c r="CO404" s="33"/>
      <c r="CP404" s="33">
        <v>431.52000000000004</v>
      </c>
      <c r="CQ404" s="33"/>
      <c r="CR404" s="33">
        <v>0.82528199999999996</v>
      </c>
      <c r="CS404" s="33">
        <v>7.9876149999999999</v>
      </c>
      <c r="CT404" s="33"/>
      <c r="CU404" s="33"/>
      <c r="CV404" s="33">
        <v>143.84</v>
      </c>
      <c r="CW404" s="33">
        <v>2.109054</v>
      </c>
      <c r="CX404" s="33"/>
      <c r="CY404" s="33">
        <v>323.64000000000004</v>
      </c>
      <c r="CZ404" s="33"/>
      <c r="DA404" s="33">
        <v>2.7149799999999997</v>
      </c>
      <c r="DB404" s="33"/>
      <c r="DC404" s="33"/>
      <c r="DD404" s="33"/>
      <c r="DE404" s="33"/>
      <c r="DF404" s="33"/>
      <c r="DG404" s="33"/>
      <c r="DH404" s="33"/>
      <c r="DI404" s="33"/>
      <c r="DJ404" s="33"/>
      <c r="DK404" s="33"/>
      <c r="DL404" s="33"/>
      <c r="DM404" s="33"/>
      <c r="DN404" s="33"/>
      <c r="DO404" s="33"/>
      <c r="DP404" s="33"/>
      <c r="DQ404" s="33"/>
      <c r="DR404" s="33"/>
      <c r="DS404" s="33"/>
      <c r="DT404" s="33"/>
      <c r="DU404" s="33"/>
      <c r="DV404" s="33"/>
      <c r="DW404" s="33"/>
      <c r="DX404" s="33"/>
      <c r="DY404" s="33"/>
      <c r="DZ404" s="33"/>
      <c r="EA404" s="33"/>
      <c r="EB404" s="33"/>
      <c r="EC404" s="33"/>
      <c r="ED404" s="33"/>
      <c r="EE404" s="33"/>
      <c r="EF404" s="33"/>
      <c r="EG404" s="33"/>
      <c r="EH404" s="33"/>
      <c r="EI404" s="33"/>
      <c r="EJ404" s="33"/>
      <c r="EK404" s="33"/>
      <c r="EL404" s="33"/>
      <c r="EM404" s="33"/>
      <c r="EN404" s="33"/>
      <c r="EO404" s="33"/>
      <c r="EP404" s="33"/>
      <c r="EQ404" s="33"/>
      <c r="ER404" s="33"/>
      <c r="ES404" s="33"/>
      <c r="ET404" s="33"/>
      <c r="EU404" s="33"/>
      <c r="EV404" s="33"/>
      <c r="EW404" s="33"/>
      <c r="EX404" s="33"/>
      <c r="EY404" s="33"/>
      <c r="EZ404" s="33"/>
      <c r="FA404" s="33"/>
      <c r="FB404" s="33"/>
      <c r="FC404" s="33"/>
      <c r="FD404" s="33"/>
      <c r="FE404" s="33"/>
      <c r="FF404" s="33"/>
      <c r="FG404" s="33"/>
      <c r="FH404" s="33"/>
      <c r="FI404" s="33"/>
      <c r="FJ404" s="33"/>
      <c r="FK404" s="33"/>
      <c r="FL404" s="33"/>
      <c r="FM404" s="33"/>
      <c r="FN404" s="33"/>
      <c r="FO404" s="33"/>
      <c r="FP404" s="33"/>
      <c r="FQ404" s="33"/>
      <c r="FR404" s="33"/>
      <c r="FS404" s="33"/>
      <c r="FT404" s="33"/>
      <c r="FU404" s="33"/>
      <c r="FV404" s="33"/>
      <c r="FW404" s="33"/>
      <c r="FX404" s="33"/>
      <c r="FY404" s="33"/>
      <c r="FZ404" s="33"/>
      <c r="GA404" s="33"/>
      <c r="GB404" s="33"/>
      <c r="GC404" s="33"/>
      <c r="GD404" s="33"/>
      <c r="GE404" s="33"/>
      <c r="GF404" s="33"/>
      <c r="GG404" s="33"/>
      <c r="GH404" s="33"/>
      <c r="GI404" s="33"/>
      <c r="GJ404" s="33"/>
      <c r="GK404" s="33"/>
      <c r="GL404" s="33"/>
      <c r="GM404" s="33"/>
      <c r="GN404" s="33"/>
      <c r="GO404" s="33"/>
      <c r="GP404" s="33"/>
      <c r="GQ404" s="33"/>
      <c r="GR404" s="33"/>
      <c r="GS404" s="33"/>
      <c r="GT404" s="33"/>
      <c r="GU404" s="33"/>
      <c r="GV404" s="33"/>
      <c r="GW404" s="33"/>
      <c r="GX404" s="33"/>
      <c r="GY404" s="33"/>
      <c r="GZ404" s="33"/>
      <c r="HA404" s="33"/>
      <c r="HB404" s="33"/>
      <c r="HC404" s="33"/>
      <c r="HD404" s="33"/>
      <c r="HE404" s="33"/>
      <c r="HF404" s="33"/>
      <c r="HG404" s="33"/>
      <c r="HH404" s="33"/>
      <c r="HI404" s="33"/>
      <c r="HJ404" s="33"/>
      <c r="HK404" s="33"/>
      <c r="HL404" s="33"/>
      <c r="HM404" s="33"/>
      <c r="HN404" s="33"/>
      <c r="HO404" s="33"/>
      <c r="HP404" s="33"/>
      <c r="HQ404" s="33"/>
      <c r="HR404" s="33"/>
      <c r="HS404" s="33"/>
      <c r="HT404" s="33"/>
      <c r="HU404" s="33"/>
      <c r="HV404" s="33"/>
      <c r="HW404" s="33"/>
      <c r="HX404" s="33"/>
      <c r="HY404" s="33"/>
      <c r="HZ404" s="33"/>
      <c r="IA404" s="33"/>
      <c r="IB404" s="33"/>
      <c r="IC404" s="33"/>
      <c r="ID404" s="33"/>
      <c r="IE404" s="33"/>
      <c r="IF404" s="33"/>
      <c r="IG404" s="33"/>
      <c r="IH404" s="33"/>
      <c r="II404" s="33"/>
      <c r="IJ404" s="33"/>
      <c r="IK404" s="33"/>
      <c r="IL404" s="33"/>
      <c r="IM404" s="33"/>
      <c r="IN404" s="33"/>
      <c r="IO404" s="33"/>
      <c r="IP404" s="33"/>
      <c r="IQ404" s="33"/>
      <c r="IR404" s="33"/>
      <c r="IS404" s="33"/>
      <c r="IT404" s="33"/>
      <c r="IU404" s="33"/>
      <c r="IV404" s="33"/>
      <c r="IW404" s="33"/>
      <c r="IX404" s="33"/>
      <c r="IY404" s="33"/>
      <c r="IZ404" s="33"/>
      <c r="JA404" s="33"/>
      <c r="JB404" s="33"/>
      <c r="JC404" s="33"/>
      <c r="JD404" s="33"/>
      <c r="JE404" s="33"/>
      <c r="JF404" s="33"/>
      <c r="JG404" s="33"/>
      <c r="JH404" s="33"/>
      <c r="JI404" s="33"/>
      <c r="JJ404" s="33"/>
      <c r="JK404" s="33"/>
      <c r="JL404" s="33"/>
      <c r="JM404" s="33"/>
      <c r="JN404" s="33"/>
      <c r="JO404" s="33"/>
      <c r="JP404" s="33"/>
      <c r="JQ404" s="33"/>
      <c r="JR404" s="33"/>
      <c r="KZ404" s="33"/>
      <c r="LA404" s="33"/>
      <c r="LB404" s="33"/>
      <c r="LC404" s="33"/>
      <c r="LD404" s="33"/>
      <c r="LE404" s="33"/>
      <c r="LF404" s="33"/>
      <c r="LG404" s="33"/>
      <c r="LH404" s="33"/>
      <c r="LI404" s="33"/>
      <c r="LJ404" s="33"/>
      <c r="LK404" s="33"/>
      <c r="LL404" s="33"/>
      <c r="LM404" s="33"/>
      <c r="LN404" s="33"/>
      <c r="LO404" s="33"/>
      <c r="LP404" s="44"/>
      <c r="LQ404" s="44"/>
      <c r="LR404" s="44"/>
      <c r="LS404" s="44"/>
      <c r="LT404" s="44"/>
      <c r="LU404" s="44"/>
      <c r="LV404" s="44"/>
    </row>
    <row r="405" spans="1:334" x14ac:dyDescent="0.2">
      <c r="A405" s="1" t="s">
        <v>9023</v>
      </c>
      <c r="B405" s="1" t="s">
        <v>9024</v>
      </c>
      <c r="D405" s="1" t="s">
        <v>8946</v>
      </c>
      <c r="E405" s="1" t="s">
        <v>7</v>
      </c>
      <c r="F405" s="1" t="s">
        <v>8187</v>
      </c>
      <c r="G405" s="1" t="s">
        <v>8947</v>
      </c>
      <c r="H405" s="1" t="s">
        <v>9025</v>
      </c>
      <c r="J405" s="1" t="s">
        <v>8953</v>
      </c>
      <c r="K405" s="1">
        <v>2014</v>
      </c>
      <c r="L405" s="1" t="s">
        <v>8950</v>
      </c>
      <c r="M405" s="1" t="s">
        <v>7659</v>
      </c>
      <c r="N405" s="17" t="s">
        <v>7945</v>
      </c>
      <c r="O405" s="33"/>
      <c r="P405" s="33"/>
      <c r="Q405" s="33"/>
      <c r="R405" s="33"/>
      <c r="S405" s="33">
        <v>8.4</v>
      </c>
      <c r="T405" s="33"/>
      <c r="U405" s="33"/>
      <c r="V405" s="33"/>
      <c r="W405" s="33"/>
      <c r="X405" s="33"/>
      <c r="Y405" s="33"/>
      <c r="Z405" s="33">
        <v>18.933720000000001</v>
      </c>
      <c r="AA405" s="33"/>
      <c r="AB405" s="33"/>
      <c r="AC405" s="33">
        <v>0.87935999999999992</v>
      </c>
      <c r="AD405" s="33"/>
      <c r="AE405" s="33"/>
      <c r="AF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33"/>
      <c r="BE405" s="33"/>
      <c r="BF405" s="33"/>
      <c r="BG405" s="33"/>
      <c r="BH405" s="33"/>
      <c r="BI405" s="33"/>
      <c r="BJ405" s="33"/>
      <c r="BK405" s="33"/>
      <c r="BL405" s="33"/>
      <c r="BM405" s="33"/>
      <c r="BN405" s="33"/>
      <c r="BO405" s="33"/>
      <c r="BP405" s="33"/>
      <c r="BQ405" s="33">
        <v>2.99532</v>
      </c>
      <c r="BR405" s="33"/>
      <c r="BS405" s="33"/>
      <c r="BT405" s="33"/>
      <c r="BU405" s="33"/>
      <c r="BV405" s="33"/>
      <c r="BW405" s="33"/>
      <c r="BX405" s="33"/>
      <c r="BY405" s="33"/>
      <c r="BZ405" s="33"/>
      <c r="CA405" s="33"/>
      <c r="CB405" s="33"/>
      <c r="CC405" s="33"/>
      <c r="CD405" s="33"/>
      <c r="CE405" s="33"/>
      <c r="CF405" s="33"/>
      <c r="CG405" s="33"/>
      <c r="CH405" s="33"/>
      <c r="CI405" s="33"/>
      <c r="CJ405" s="33"/>
      <c r="CK405" s="33"/>
      <c r="CL405" s="33"/>
      <c r="CM405" s="33"/>
      <c r="CN405" s="33"/>
      <c r="CO405" s="33"/>
      <c r="CP405" s="33">
        <v>274.8</v>
      </c>
      <c r="CQ405" s="33"/>
      <c r="CR405" s="33">
        <v>1.0048520000000001</v>
      </c>
      <c r="CS405" s="33">
        <v>6.301164</v>
      </c>
      <c r="CT405" s="33"/>
      <c r="CU405" s="33"/>
      <c r="CV405" s="33">
        <v>164.88</v>
      </c>
      <c r="CW405" s="33">
        <v>1.370336</v>
      </c>
      <c r="CX405" s="33"/>
      <c r="CY405" s="33">
        <v>577.08000000000004</v>
      </c>
      <c r="CZ405" s="33"/>
      <c r="DA405" s="33">
        <v>3.0502799999999999</v>
      </c>
      <c r="DB405" s="33"/>
      <c r="DC405" s="33"/>
      <c r="DD405" s="33"/>
      <c r="DE405" s="33"/>
      <c r="DF405" s="33"/>
      <c r="DG405" s="33"/>
      <c r="DH405" s="33"/>
      <c r="DI405" s="33"/>
      <c r="DJ405" s="33"/>
      <c r="DK405" s="33"/>
      <c r="DL405" s="33"/>
      <c r="DM405" s="33"/>
      <c r="DN405" s="33"/>
      <c r="DO405" s="33"/>
      <c r="DP405" s="33"/>
      <c r="DQ405" s="33"/>
      <c r="DR405" s="33"/>
      <c r="DS405" s="33"/>
      <c r="DT405" s="33"/>
      <c r="DU405" s="33"/>
      <c r="DV405" s="33"/>
      <c r="DW405" s="33"/>
      <c r="DX405" s="33"/>
      <c r="DY405" s="33"/>
      <c r="DZ405" s="33"/>
      <c r="EA405" s="33"/>
      <c r="EB405" s="33"/>
      <c r="EC405" s="33"/>
      <c r="ED405" s="33"/>
      <c r="EE405" s="33"/>
      <c r="EF405" s="33"/>
      <c r="EG405" s="33"/>
      <c r="EH405" s="33"/>
      <c r="EI405" s="33"/>
      <c r="EJ405" s="33"/>
      <c r="EK405" s="33"/>
      <c r="EL405" s="33"/>
      <c r="EM405" s="33"/>
      <c r="EN405" s="33"/>
      <c r="EO405" s="33"/>
      <c r="EP405" s="33"/>
      <c r="EQ405" s="33"/>
      <c r="ER405" s="33"/>
      <c r="ES405" s="33"/>
      <c r="ET405" s="33"/>
      <c r="EU405" s="33"/>
      <c r="EV405" s="33"/>
      <c r="EW405" s="33"/>
      <c r="EX405" s="33"/>
      <c r="EY405" s="33"/>
      <c r="EZ405" s="33"/>
      <c r="FA405" s="33"/>
      <c r="FB405" s="33"/>
      <c r="FC405" s="33"/>
      <c r="FD405" s="33"/>
      <c r="FE405" s="33"/>
      <c r="FF405" s="33"/>
      <c r="FG405" s="33"/>
      <c r="FH405" s="33"/>
      <c r="FI405" s="33"/>
      <c r="FJ405" s="33"/>
      <c r="FK405" s="33"/>
      <c r="FL405" s="33"/>
      <c r="FM405" s="33"/>
      <c r="FN405" s="33"/>
      <c r="FO405" s="33"/>
      <c r="FP405" s="33"/>
      <c r="FQ405" s="33"/>
      <c r="FR405" s="33"/>
      <c r="FS405" s="33"/>
      <c r="FT405" s="33"/>
      <c r="FU405" s="33"/>
      <c r="FV405" s="33"/>
      <c r="FW405" s="33"/>
      <c r="FX405" s="33"/>
      <c r="FY405" s="33"/>
      <c r="FZ405" s="33"/>
      <c r="GA405" s="33"/>
      <c r="GB405" s="33"/>
      <c r="GC405" s="33"/>
      <c r="GD405" s="33"/>
      <c r="GE405" s="33"/>
      <c r="GF405" s="33"/>
      <c r="GG405" s="33"/>
      <c r="GH405" s="33"/>
      <c r="GI405" s="33"/>
      <c r="GJ405" s="33"/>
      <c r="GK405" s="33"/>
      <c r="GL405" s="33"/>
      <c r="GM405" s="33"/>
      <c r="GN405" s="33"/>
      <c r="GO405" s="33"/>
      <c r="GP405" s="33"/>
      <c r="GQ405" s="33"/>
      <c r="GR405" s="33"/>
      <c r="GS405" s="33"/>
      <c r="GT405" s="33"/>
      <c r="GU405" s="33"/>
      <c r="GV405" s="33"/>
      <c r="GW405" s="33"/>
      <c r="GX405" s="33"/>
      <c r="GY405" s="33"/>
      <c r="GZ405" s="33"/>
      <c r="HA405" s="33"/>
      <c r="HB405" s="33"/>
      <c r="HC405" s="33"/>
      <c r="HD405" s="33"/>
      <c r="HE405" s="33"/>
      <c r="HF405" s="33"/>
      <c r="HG405" s="33"/>
      <c r="HH405" s="33"/>
      <c r="HI405" s="33"/>
      <c r="HJ405" s="33"/>
      <c r="HK405" s="33"/>
      <c r="HL405" s="33"/>
      <c r="HM405" s="33"/>
      <c r="HN405" s="33"/>
      <c r="HO405" s="33"/>
      <c r="HP405" s="33"/>
      <c r="HQ405" s="33"/>
      <c r="HR405" s="33"/>
      <c r="HS405" s="33"/>
      <c r="HT405" s="33"/>
      <c r="HU405" s="33"/>
      <c r="HV405" s="33"/>
      <c r="HW405" s="33"/>
      <c r="HX405" s="33"/>
      <c r="HY405" s="33"/>
      <c r="HZ405" s="33"/>
      <c r="IA405" s="33"/>
      <c r="IB405" s="33"/>
      <c r="IC405" s="33"/>
      <c r="ID405" s="33"/>
      <c r="IE405" s="33"/>
      <c r="IF405" s="33"/>
      <c r="IG405" s="33"/>
      <c r="IH405" s="33"/>
      <c r="II405" s="33"/>
      <c r="IJ405" s="33"/>
      <c r="IK405" s="33"/>
      <c r="IL405" s="33"/>
      <c r="IM405" s="33"/>
      <c r="IN405" s="33"/>
      <c r="IO405" s="33"/>
      <c r="IP405" s="33"/>
      <c r="IQ405" s="33"/>
      <c r="IR405" s="33"/>
      <c r="IS405" s="33"/>
      <c r="IT405" s="33"/>
      <c r="IU405" s="33"/>
      <c r="IV405" s="33"/>
      <c r="IW405" s="33"/>
      <c r="IX405" s="33"/>
      <c r="IY405" s="33"/>
      <c r="IZ405" s="33"/>
      <c r="JA405" s="33"/>
      <c r="JB405" s="33"/>
      <c r="JC405" s="33"/>
      <c r="JD405" s="33"/>
      <c r="JE405" s="33"/>
      <c r="JF405" s="33"/>
      <c r="JG405" s="33"/>
      <c r="JH405" s="33"/>
      <c r="JI405" s="33"/>
      <c r="JJ405" s="33"/>
      <c r="JK405" s="33"/>
      <c r="JL405" s="33"/>
      <c r="JM405" s="33"/>
      <c r="JN405" s="33"/>
      <c r="JO405" s="33"/>
      <c r="JP405" s="33"/>
      <c r="JQ405" s="33"/>
      <c r="JR405" s="33"/>
      <c r="KZ405" s="33"/>
      <c r="LA405" s="33"/>
      <c r="LB405" s="33"/>
      <c r="LC405" s="33"/>
      <c r="LD405" s="33"/>
      <c r="LE405" s="33"/>
      <c r="LF405" s="33"/>
      <c r="LG405" s="33"/>
      <c r="LH405" s="33"/>
      <c r="LI405" s="33"/>
      <c r="LJ405" s="33"/>
      <c r="LK405" s="33"/>
      <c r="LL405" s="33"/>
      <c r="LM405" s="33"/>
      <c r="LN405" s="33"/>
      <c r="LO405" s="33"/>
      <c r="LP405" s="44"/>
      <c r="LQ405" s="44"/>
      <c r="LR405" s="44"/>
      <c r="LS405" s="44"/>
      <c r="LT405" s="44"/>
      <c r="LU405" s="44"/>
      <c r="LV405" s="44"/>
    </row>
    <row r="406" spans="1:334" x14ac:dyDescent="0.2">
      <c r="A406" s="1" t="s">
        <v>9026</v>
      </c>
      <c r="B406" s="1" t="s">
        <v>9027</v>
      </c>
      <c r="D406" s="1" t="s">
        <v>8946</v>
      </c>
      <c r="E406" s="1" t="s">
        <v>7</v>
      </c>
      <c r="F406" s="1" t="s">
        <v>8187</v>
      </c>
      <c r="G406" s="1" t="s">
        <v>8947</v>
      </c>
      <c r="H406" s="1" t="s">
        <v>9028</v>
      </c>
      <c r="J406" s="1" t="s">
        <v>8953</v>
      </c>
      <c r="K406" s="1">
        <v>2014</v>
      </c>
      <c r="L406" s="1" t="s">
        <v>8950</v>
      </c>
      <c r="M406" s="1" t="s">
        <v>7659</v>
      </c>
      <c r="N406" s="17" t="s">
        <v>7945</v>
      </c>
      <c r="O406" s="33"/>
      <c r="P406" s="33"/>
      <c r="Q406" s="33"/>
      <c r="R406" s="33"/>
      <c r="S406" s="33">
        <v>8.1999999999999993</v>
      </c>
      <c r="T406" s="33"/>
      <c r="U406" s="33"/>
      <c r="V406" s="33"/>
      <c r="W406" s="33"/>
      <c r="X406" s="33"/>
      <c r="Y406" s="33"/>
      <c r="Z406" s="33">
        <v>19.489139999999999</v>
      </c>
      <c r="AA406" s="33"/>
      <c r="AB406" s="33"/>
      <c r="AC406" s="33">
        <v>1.1015999999999999</v>
      </c>
      <c r="AD406" s="33"/>
      <c r="AE406" s="33"/>
      <c r="AF406" s="33"/>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33"/>
      <c r="BC406" s="33"/>
      <c r="BD406" s="33"/>
      <c r="BE406" s="33"/>
      <c r="BF406" s="33"/>
      <c r="BG406" s="33"/>
      <c r="BH406" s="33"/>
      <c r="BI406" s="33"/>
      <c r="BJ406" s="33"/>
      <c r="BK406" s="33"/>
      <c r="BL406" s="33"/>
      <c r="BM406" s="33"/>
      <c r="BN406" s="33"/>
      <c r="BO406" s="33"/>
      <c r="BP406" s="33"/>
      <c r="BQ406" s="33">
        <v>3.18546</v>
      </c>
      <c r="BR406" s="33"/>
      <c r="BS406" s="33"/>
      <c r="BT406" s="33"/>
      <c r="BU406" s="33"/>
      <c r="BV406" s="33"/>
      <c r="BW406" s="33"/>
      <c r="BX406" s="33"/>
      <c r="BY406" s="33"/>
      <c r="BZ406" s="33"/>
      <c r="CA406" s="33"/>
      <c r="CB406" s="33"/>
      <c r="CC406" s="33"/>
      <c r="CD406" s="33"/>
      <c r="CE406" s="33"/>
      <c r="CF406" s="33"/>
      <c r="CG406" s="33"/>
      <c r="CH406" s="33"/>
      <c r="CI406" s="33"/>
      <c r="CJ406" s="33"/>
      <c r="CK406" s="33"/>
      <c r="CL406" s="33"/>
      <c r="CM406" s="33"/>
      <c r="CN406" s="33"/>
      <c r="CO406" s="33"/>
      <c r="CP406" s="33">
        <v>284.58</v>
      </c>
      <c r="CQ406" s="33"/>
      <c r="CR406" s="33">
        <v>0.94462199999999985</v>
      </c>
      <c r="CS406" s="33">
        <v>5.7760559999999996</v>
      </c>
      <c r="CT406" s="33"/>
      <c r="CU406" s="33"/>
      <c r="CV406" s="33">
        <v>165.23999999999998</v>
      </c>
      <c r="CW406" s="33">
        <v>1.3751640000000001</v>
      </c>
      <c r="CX406" s="33"/>
      <c r="CY406" s="33">
        <v>449.82</v>
      </c>
      <c r="CZ406" s="33"/>
      <c r="DA406" s="33">
        <v>3.9923820000000001</v>
      </c>
      <c r="DB406" s="33"/>
      <c r="DC406" s="33"/>
      <c r="DD406" s="33"/>
      <c r="DE406" s="33"/>
      <c r="DF406" s="33"/>
      <c r="DG406" s="33"/>
      <c r="DH406" s="33"/>
      <c r="DI406" s="33"/>
      <c r="DJ406" s="33"/>
      <c r="DK406" s="33"/>
      <c r="DL406" s="33"/>
      <c r="DM406" s="33"/>
      <c r="DN406" s="33"/>
      <c r="DO406" s="33"/>
      <c r="DP406" s="33"/>
      <c r="DQ406" s="33"/>
      <c r="DR406" s="33"/>
      <c r="DS406" s="33"/>
      <c r="DT406" s="33"/>
      <c r="DU406" s="33"/>
      <c r="DV406" s="33"/>
      <c r="DW406" s="33"/>
      <c r="DX406" s="33"/>
      <c r="DY406" s="33"/>
      <c r="DZ406" s="33"/>
      <c r="EA406" s="33"/>
      <c r="EB406" s="33"/>
      <c r="EC406" s="33"/>
      <c r="ED406" s="33"/>
      <c r="EE406" s="33"/>
      <c r="EF406" s="33"/>
      <c r="EG406" s="33"/>
      <c r="EH406" s="33"/>
      <c r="EI406" s="33"/>
      <c r="EJ406" s="33"/>
      <c r="EK406" s="33"/>
      <c r="EL406" s="33"/>
      <c r="EM406" s="33"/>
      <c r="EN406" s="33"/>
      <c r="EO406" s="33"/>
      <c r="EP406" s="33"/>
      <c r="EQ406" s="33"/>
      <c r="ER406" s="33"/>
      <c r="ES406" s="33"/>
      <c r="ET406" s="33"/>
      <c r="EU406" s="33"/>
      <c r="EV406" s="33"/>
      <c r="EW406" s="33"/>
      <c r="EX406" s="33"/>
      <c r="EY406" s="33"/>
      <c r="EZ406" s="33"/>
      <c r="FA406" s="33"/>
      <c r="FB406" s="33"/>
      <c r="FC406" s="33"/>
      <c r="FD406" s="33"/>
      <c r="FE406" s="33"/>
      <c r="FF406" s="33"/>
      <c r="FG406" s="33"/>
      <c r="FH406" s="33"/>
      <c r="FI406" s="33"/>
      <c r="FJ406" s="33"/>
      <c r="FK406" s="33"/>
      <c r="FL406" s="33"/>
      <c r="FM406" s="33"/>
      <c r="FN406" s="33"/>
      <c r="FO406" s="33"/>
      <c r="FP406" s="33"/>
      <c r="FQ406" s="33"/>
      <c r="FR406" s="33"/>
      <c r="FS406" s="33"/>
      <c r="FT406" s="33"/>
      <c r="FU406" s="33"/>
      <c r="FV406" s="33"/>
      <c r="FW406" s="33"/>
      <c r="FX406" s="33"/>
      <c r="FY406" s="33"/>
      <c r="FZ406" s="33"/>
      <c r="GA406" s="33"/>
      <c r="GB406" s="33"/>
      <c r="GC406" s="33"/>
      <c r="GD406" s="33"/>
      <c r="GE406" s="33"/>
      <c r="GF406" s="33"/>
      <c r="GG406" s="33"/>
      <c r="GH406" s="33"/>
      <c r="GI406" s="33"/>
      <c r="GJ406" s="33"/>
      <c r="GK406" s="33"/>
      <c r="GL406" s="33"/>
      <c r="GM406" s="33"/>
      <c r="GN406" s="33"/>
      <c r="GO406" s="33"/>
      <c r="GP406" s="33"/>
      <c r="GQ406" s="33"/>
      <c r="GR406" s="33"/>
      <c r="GS406" s="33"/>
      <c r="GT406" s="33"/>
      <c r="GU406" s="33"/>
      <c r="GV406" s="33"/>
      <c r="GW406" s="33"/>
      <c r="GX406" s="33"/>
      <c r="GY406" s="33"/>
      <c r="GZ406" s="33"/>
      <c r="HA406" s="33"/>
      <c r="HB406" s="33"/>
      <c r="HC406" s="33"/>
      <c r="HD406" s="33"/>
      <c r="HE406" s="33"/>
      <c r="HF406" s="33"/>
      <c r="HG406" s="33"/>
      <c r="HH406" s="33"/>
      <c r="HI406" s="33"/>
      <c r="HJ406" s="33"/>
      <c r="HK406" s="33"/>
      <c r="HL406" s="33"/>
      <c r="HM406" s="33"/>
      <c r="HN406" s="33"/>
      <c r="HO406" s="33"/>
      <c r="HP406" s="33"/>
      <c r="HQ406" s="33"/>
      <c r="HR406" s="33"/>
      <c r="HS406" s="33"/>
      <c r="HT406" s="33"/>
      <c r="HU406" s="33"/>
      <c r="HV406" s="33"/>
      <c r="HW406" s="33"/>
      <c r="HX406" s="33"/>
      <c r="HY406" s="33"/>
      <c r="HZ406" s="33"/>
      <c r="IA406" s="33"/>
      <c r="IB406" s="33"/>
      <c r="IC406" s="33"/>
      <c r="ID406" s="33"/>
      <c r="IE406" s="33"/>
      <c r="IF406" s="33"/>
      <c r="IG406" s="33"/>
      <c r="IH406" s="33"/>
      <c r="II406" s="33"/>
      <c r="IJ406" s="33"/>
      <c r="IK406" s="33"/>
      <c r="IL406" s="33"/>
      <c r="IM406" s="33"/>
      <c r="IN406" s="33"/>
      <c r="IO406" s="33"/>
      <c r="IP406" s="33"/>
      <c r="IQ406" s="33"/>
      <c r="IR406" s="33"/>
      <c r="IS406" s="33"/>
      <c r="IT406" s="33"/>
      <c r="IU406" s="33"/>
      <c r="IV406" s="33"/>
      <c r="IW406" s="33"/>
      <c r="IX406" s="33"/>
      <c r="IY406" s="33"/>
      <c r="IZ406" s="33"/>
      <c r="JA406" s="33"/>
      <c r="JB406" s="33"/>
      <c r="JC406" s="33"/>
      <c r="JD406" s="33"/>
      <c r="JE406" s="33"/>
      <c r="JF406" s="33"/>
      <c r="JG406" s="33"/>
      <c r="JH406" s="33"/>
      <c r="JI406" s="33"/>
      <c r="JJ406" s="33"/>
      <c r="JK406" s="33"/>
      <c r="JL406" s="33"/>
      <c r="JM406" s="33"/>
      <c r="JN406" s="33"/>
      <c r="JO406" s="33"/>
      <c r="JP406" s="33"/>
      <c r="JQ406" s="33"/>
      <c r="JR406" s="33"/>
      <c r="KZ406" s="33"/>
      <c r="LA406" s="33"/>
      <c r="LB406" s="33"/>
      <c r="LC406" s="33"/>
      <c r="LD406" s="33"/>
      <c r="LE406" s="33"/>
      <c r="LF406" s="33"/>
      <c r="LG406" s="33"/>
      <c r="LH406" s="33"/>
      <c r="LI406" s="33"/>
      <c r="LJ406" s="33"/>
      <c r="LK406" s="33"/>
      <c r="LL406" s="33"/>
      <c r="LM406" s="33"/>
      <c r="LN406" s="33"/>
      <c r="LO406" s="33"/>
      <c r="LP406" s="44"/>
      <c r="LQ406" s="44"/>
      <c r="LR406" s="44"/>
      <c r="LS406" s="44"/>
      <c r="LT406" s="44"/>
      <c r="LU406" s="44"/>
      <c r="LV406" s="44"/>
    </row>
    <row r="407" spans="1:334" x14ac:dyDescent="0.2">
      <c r="A407" s="1" t="s">
        <v>9029</v>
      </c>
      <c r="B407" s="1" t="s">
        <v>8980</v>
      </c>
      <c r="D407" s="1" t="s">
        <v>8946</v>
      </c>
      <c r="E407" s="1" t="s">
        <v>7</v>
      </c>
      <c r="F407" s="1" t="s">
        <v>8187</v>
      </c>
      <c r="G407" s="1" t="s">
        <v>8947</v>
      </c>
      <c r="H407" s="1" t="s">
        <v>9030</v>
      </c>
      <c r="J407" s="1" t="s">
        <v>8953</v>
      </c>
      <c r="K407" s="1">
        <v>2014</v>
      </c>
      <c r="L407" s="1" t="s">
        <v>8950</v>
      </c>
      <c r="M407" s="1" t="s">
        <v>7659</v>
      </c>
      <c r="N407" s="17" t="s">
        <v>7945</v>
      </c>
      <c r="O407" s="33"/>
      <c r="P407" s="33"/>
      <c r="Q407" s="33"/>
      <c r="R407" s="33"/>
      <c r="S407" s="33">
        <v>7.6</v>
      </c>
      <c r="T407" s="33"/>
      <c r="U407" s="33"/>
      <c r="V407" s="33"/>
      <c r="W407" s="33"/>
      <c r="X407" s="33"/>
      <c r="Y407" s="33"/>
      <c r="Z407" s="33">
        <v>19.357800000000001</v>
      </c>
      <c r="AA407" s="33"/>
      <c r="AB407" s="33"/>
      <c r="AC407" s="33">
        <v>1.1272800000000001</v>
      </c>
      <c r="AD407" s="33"/>
      <c r="AE407" s="33"/>
      <c r="AF407" s="33"/>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33"/>
      <c r="BC407" s="33"/>
      <c r="BD407" s="33"/>
      <c r="BE407" s="33"/>
      <c r="BF407" s="33"/>
      <c r="BG407" s="33"/>
      <c r="BH407" s="33"/>
      <c r="BI407" s="33"/>
      <c r="BJ407" s="33"/>
      <c r="BK407" s="33"/>
      <c r="BL407" s="33"/>
      <c r="BM407" s="33"/>
      <c r="BN407" s="33"/>
      <c r="BO407" s="33"/>
      <c r="BP407" s="33"/>
      <c r="BQ407" s="33">
        <v>2.8736400000000004</v>
      </c>
      <c r="BR407" s="33"/>
      <c r="BS407" s="33"/>
      <c r="BT407" s="33"/>
      <c r="BU407" s="33"/>
      <c r="BV407" s="33"/>
      <c r="BW407" s="33"/>
      <c r="BX407" s="33"/>
      <c r="BY407" s="33"/>
      <c r="BZ407" s="33"/>
      <c r="CA407" s="33"/>
      <c r="CB407" s="33"/>
      <c r="CC407" s="33"/>
      <c r="CD407" s="33"/>
      <c r="CE407" s="33"/>
      <c r="CF407" s="33"/>
      <c r="CG407" s="33"/>
      <c r="CH407" s="33"/>
      <c r="CI407" s="33"/>
      <c r="CJ407" s="33"/>
      <c r="CK407" s="33"/>
      <c r="CL407" s="33"/>
      <c r="CM407" s="33"/>
      <c r="CN407" s="33"/>
      <c r="CO407" s="33"/>
      <c r="CP407" s="33">
        <v>286.44000000000005</v>
      </c>
      <c r="CQ407" s="33"/>
      <c r="CR407" s="33">
        <v>0.76969200000000004</v>
      </c>
      <c r="CS407" s="33">
        <v>6.3534240000000013</v>
      </c>
      <c r="CT407" s="33"/>
      <c r="CU407" s="33"/>
      <c r="CV407" s="33">
        <v>157.08000000000001</v>
      </c>
      <c r="CW407" s="33">
        <v>1.4747040000000002</v>
      </c>
      <c r="CX407" s="33"/>
      <c r="CY407" s="33">
        <v>545.16</v>
      </c>
      <c r="CZ407" s="33"/>
      <c r="DA407" s="33">
        <v>3.6849119999999997</v>
      </c>
      <c r="DB407" s="33"/>
      <c r="DC407" s="33"/>
      <c r="DD407" s="33"/>
      <c r="DE407" s="33"/>
      <c r="DF407" s="33"/>
      <c r="DG407" s="33"/>
      <c r="DH407" s="33"/>
      <c r="DI407" s="33"/>
      <c r="DJ407" s="33"/>
      <c r="DK407" s="33"/>
      <c r="DL407" s="33"/>
      <c r="DM407" s="33"/>
      <c r="DN407" s="33"/>
      <c r="DO407" s="33"/>
      <c r="DP407" s="33"/>
      <c r="DQ407" s="33"/>
      <c r="DR407" s="33"/>
      <c r="DS407" s="33"/>
      <c r="DT407" s="33"/>
      <c r="DU407" s="33"/>
      <c r="DV407" s="33"/>
      <c r="DW407" s="33"/>
      <c r="DX407" s="33"/>
      <c r="DY407" s="33"/>
      <c r="DZ407" s="33"/>
      <c r="EA407" s="33"/>
      <c r="EB407" s="33"/>
      <c r="EC407" s="33"/>
      <c r="ED407" s="33"/>
      <c r="EE407" s="33"/>
      <c r="EF407" s="33"/>
      <c r="EG407" s="33"/>
      <c r="EH407" s="33"/>
      <c r="EI407" s="33"/>
      <c r="EJ407" s="33"/>
      <c r="EK407" s="33"/>
      <c r="EL407" s="33"/>
      <c r="EM407" s="33"/>
      <c r="EN407" s="33"/>
      <c r="EO407" s="33"/>
      <c r="EP407" s="33"/>
      <c r="EQ407" s="33"/>
      <c r="ER407" s="33"/>
      <c r="ES407" s="33"/>
      <c r="ET407" s="33"/>
      <c r="EU407" s="33"/>
      <c r="EV407" s="33"/>
      <c r="EW407" s="33"/>
      <c r="EX407" s="33"/>
      <c r="EY407" s="33"/>
      <c r="EZ407" s="33"/>
      <c r="FA407" s="33"/>
      <c r="FB407" s="33"/>
      <c r="FC407" s="33"/>
      <c r="FD407" s="33"/>
      <c r="FE407" s="33"/>
      <c r="FF407" s="33"/>
      <c r="FG407" s="33"/>
      <c r="FH407" s="33"/>
      <c r="FI407" s="33"/>
      <c r="FJ407" s="33"/>
      <c r="FK407" s="33"/>
      <c r="FL407" s="33"/>
      <c r="FM407" s="33"/>
      <c r="FN407" s="33"/>
      <c r="FO407" s="33"/>
      <c r="FP407" s="33"/>
      <c r="FQ407" s="33"/>
      <c r="FR407" s="33"/>
      <c r="FS407" s="33"/>
      <c r="FT407" s="33"/>
      <c r="FU407" s="33"/>
      <c r="FV407" s="33"/>
      <c r="FW407" s="33"/>
      <c r="FX407" s="33"/>
      <c r="FY407" s="33"/>
      <c r="FZ407" s="33"/>
      <c r="GA407" s="33"/>
      <c r="GB407" s="33"/>
      <c r="GC407" s="33"/>
      <c r="GD407" s="33"/>
      <c r="GE407" s="33"/>
      <c r="GF407" s="33"/>
      <c r="GG407" s="33"/>
      <c r="GH407" s="33"/>
      <c r="GI407" s="33"/>
      <c r="GJ407" s="33"/>
      <c r="GK407" s="33"/>
      <c r="GL407" s="33"/>
      <c r="GM407" s="33"/>
      <c r="GN407" s="33"/>
      <c r="GO407" s="33"/>
      <c r="GP407" s="33"/>
      <c r="GQ407" s="33"/>
      <c r="GR407" s="33"/>
      <c r="GS407" s="33"/>
      <c r="GT407" s="33"/>
      <c r="GU407" s="33"/>
      <c r="GV407" s="33"/>
      <c r="GW407" s="33"/>
      <c r="GX407" s="33"/>
      <c r="GY407" s="33"/>
      <c r="GZ407" s="33"/>
      <c r="HA407" s="33"/>
      <c r="HB407" s="33"/>
      <c r="HC407" s="33"/>
      <c r="HD407" s="33"/>
      <c r="HE407" s="33"/>
      <c r="HF407" s="33"/>
      <c r="HG407" s="33"/>
      <c r="HH407" s="33"/>
      <c r="HI407" s="33"/>
      <c r="HJ407" s="33"/>
      <c r="HK407" s="33"/>
      <c r="HL407" s="33"/>
      <c r="HM407" s="33"/>
      <c r="HN407" s="33"/>
      <c r="HO407" s="33"/>
      <c r="HP407" s="33"/>
      <c r="HQ407" s="33"/>
      <c r="HR407" s="33"/>
      <c r="HS407" s="33"/>
      <c r="HT407" s="33"/>
      <c r="HU407" s="33"/>
      <c r="HV407" s="33"/>
      <c r="HW407" s="33"/>
      <c r="HX407" s="33"/>
      <c r="HY407" s="33"/>
      <c r="HZ407" s="33"/>
      <c r="IA407" s="33"/>
      <c r="IB407" s="33"/>
      <c r="IC407" s="33"/>
      <c r="ID407" s="33"/>
      <c r="IE407" s="33"/>
      <c r="IF407" s="33"/>
      <c r="IG407" s="33"/>
      <c r="IH407" s="33"/>
      <c r="II407" s="33"/>
      <c r="IJ407" s="33"/>
      <c r="IK407" s="33"/>
      <c r="IL407" s="33"/>
      <c r="IM407" s="33"/>
      <c r="IN407" s="33"/>
      <c r="IO407" s="33"/>
      <c r="IP407" s="33"/>
      <c r="IQ407" s="33"/>
      <c r="IR407" s="33"/>
      <c r="IS407" s="33"/>
      <c r="IT407" s="33"/>
      <c r="IU407" s="33"/>
      <c r="IV407" s="33"/>
      <c r="IW407" s="33"/>
      <c r="IX407" s="33"/>
      <c r="IY407" s="33"/>
      <c r="IZ407" s="33"/>
      <c r="JA407" s="33"/>
      <c r="JB407" s="33"/>
      <c r="JC407" s="33"/>
      <c r="JD407" s="33"/>
      <c r="JE407" s="33"/>
      <c r="JF407" s="33"/>
      <c r="JG407" s="33"/>
      <c r="JH407" s="33"/>
      <c r="JI407" s="33"/>
      <c r="JJ407" s="33"/>
      <c r="JK407" s="33"/>
      <c r="JL407" s="33"/>
      <c r="JM407" s="33"/>
      <c r="JN407" s="33"/>
      <c r="JO407" s="33"/>
      <c r="JP407" s="33"/>
      <c r="JQ407" s="33"/>
      <c r="JR407" s="33"/>
      <c r="KZ407" s="33"/>
      <c r="LA407" s="33"/>
      <c r="LB407" s="33"/>
      <c r="LC407" s="33"/>
      <c r="LD407" s="33"/>
      <c r="LE407" s="33"/>
      <c r="LF407" s="33"/>
      <c r="LG407" s="33"/>
      <c r="LH407" s="33"/>
      <c r="LI407" s="33"/>
      <c r="LJ407" s="33"/>
      <c r="LK407" s="33"/>
      <c r="LL407" s="33"/>
      <c r="LM407" s="33"/>
      <c r="LN407" s="33"/>
      <c r="LO407" s="33"/>
      <c r="LP407" s="44"/>
      <c r="LQ407" s="44"/>
      <c r="LR407" s="44"/>
      <c r="LS407" s="44"/>
      <c r="LT407" s="44"/>
      <c r="LU407" s="44"/>
      <c r="LV407" s="44"/>
    </row>
    <row r="408" spans="1:334" x14ac:dyDescent="0.2">
      <c r="A408" s="1" t="s">
        <v>9031</v>
      </c>
      <c r="B408" s="1" t="s">
        <v>9000</v>
      </c>
      <c r="D408" s="1" t="s">
        <v>8946</v>
      </c>
      <c r="E408" s="1" t="s">
        <v>7</v>
      </c>
      <c r="F408" s="1" t="s">
        <v>8187</v>
      </c>
      <c r="G408" s="1" t="s">
        <v>8947</v>
      </c>
      <c r="H408" s="1" t="s">
        <v>9032</v>
      </c>
      <c r="J408" s="1" t="s">
        <v>8953</v>
      </c>
      <c r="K408" s="1">
        <v>2014</v>
      </c>
      <c r="L408" s="1" t="s">
        <v>8950</v>
      </c>
      <c r="M408" s="1" t="s">
        <v>7659</v>
      </c>
      <c r="N408" s="17" t="s">
        <v>7945</v>
      </c>
      <c r="O408" s="33"/>
      <c r="P408" s="33"/>
      <c r="Q408" s="33"/>
      <c r="R408" s="33"/>
      <c r="S408" s="33">
        <v>9.1999999999999993</v>
      </c>
      <c r="T408" s="33"/>
      <c r="U408" s="33"/>
      <c r="V408" s="33"/>
      <c r="W408" s="33"/>
      <c r="X408" s="33"/>
      <c r="Y408" s="33"/>
      <c r="Z408" s="33">
        <v>18.178159999999998</v>
      </c>
      <c r="AA408" s="33"/>
      <c r="AB408" s="33"/>
      <c r="AC408" s="33">
        <v>0.74455999999999989</v>
      </c>
      <c r="AD408" s="33"/>
      <c r="AE408" s="33"/>
      <c r="AF408" s="33"/>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v>2.8420399999999999</v>
      </c>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c r="CN408" s="33"/>
      <c r="CO408" s="33"/>
      <c r="CP408" s="33">
        <v>245.16000000000003</v>
      </c>
      <c r="CQ408" s="33"/>
      <c r="CR408" s="33">
        <v>1.1231959999999999</v>
      </c>
      <c r="CS408" s="33">
        <v>4.7987799999999998</v>
      </c>
      <c r="CT408" s="33"/>
      <c r="CU408" s="33"/>
      <c r="CV408" s="33">
        <v>163.43999999999997</v>
      </c>
      <c r="CW408" s="33">
        <v>1.267568</v>
      </c>
      <c r="CX408" s="33"/>
      <c r="CY408" s="33">
        <v>526.64</v>
      </c>
      <c r="CZ408" s="33"/>
      <c r="DA408" s="33">
        <v>3.0109279999999994</v>
      </c>
      <c r="DB408" s="33"/>
      <c r="DC408" s="33"/>
      <c r="DD408" s="33"/>
      <c r="DE408" s="33"/>
      <c r="DF408" s="33"/>
      <c r="DG408" s="33"/>
      <c r="DH408" s="33"/>
      <c r="DI408" s="33"/>
      <c r="DJ408" s="33"/>
      <c r="DK408" s="33"/>
      <c r="DL408" s="33"/>
      <c r="DM408" s="33"/>
      <c r="DN408" s="33"/>
      <c r="DO408" s="33"/>
      <c r="DP408" s="33"/>
      <c r="DQ408" s="33"/>
      <c r="DR408" s="33"/>
      <c r="DS408" s="33"/>
      <c r="DT408" s="33"/>
      <c r="DU408" s="33"/>
      <c r="DV408" s="33"/>
      <c r="DW408" s="33"/>
      <c r="DX408" s="33"/>
      <c r="DY408" s="33"/>
      <c r="DZ408" s="33"/>
      <c r="EA408" s="33"/>
      <c r="EB408" s="33"/>
      <c r="EC408" s="33"/>
      <c r="ED408" s="33"/>
      <c r="EE408" s="33"/>
      <c r="EF408" s="33"/>
      <c r="EG408" s="33"/>
      <c r="EH408" s="33"/>
      <c r="EI408" s="33"/>
      <c r="EJ408" s="33"/>
      <c r="EK408" s="33"/>
      <c r="EL408" s="33"/>
      <c r="EM408" s="33"/>
      <c r="EN408" s="33"/>
      <c r="EO408" s="33"/>
      <c r="EP408" s="33"/>
      <c r="EQ408" s="33"/>
      <c r="ER408" s="33"/>
      <c r="ES408" s="33"/>
      <c r="ET408" s="33"/>
      <c r="EU408" s="33"/>
      <c r="EV408" s="33"/>
      <c r="EW408" s="33"/>
      <c r="EX408" s="33"/>
      <c r="EY408" s="33"/>
      <c r="EZ408" s="33"/>
      <c r="FA408" s="33"/>
      <c r="FB408" s="33"/>
      <c r="FC408" s="33"/>
      <c r="FD408" s="33"/>
      <c r="FE408" s="33"/>
      <c r="FF408" s="33"/>
      <c r="FG408" s="33"/>
      <c r="FH408" s="33"/>
      <c r="FI408" s="33"/>
      <c r="FJ408" s="33"/>
      <c r="FK408" s="33"/>
      <c r="FL408" s="33"/>
      <c r="FM408" s="33"/>
      <c r="FN408" s="33"/>
      <c r="FO408" s="33"/>
      <c r="FP408" s="33"/>
      <c r="FQ408" s="33"/>
      <c r="FR408" s="33"/>
      <c r="FS408" s="33"/>
      <c r="FT408" s="33"/>
      <c r="FU408" s="33"/>
      <c r="FV408" s="33"/>
      <c r="FW408" s="33"/>
      <c r="FX408" s="33"/>
      <c r="FY408" s="33"/>
      <c r="FZ408" s="33"/>
      <c r="GA408" s="33"/>
      <c r="GB408" s="33"/>
      <c r="GC408" s="33"/>
      <c r="GD408" s="33"/>
      <c r="GE408" s="33"/>
      <c r="GF408" s="33"/>
      <c r="GG408" s="33"/>
      <c r="GH408" s="33"/>
      <c r="GI408" s="33"/>
      <c r="GJ408" s="33"/>
      <c r="GK408" s="33"/>
      <c r="GL408" s="33"/>
      <c r="GM408" s="33"/>
      <c r="GN408" s="33"/>
      <c r="GO408" s="33"/>
      <c r="GP408" s="33"/>
      <c r="GQ408" s="33"/>
      <c r="GR408" s="33"/>
      <c r="GS408" s="33"/>
      <c r="GT408" s="33"/>
      <c r="GU408" s="33"/>
      <c r="GV408" s="33"/>
      <c r="GW408" s="33"/>
      <c r="GX408" s="33"/>
      <c r="GY408" s="33"/>
      <c r="GZ408" s="33"/>
      <c r="HA408" s="33"/>
      <c r="HB408" s="33"/>
      <c r="HC408" s="33"/>
      <c r="HD408" s="33"/>
      <c r="HE408" s="33"/>
      <c r="HF408" s="33"/>
      <c r="HG408" s="33"/>
      <c r="HH408" s="33"/>
      <c r="HI408" s="33"/>
      <c r="HJ408" s="33"/>
      <c r="HK408" s="33"/>
      <c r="HL408" s="33"/>
      <c r="HM408" s="33"/>
      <c r="HN408" s="33"/>
      <c r="HO408" s="33"/>
      <c r="HP408" s="33"/>
      <c r="HQ408" s="33"/>
      <c r="HR408" s="33"/>
      <c r="HS408" s="33"/>
      <c r="HT408" s="33"/>
      <c r="HU408" s="33"/>
      <c r="HV408" s="33"/>
      <c r="HW408" s="33"/>
      <c r="HX408" s="33"/>
      <c r="HY408" s="33"/>
      <c r="HZ408" s="33"/>
      <c r="IA408" s="33"/>
      <c r="IB408" s="33"/>
      <c r="IC408" s="33"/>
      <c r="ID408" s="33"/>
      <c r="IE408" s="33"/>
      <c r="IF408" s="33"/>
      <c r="IG408" s="33"/>
      <c r="IH408" s="33"/>
      <c r="II408" s="33"/>
      <c r="IJ408" s="33"/>
      <c r="IK408" s="33"/>
      <c r="IL408" s="33"/>
      <c r="IM408" s="33"/>
      <c r="IN408" s="33"/>
      <c r="IO408" s="33"/>
      <c r="IP408" s="33"/>
      <c r="IQ408" s="33"/>
      <c r="IR408" s="33"/>
      <c r="IS408" s="33"/>
      <c r="IT408" s="33"/>
      <c r="IU408" s="33"/>
      <c r="IV408" s="33"/>
      <c r="IW408" s="33"/>
      <c r="IX408" s="33"/>
      <c r="IY408" s="33"/>
      <c r="IZ408" s="33"/>
      <c r="JA408" s="33"/>
      <c r="JB408" s="33"/>
      <c r="JC408" s="33"/>
      <c r="JD408" s="33"/>
      <c r="JE408" s="33"/>
      <c r="JF408" s="33"/>
      <c r="JG408" s="33"/>
      <c r="JH408" s="33"/>
      <c r="JI408" s="33"/>
      <c r="JJ408" s="33"/>
      <c r="JK408" s="33"/>
      <c r="JL408" s="33"/>
      <c r="JM408" s="33"/>
      <c r="JN408" s="33"/>
      <c r="JO408" s="33"/>
      <c r="JP408" s="33"/>
      <c r="JQ408" s="33"/>
      <c r="JR408" s="33"/>
      <c r="KZ408" s="33"/>
      <c r="LA408" s="33"/>
      <c r="LB408" s="33"/>
      <c r="LC408" s="33"/>
      <c r="LD408" s="33"/>
      <c r="LE408" s="33"/>
      <c r="LF408" s="33"/>
      <c r="LG408" s="33"/>
      <c r="LH408" s="33"/>
      <c r="LI408" s="33"/>
      <c r="LJ408" s="33"/>
      <c r="LK408" s="33"/>
      <c r="LL408" s="33"/>
      <c r="LM408" s="33"/>
      <c r="LN408" s="33"/>
      <c r="LO408" s="33"/>
      <c r="LP408" s="44"/>
      <c r="LQ408" s="44"/>
      <c r="LR408" s="44"/>
      <c r="LS408" s="44"/>
      <c r="LT408" s="44"/>
      <c r="LU408" s="44"/>
      <c r="LV408" s="44"/>
    </row>
    <row r="409" spans="1:334" x14ac:dyDescent="0.2">
      <c r="A409" s="1" t="s">
        <v>9033</v>
      </c>
      <c r="B409" s="1" t="s">
        <v>9034</v>
      </c>
      <c r="D409" s="1" t="s">
        <v>8946</v>
      </c>
      <c r="E409" s="1" t="s">
        <v>7</v>
      </c>
      <c r="F409" s="1" t="s">
        <v>8187</v>
      </c>
      <c r="G409" s="1" t="s">
        <v>8947</v>
      </c>
      <c r="H409" s="1" t="s">
        <v>9035</v>
      </c>
      <c r="J409" s="1" t="s">
        <v>8953</v>
      </c>
      <c r="K409" s="1">
        <v>2014</v>
      </c>
      <c r="L409" s="1" t="s">
        <v>8950</v>
      </c>
      <c r="M409" s="1" t="s">
        <v>7659</v>
      </c>
      <c r="N409" s="17" t="s">
        <v>7945</v>
      </c>
      <c r="O409" s="33"/>
      <c r="P409" s="33"/>
      <c r="Q409" s="33"/>
      <c r="R409" s="33"/>
      <c r="S409" s="33">
        <v>8.1999999999999993</v>
      </c>
      <c r="T409" s="33"/>
      <c r="U409" s="33"/>
      <c r="V409" s="33"/>
      <c r="W409" s="33"/>
      <c r="X409" s="33"/>
      <c r="Y409" s="33"/>
      <c r="Z409" s="33">
        <v>19.323900000000002</v>
      </c>
      <c r="AA409" s="33"/>
      <c r="AB409" s="33"/>
      <c r="AC409" s="33">
        <v>1.0648799999999998</v>
      </c>
      <c r="AD409" s="33"/>
      <c r="AE409" s="33"/>
      <c r="AF409" s="33"/>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v>2.8549799999999999</v>
      </c>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c r="CN409" s="33"/>
      <c r="CO409" s="33"/>
      <c r="CP409" s="33">
        <v>192.77999999999997</v>
      </c>
      <c r="CQ409" s="33"/>
      <c r="CR409" s="33">
        <v>0.48194999999999999</v>
      </c>
      <c r="CS409" s="33">
        <v>7.5321899999999999</v>
      </c>
      <c r="CT409" s="33"/>
      <c r="CU409" s="33"/>
      <c r="CV409" s="33">
        <v>183.6</v>
      </c>
      <c r="CW409" s="33">
        <v>1.2861179999999999</v>
      </c>
      <c r="CX409" s="33"/>
      <c r="CY409" s="33">
        <v>569.16</v>
      </c>
      <c r="CZ409" s="33"/>
      <c r="DA409" s="33">
        <v>3.8482560000000001</v>
      </c>
      <c r="DB409" s="33"/>
      <c r="DC409" s="33"/>
      <c r="DD409" s="33"/>
      <c r="DE409" s="33"/>
      <c r="DF409" s="33"/>
      <c r="DG409" s="33"/>
      <c r="DH409" s="33"/>
      <c r="DI409" s="33"/>
      <c r="DJ409" s="33"/>
      <c r="DK409" s="33"/>
      <c r="DL409" s="33"/>
      <c r="DM409" s="33"/>
      <c r="DN409" s="33"/>
      <c r="DO409" s="33"/>
      <c r="DP409" s="33"/>
      <c r="DQ409" s="33"/>
      <c r="DR409" s="33"/>
      <c r="DS409" s="33"/>
      <c r="DT409" s="33"/>
      <c r="DU409" s="33"/>
      <c r="DV409" s="33"/>
      <c r="DW409" s="33"/>
      <c r="DX409" s="33"/>
      <c r="DY409" s="33"/>
      <c r="DZ409" s="33"/>
      <c r="EA409" s="33"/>
      <c r="EB409" s="33"/>
      <c r="EC409" s="33"/>
      <c r="ED409" s="33"/>
      <c r="EE409" s="33"/>
      <c r="EF409" s="33"/>
      <c r="EG409" s="33"/>
      <c r="EH409" s="33"/>
      <c r="EI409" s="33"/>
      <c r="EJ409" s="33"/>
      <c r="EK409" s="33"/>
      <c r="EL409" s="33"/>
      <c r="EM409" s="33"/>
      <c r="EN409" s="33"/>
      <c r="EO409" s="33"/>
      <c r="EP409" s="33"/>
      <c r="EQ409" s="33"/>
      <c r="ER409" s="33"/>
      <c r="ES409" s="33"/>
      <c r="ET409" s="33"/>
      <c r="EU409" s="33"/>
      <c r="EV409" s="33"/>
      <c r="EW409" s="33"/>
      <c r="EX409" s="33"/>
      <c r="EY409" s="33"/>
      <c r="EZ409" s="33"/>
      <c r="FA409" s="33"/>
      <c r="FB409" s="33"/>
      <c r="FC409" s="33"/>
      <c r="FD409" s="33"/>
      <c r="FE409" s="33"/>
      <c r="FF409" s="33"/>
      <c r="FG409" s="33"/>
      <c r="FH409" s="33"/>
      <c r="FI409" s="33"/>
      <c r="FJ409" s="33"/>
      <c r="FK409" s="33"/>
      <c r="FL409" s="33"/>
      <c r="FM409" s="33"/>
      <c r="FN409" s="33"/>
      <c r="FO409" s="33"/>
      <c r="FP409" s="33"/>
      <c r="FQ409" s="33"/>
      <c r="FR409" s="33"/>
      <c r="FS409" s="33"/>
      <c r="FT409" s="33"/>
      <c r="FU409" s="33"/>
      <c r="FV409" s="33"/>
      <c r="FW409" s="33"/>
      <c r="FX409" s="33"/>
      <c r="FY409" s="33"/>
      <c r="FZ409" s="33"/>
      <c r="GA409" s="33"/>
      <c r="GB409" s="33"/>
      <c r="GC409" s="33"/>
      <c r="GD409" s="33"/>
      <c r="GE409" s="33"/>
      <c r="GF409" s="33"/>
      <c r="GG409" s="33"/>
      <c r="GH409" s="33"/>
      <c r="GI409" s="33"/>
      <c r="GJ409" s="33"/>
      <c r="GK409" s="33"/>
      <c r="GL409" s="33"/>
      <c r="GM409" s="33"/>
      <c r="GN409" s="33"/>
      <c r="GO409" s="33"/>
      <c r="GP409" s="33"/>
      <c r="GQ409" s="33"/>
      <c r="GR409" s="33"/>
      <c r="GS409" s="33"/>
      <c r="GT409" s="33"/>
      <c r="GU409" s="33"/>
      <c r="GV409" s="33"/>
      <c r="GW409" s="33"/>
      <c r="GX409" s="33"/>
      <c r="GY409" s="33"/>
      <c r="GZ409" s="33"/>
      <c r="HA409" s="33"/>
      <c r="HB409" s="33"/>
      <c r="HC409" s="33"/>
      <c r="HD409" s="33"/>
      <c r="HE409" s="33"/>
      <c r="HF409" s="33"/>
      <c r="HG409" s="33"/>
      <c r="HH409" s="33"/>
      <c r="HI409" s="33"/>
      <c r="HJ409" s="33"/>
      <c r="HK409" s="33"/>
      <c r="HL409" s="33"/>
      <c r="HM409" s="33"/>
      <c r="HN409" s="33"/>
      <c r="HO409" s="33"/>
      <c r="HP409" s="33"/>
      <c r="HQ409" s="33"/>
      <c r="HR409" s="33"/>
      <c r="HS409" s="33"/>
      <c r="HT409" s="33"/>
      <c r="HU409" s="33"/>
      <c r="HV409" s="33"/>
      <c r="HW409" s="33"/>
      <c r="HX409" s="33"/>
      <c r="HY409" s="33"/>
      <c r="HZ409" s="33"/>
      <c r="IA409" s="33"/>
      <c r="IB409" s="33"/>
      <c r="IC409" s="33"/>
      <c r="ID409" s="33"/>
      <c r="IE409" s="33"/>
      <c r="IF409" s="33"/>
      <c r="IG409" s="33"/>
      <c r="IH409" s="33"/>
      <c r="II409" s="33"/>
      <c r="IJ409" s="33"/>
      <c r="IK409" s="33"/>
      <c r="IL409" s="33"/>
      <c r="IM409" s="33"/>
      <c r="IN409" s="33"/>
      <c r="IO409" s="33"/>
      <c r="IP409" s="33"/>
      <c r="IQ409" s="33"/>
      <c r="IR409" s="33"/>
      <c r="IS409" s="33"/>
      <c r="IT409" s="33"/>
      <c r="IU409" s="33"/>
      <c r="IV409" s="33"/>
      <c r="IW409" s="33"/>
      <c r="IX409" s="33"/>
      <c r="IY409" s="33"/>
      <c r="IZ409" s="33"/>
      <c r="JA409" s="33"/>
      <c r="JB409" s="33"/>
      <c r="JC409" s="33"/>
      <c r="JD409" s="33"/>
      <c r="JE409" s="33"/>
      <c r="JF409" s="33"/>
      <c r="JG409" s="33"/>
      <c r="JH409" s="33"/>
      <c r="JI409" s="33"/>
      <c r="JJ409" s="33"/>
      <c r="JK409" s="33"/>
      <c r="JL409" s="33"/>
      <c r="JM409" s="33"/>
      <c r="JN409" s="33"/>
      <c r="JO409" s="33"/>
      <c r="JP409" s="33"/>
      <c r="JQ409" s="33"/>
      <c r="JR409" s="33"/>
      <c r="KZ409" s="33"/>
      <c r="LA409" s="33"/>
      <c r="LB409" s="33"/>
      <c r="LC409" s="33"/>
      <c r="LD409" s="33"/>
      <c r="LE409" s="33"/>
      <c r="LF409" s="33"/>
      <c r="LG409" s="33"/>
      <c r="LH409" s="33"/>
      <c r="LI409" s="33"/>
      <c r="LJ409" s="33"/>
      <c r="LK409" s="33"/>
      <c r="LL409" s="33"/>
      <c r="LM409" s="33"/>
      <c r="LN409" s="33"/>
      <c r="LO409" s="33"/>
      <c r="LP409" s="44"/>
      <c r="LQ409" s="44"/>
      <c r="LR409" s="44"/>
      <c r="LS409" s="44"/>
      <c r="LT409" s="44"/>
      <c r="LU409" s="44"/>
      <c r="LV409" s="44"/>
    </row>
    <row r="410" spans="1:334" x14ac:dyDescent="0.2">
      <c r="A410" s="1" t="s">
        <v>9036</v>
      </c>
      <c r="B410" s="1" t="s">
        <v>9037</v>
      </c>
      <c r="D410" s="1" t="s">
        <v>8946</v>
      </c>
      <c r="E410" s="1" t="s">
        <v>7</v>
      </c>
      <c r="F410" s="1" t="s">
        <v>8187</v>
      </c>
      <c r="G410" s="1" t="s">
        <v>8947</v>
      </c>
      <c r="H410" s="1" t="s">
        <v>9038</v>
      </c>
      <c r="J410" s="1" t="s">
        <v>8953</v>
      </c>
      <c r="K410" s="1">
        <v>2014</v>
      </c>
      <c r="L410" s="1" t="s">
        <v>8950</v>
      </c>
      <c r="M410" s="1" t="s">
        <v>7659</v>
      </c>
      <c r="N410" s="17" t="s">
        <v>7945</v>
      </c>
      <c r="O410" s="33"/>
      <c r="P410" s="33"/>
      <c r="Q410" s="33"/>
      <c r="R410" s="33"/>
      <c r="S410" s="33">
        <v>7.1</v>
      </c>
      <c r="T410" s="33"/>
      <c r="U410" s="33"/>
      <c r="V410" s="33"/>
      <c r="W410" s="33"/>
      <c r="X410" s="33"/>
      <c r="Y410" s="33"/>
      <c r="Z410" s="33">
        <v>19.629770000000001</v>
      </c>
      <c r="AA410" s="33"/>
      <c r="AB410" s="33"/>
      <c r="AC410" s="33">
        <v>0.79894000000000009</v>
      </c>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v>2.82416</v>
      </c>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c r="CN410" s="33"/>
      <c r="CO410" s="33"/>
      <c r="CP410" s="33">
        <v>269.40999999999997</v>
      </c>
      <c r="CQ410" s="33"/>
      <c r="CR410" s="33">
        <v>0.88533700000000004</v>
      </c>
      <c r="CS410" s="33">
        <v>6.5327280000000005</v>
      </c>
      <c r="CT410" s="33"/>
      <c r="CU410" s="33"/>
      <c r="CV410" s="33">
        <v>157.93</v>
      </c>
      <c r="CW410" s="33">
        <v>1.3897840000000001</v>
      </c>
      <c r="CX410" s="33"/>
      <c r="CY410" s="33">
        <v>427.34</v>
      </c>
      <c r="CZ410" s="33"/>
      <c r="DA410" s="33">
        <v>2.6829520000000002</v>
      </c>
      <c r="DB410" s="33"/>
      <c r="DC410" s="33"/>
      <c r="DD410" s="33"/>
      <c r="DE410" s="33"/>
      <c r="DF410" s="33"/>
      <c r="DG410" s="33"/>
      <c r="DH410" s="33"/>
      <c r="DI410" s="33"/>
      <c r="DJ410" s="33"/>
      <c r="DK410" s="33"/>
      <c r="DL410" s="33"/>
      <c r="DM410" s="33"/>
      <c r="DN410" s="33"/>
      <c r="DO410" s="33"/>
      <c r="DP410" s="33"/>
      <c r="DQ410" s="33"/>
      <c r="DR410" s="33"/>
      <c r="DS410" s="33"/>
      <c r="DT410" s="33"/>
      <c r="DU410" s="33"/>
      <c r="DV410" s="33"/>
      <c r="DW410" s="33"/>
      <c r="DX410" s="33"/>
      <c r="DY410" s="33"/>
      <c r="DZ410" s="33"/>
      <c r="EA410" s="33"/>
      <c r="EB410" s="33"/>
      <c r="EC410" s="33"/>
      <c r="ED410" s="33"/>
      <c r="EE410" s="33"/>
      <c r="EF410" s="33"/>
      <c r="EG410" s="33"/>
      <c r="EH410" s="33"/>
      <c r="EI410" s="33"/>
      <c r="EJ410" s="33"/>
      <c r="EK410" s="33"/>
      <c r="EL410" s="33"/>
      <c r="EM410" s="33"/>
      <c r="EN410" s="33"/>
      <c r="EO410" s="33"/>
      <c r="EP410" s="33"/>
      <c r="EQ410" s="33"/>
      <c r="ER410" s="33"/>
      <c r="ES410" s="33"/>
      <c r="ET410" s="33"/>
      <c r="EU410" s="33"/>
      <c r="EV410" s="33"/>
      <c r="EW410" s="33"/>
      <c r="EX410" s="33"/>
      <c r="EY410" s="33"/>
      <c r="EZ410" s="33"/>
      <c r="FA410" s="33"/>
      <c r="FB410" s="33"/>
      <c r="FC410" s="33"/>
      <c r="FD410" s="33"/>
      <c r="FE410" s="33"/>
      <c r="FF410" s="33"/>
      <c r="FG410" s="33"/>
      <c r="FH410" s="33"/>
      <c r="FI410" s="33"/>
      <c r="FJ410" s="33"/>
      <c r="FK410" s="33"/>
      <c r="FL410" s="33"/>
      <c r="FM410" s="33"/>
      <c r="FN410" s="33"/>
      <c r="FO410" s="33"/>
      <c r="FP410" s="33"/>
      <c r="FQ410" s="33"/>
      <c r="FR410" s="33"/>
      <c r="FS410" s="33"/>
      <c r="FT410" s="33"/>
      <c r="FU410" s="33"/>
      <c r="FV410" s="33"/>
      <c r="FW410" s="33"/>
      <c r="FX410" s="33"/>
      <c r="FY410" s="33"/>
      <c r="FZ410" s="33"/>
      <c r="GA410" s="33"/>
      <c r="GB410" s="33"/>
      <c r="GC410" s="33"/>
      <c r="GD410" s="33"/>
      <c r="GE410" s="33"/>
      <c r="GF410" s="33"/>
      <c r="GG410" s="33"/>
      <c r="GH410" s="33"/>
      <c r="GI410" s="33"/>
      <c r="GJ410" s="33"/>
      <c r="GK410" s="33"/>
      <c r="GL410" s="33"/>
      <c r="GM410" s="33"/>
      <c r="GN410" s="33"/>
      <c r="GO410" s="33"/>
      <c r="GP410" s="33"/>
      <c r="GQ410" s="33"/>
      <c r="GR410" s="33"/>
      <c r="GS410" s="33"/>
      <c r="GT410" s="33"/>
      <c r="GU410" s="33"/>
      <c r="GV410" s="33"/>
      <c r="GW410" s="33"/>
      <c r="GX410" s="33"/>
      <c r="GY410" s="33"/>
      <c r="GZ410" s="33"/>
      <c r="HA410" s="33"/>
      <c r="HB410" s="33"/>
      <c r="HC410" s="33"/>
      <c r="HD410" s="33"/>
      <c r="HE410" s="33"/>
      <c r="HF410" s="33"/>
      <c r="HG410" s="33"/>
      <c r="HH410" s="33"/>
      <c r="HI410" s="33"/>
      <c r="HJ410" s="33"/>
      <c r="HK410" s="33"/>
      <c r="HL410" s="33"/>
      <c r="HM410" s="33"/>
      <c r="HN410" s="33"/>
      <c r="HO410" s="33"/>
      <c r="HP410" s="33"/>
      <c r="HQ410" s="33"/>
      <c r="HR410" s="33"/>
      <c r="HS410" s="33"/>
      <c r="HT410" s="33"/>
      <c r="HU410" s="33"/>
      <c r="HV410" s="33"/>
      <c r="HW410" s="33"/>
      <c r="HX410" s="33"/>
      <c r="HY410" s="33"/>
      <c r="HZ410" s="33"/>
      <c r="IA410" s="33"/>
      <c r="IB410" s="33"/>
      <c r="IC410" s="33"/>
      <c r="ID410" s="33"/>
      <c r="IE410" s="33"/>
      <c r="IF410" s="33"/>
      <c r="IG410" s="33"/>
      <c r="IH410" s="33"/>
      <c r="II410" s="33"/>
      <c r="IJ410" s="33"/>
      <c r="IK410" s="33"/>
      <c r="IL410" s="33"/>
      <c r="IM410" s="33"/>
      <c r="IN410" s="33"/>
      <c r="IO410" s="33"/>
      <c r="IP410" s="33"/>
      <c r="IQ410" s="33"/>
      <c r="IR410" s="33"/>
      <c r="IS410" s="33"/>
      <c r="IT410" s="33"/>
      <c r="IU410" s="33"/>
      <c r="IV410" s="33"/>
      <c r="IW410" s="33"/>
      <c r="IX410" s="33"/>
      <c r="IY410" s="33"/>
      <c r="IZ410" s="33"/>
      <c r="JA410" s="33"/>
      <c r="JB410" s="33"/>
      <c r="JC410" s="33"/>
      <c r="JD410" s="33"/>
      <c r="JE410" s="33"/>
      <c r="JF410" s="33"/>
      <c r="JG410" s="33"/>
      <c r="JH410" s="33"/>
      <c r="JI410" s="33"/>
      <c r="JJ410" s="33"/>
      <c r="JK410" s="33"/>
      <c r="JL410" s="33"/>
      <c r="JM410" s="33"/>
      <c r="JN410" s="33"/>
      <c r="JO410" s="33"/>
      <c r="JP410" s="33"/>
      <c r="JQ410" s="33"/>
      <c r="JR410" s="33"/>
      <c r="KZ410" s="33"/>
      <c r="LA410" s="33"/>
      <c r="LB410" s="33"/>
      <c r="LC410" s="33"/>
      <c r="LD410" s="33"/>
      <c r="LE410" s="33"/>
      <c r="LF410" s="33"/>
      <c r="LG410" s="33"/>
      <c r="LH410" s="33"/>
      <c r="LI410" s="33"/>
      <c r="LJ410" s="33"/>
      <c r="LK410" s="33"/>
      <c r="LL410" s="33"/>
      <c r="LM410" s="33"/>
      <c r="LN410" s="33"/>
      <c r="LO410" s="33"/>
      <c r="LP410" s="44"/>
      <c r="LQ410" s="44"/>
      <c r="LR410" s="44"/>
      <c r="LS410" s="44"/>
      <c r="LT410" s="44"/>
      <c r="LU410" s="44"/>
      <c r="LV410" s="44"/>
    </row>
    <row r="411" spans="1:334" x14ac:dyDescent="0.2">
      <c r="A411" s="1" t="s">
        <v>9039</v>
      </c>
      <c r="B411" s="1" t="s">
        <v>9000</v>
      </c>
      <c r="D411" s="1" t="s">
        <v>8946</v>
      </c>
      <c r="E411" s="1" t="s">
        <v>7</v>
      </c>
      <c r="F411" s="1" t="s">
        <v>8187</v>
      </c>
      <c r="G411" s="1" t="s">
        <v>8947</v>
      </c>
      <c r="H411" s="1" t="s">
        <v>9040</v>
      </c>
      <c r="J411" s="1" t="s">
        <v>8953</v>
      </c>
      <c r="K411" s="1">
        <v>2014</v>
      </c>
      <c r="L411" s="1" t="s">
        <v>8950</v>
      </c>
      <c r="M411" s="1" t="s">
        <v>7659</v>
      </c>
      <c r="N411" s="17" t="s">
        <v>7945</v>
      </c>
      <c r="O411" s="33"/>
      <c r="P411" s="33"/>
      <c r="Q411" s="33"/>
      <c r="R411" s="33"/>
      <c r="S411" s="33">
        <v>6.9</v>
      </c>
      <c r="T411" s="33"/>
      <c r="U411" s="33"/>
      <c r="V411" s="33"/>
      <c r="W411" s="33"/>
      <c r="X411" s="33"/>
      <c r="Y411" s="33"/>
      <c r="Z411" s="33">
        <v>20.882329999999996</v>
      </c>
      <c r="AA411" s="33"/>
      <c r="AB411" s="33"/>
      <c r="AC411" s="33">
        <v>1.0334100000000002</v>
      </c>
      <c r="AD411" s="33"/>
      <c r="AE411" s="33"/>
      <c r="AF411" s="33"/>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v>2.8581699999999994</v>
      </c>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c r="CN411" s="33"/>
      <c r="CO411" s="33"/>
      <c r="CP411" s="33">
        <v>381.70999999999992</v>
      </c>
      <c r="CQ411" s="33"/>
      <c r="CR411" s="33">
        <v>0.75504099999999996</v>
      </c>
      <c r="CS411" s="33">
        <v>6.1492549999999992</v>
      </c>
      <c r="CT411" s="33"/>
      <c r="CU411" s="33"/>
      <c r="CV411" s="33">
        <v>167.57999999999998</v>
      </c>
      <c r="CW411" s="33">
        <v>1.3043309999999999</v>
      </c>
      <c r="CX411" s="33"/>
      <c r="CY411" s="33">
        <v>335.15999999999997</v>
      </c>
      <c r="CZ411" s="33"/>
      <c r="DA411" s="33">
        <v>3.4661129999999991</v>
      </c>
      <c r="DB411" s="33"/>
      <c r="DC411" s="33"/>
      <c r="DD411" s="33"/>
      <c r="DE411" s="33"/>
      <c r="DF411" s="33"/>
      <c r="DG411" s="33"/>
      <c r="DH411" s="33"/>
      <c r="DI411" s="33"/>
      <c r="DJ411" s="33"/>
      <c r="DK411" s="33"/>
      <c r="DL411" s="33"/>
      <c r="DM411" s="33"/>
      <c r="DN411" s="33"/>
      <c r="DO411" s="33"/>
      <c r="DP411" s="33"/>
      <c r="DQ411" s="33"/>
      <c r="DR411" s="33"/>
      <c r="DS411" s="33"/>
      <c r="DT411" s="33"/>
      <c r="DU411" s="33"/>
      <c r="DV411" s="33"/>
      <c r="DW411" s="33"/>
      <c r="DX411" s="33"/>
      <c r="DY411" s="33"/>
      <c r="DZ411" s="33"/>
      <c r="EA411" s="33"/>
      <c r="EB411" s="33"/>
      <c r="EC411" s="33"/>
      <c r="ED411" s="33"/>
      <c r="EE411" s="33"/>
      <c r="EF411" s="33"/>
      <c r="EG411" s="33"/>
      <c r="EH411" s="33"/>
      <c r="EI411" s="33"/>
      <c r="EJ411" s="33"/>
      <c r="EK411" s="33"/>
      <c r="EL411" s="33"/>
      <c r="EM411" s="33"/>
      <c r="EN411" s="33"/>
      <c r="EO411" s="33"/>
      <c r="EP411" s="33"/>
      <c r="EQ411" s="33"/>
      <c r="ER411" s="33"/>
      <c r="ES411" s="33"/>
      <c r="ET411" s="33"/>
      <c r="EU411" s="33"/>
      <c r="EV411" s="33"/>
      <c r="EW411" s="33"/>
      <c r="EX411" s="33"/>
      <c r="EY411" s="33"/>
      <c r="EZ411" s="33"/>
      <c r="FA411" s="33"/>
      <c r="FB411" s="33"/>
      <c r="FC411" s="33"/>
      <c r="FD411" s="33"/>
      <c r="FE411" s="33"/>
      <c r="FF411" s="33"/>
      <c r="FG411" s="33"/>
      <c r="FH411" s="33"/>
      <c r="FI411" s="33"/>
      <c r="FJ411" s="33"/>
      <c r="FK411" s="33"/>
      <c r="FL411" s="33"/>
      <c r="FM411" s="33"/>
      <c r="FN411" s="33"/>
      <c r="FO411" s="33"/>
      <c r="FP411" s="33"/>
      <c r="FQ411" s="33"/>
      <c r="FR411" s="33"/>
      <c r="FS411" s="33"/>
      <c r="FT411" s="33"/>
      <c r="FU411" s="33"/>
      <c r="FV411" s="33"/>
      <c r="FW411" s="33"/>
      <c r="FX411" s="33"/>
      <c r="FY411" s="33"/>
      <c r="FZ411" s="33"/>
      <c r="GA411" s="33"/>
      <c r="GB411" s="33"/>
      <c r="GC411" s="33"/>
      <c r="GD411" s="33"/>
      <c r="GE411" s="33"/>
      <c r="GF411" s="33"/>
      <c r="GG411" s="33"/>
      <c r="GH411" s="33"/>
      <c r="GI411" s="33"/>
      <c r="GJ411" s="33"/>
      <c r="GK411" s="33"/>
      <c r="GL411" s="33"/>
      <c r="GM411" s="33"/>
      <c r="GN411" s="33"/>
      <c r="GO411" s="33"/>
      <c r="GP411" s="33"/>
      <c r="GQ411" s="33"/>
      <c r="GR411" s="33"/>
      <c r="GS411" s="33"/>
      <c r="GT411" s="33"/>
      <c r="GU411" s="33"/>
      <c r="GV411" s="33"/>
      <c r="GW411" s="33"/>
      <c r="GX411" s="33"/>
      <c r="GY411" s="33"/>
      <c r="GZ411" s="33"/>
      <c r="HA411" s="33"/>
      <c r="HB411" s="33"/>
      <c r="HC411" s="33"/>
      <c r="HD411" s="33"/>
      <c r="HE411" s="33"/>
      <c r="HF411" s="33"/>
      <c r="HG411" s="33"/>
      <c r="HH411" s="33"/>
      <c r="HI411" s="33"/>
      <c r="HJ411" s="33"/>
      <c r="HK411" s="33"/>
      <c r="HL411" s="33"/>
      <c r="HM411" s="33"/>
      <c r="HN411" s="33"/>
      <c r="HO411" s="33"/>
      <c r="HP411" s="33"/>
      <c r="HQ411" s="33"/>
      <c r="HR411" s="33"/>
      <c r="HS411" s="33"/>
      <c r="HT411" s="33"/>
      <c r="HU411" s="33"/>
      <c r="HV411" s="33"/>
      <c r="HW411" s="33"/>
      <c r="HX411" s="33"/>
      <c r="HY411" s="33"/>
      <c r="HZ411" s="33"/>
      <c r="IA411" s="33"/>
      <c r="IB411" s="33"/>
      <c r="IC411" s="33"/>
      <c r="ID411" s="33"/>
      <c r="IE411" s="33"/>
      <c r="IF411" s="33"/>
      <c r="IG411" s="33"/>
      <c r="IH411" s="33"/>
      <c r="II411" s="33"/>
      <c r="IJ411" s="33"/>
      <c r="IK411" s="33"/>
      <c r="IL411" s="33"/>
      <c r="IM411" s="33"/>
      <c r="IN411" s="33"/>
      <c r="IO411" s="33"/>
      <c r="IP411" s="33"/>
      <c r="IQ411" s="33"/>
      <c r="IR411" s="33"/>
      <c r="IS411" s="33"/>
      <c r="IT411" s="33"/>
      <c r="IU411" s="33"/>
      <c r="IV411" s="33"/>
      <c r="IW411" s="33"/>
      <c r="IX411" s="33"/>
      <c r="IY411" s="33"/>
      <c r="IZ411" s="33"/>
      <c r="JA411" s="33"/>
      <c r="JB411" s="33"/>
      <c r="JC411" s="33"/>
      <c r="JD411" s="33"/>
      <c r="JE411" s="33"/>
      <c r="JF411" s="33"/>
      <c r="JG411" s="33"/>
      <c r="JH411" s="33"/>
      <c r="JI411" s="33"/>
      <c r="JJ411" s="33"/>
      <c r="JK411" s="33"/>
      <c r="JL411" s="33"/>
      <c r="JM411" s="33"/>
      <c r="JN411" s="33"/>
      <c r="JO411" s="33"/>
      <c r="JP411" s="33"/>
      <c r="JQ411" s="33"/>
      <c r="JR411" s="33"/>
      <c r="KZ411" s="33"/>
      <c r="LA411" s="33"/>
      <c r="LB411" s="33"/>
      <c r="LC411" s="33"/>
      <c r="LD411" s="33"/>
      <c r="LE411" s="33"/>
      <c r="LF411" s="33"/>
      <c r="LG411" s="33"/>
      <c r="LH411" s="33"/>
      <c r="LI411" s="33"/>
      <c r="LJ411" s="33"/>
      <c r="LK411" s="33"/>
      <c r="LL411" s="33"/>
      <c r="LM411" s="33"/>
      <c r="LN411" s="33"/>
      <c r="LO411" s="33"/>
      <c r="LP411" s="44"/>
      <c r="LQ411" s="44"/>
      <c r="LR411" s="44"/>
      <c r="LS411" s="44"/>
      <c r="LT411" s="44"/>
      <c r="LU411" s="44"/>
      <c r="LV411" s="44"/>
    </row>
    <row r="412" spans="1:334" x14ac:dyDescent="0.2">
      <c r="A412" s="1" t="s">
        <v>9041</v>
      </c>
      <c r="B412" s="1" t="s">
        <v>9042</v>
      </c>
      <c r="D412" s="1" t="s">
        <v>8946</v>
      </c>
      <c r="E412" s="1" t="s">
        <v>7</v>
      </c>
      <c r="F412" s="1" t="s">
        <v>8187</v>
      </c>
      <c r="G412" s="1" t="s">
        <v>8947</v>
      </c>
      <c r="H412" s="1" t="s">
        <v>9043</v>
      </c>
      <c r="J412" s="1" t="s">
        <v>8953</v>
      </c>
      <c r="K412" s="1">
        <v>2014</v>
      </c>
      <c r="L412" s="1" t="s">
        <v>8950</v>
      </c>
      <c r="M412" s="1" t="s">
        <v>7659</v>
      </c>
      <c r="N412" s="17" t="s">
        <v>7945</v>
      </c>
      <c r="O412" s="33"/>
      <c r="P412" s="33"/>
      <c r="Q412" s="33"/>
      <c r="R412" s="33"/>
      <c r="S412" s="33">
        <v>8.1999999999999993</v>
      </c>
      <c r="T412" s="33"/>
      <c r="U412" s="33"/>
      <c r="V412" s="33"/>
      <c r="W412" s="33"/>
      <c r="X412" s="33"/>
      <c r="Y412" s="33"/>
      <c r="Z412" s="33">
        <v>19.369800000000001</v>
      </c>
      <c r="AA412" s="33"/>
      <c r="AB412" s="33"/>
      <c r="AC412" s="33">
        <v>0.79866000000000004</v>
      </c>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v>3.2405399999999998</v>
      </c>
      <c r="BR412" s="33"/>
      <c r="BS412" s="33"/>
      <c r="BT412" s="33"/>
      <c r="BU412" s="33"/>
      <c r="BV412" s="33"/>
      <c r="BW412" s="33"/>
      <c r="BX412" s="33"/>
      <c r="BY412" s="33"/>
      <c r="BZ412" s="33"/>
      <c r="CA412" s="33"/>
      <c r="CB412" s="33"/>
      <c r="CC412" s="33"/>
      <c r="CD412" s="33"/>
      <c r="CE412" s="33"/>
      <c r="CF412" s="33"/>
      <c r="CG412" s="33"/>
      <c r="CH412" s="33"/>
      <c r="CI412" s="33"/>
      <c r="CJ412" s="33"/>
      <c r="CK412" s="33"/>
      <c r="CL412" s="33"/>
      <c r="CM412" s="33"/>
      <c r="CN412" s="33"/>
      <c r="CO412" s="33"/>
      <c r="CP412" s="33">
        <v>293.76000000000005</v>
      </c>
      <c r="CQ412" s="33"/>
      <c r="CR412" s="33">
        <v>0.83997000000000011</v>
      </c>
      <c r="CS412" s="33">
        <v>5.1398819999999992</v>
      </c>
      <c r="CT412" s="33"/>
      <c r="CU412" s="33"/>
      <c r="CV412" s="33">
        <v>156.06</v>
      </c>
      <c r="CW412" s="33">
        <v>1.8818999999999999</v>
      </c>
      <c r="CX412" s="33"/>
      <c r="CY412" s="33">
        <v>348.84</v>
      </c>
      <c r="CZ412" s="33"/>
      <c r="DA412" s="33">
        <v>3.0890699999999995</v>
      </c>
      <c r="DB412" s="33"/>
      <c r="DC412" s="33"/>
      <c r="DD412" s="33"/>
      <c r="DE412" s="33"/>
      <c r="DF412" s="33"/>
      <c r="DG412" s="33"/>
      <c r="DH412" s="33"/>
      <c r="DI412" s="33"/>
      <c r="DJ412" s="33"/>
      <c r="DK412" s="33"/>
      <c r="DL412" s="33"/>
      <c r="DM412" s="33"/>
      <c r="DN412" s="33"/>
      <c r="DO412" s="33"/>
      <c r="DP412" s="33"/>
      <c r="DQ412" s="33"/>
      <c r="DR412" s="33"/>
      <c r="DS412" s="33"/>
      <c r="DT412" s="33"/>
      <c r="DU412" s="33"/>
      <c r="DV412" s="33"/>
      <c r="DW412" s="33"/>
      <c r="DX412" s="33"/>
      <c r="DY412" s="33"/>
      <c r="DZ412" s="33"/>
      <c r="EA412" s="33"/>
      <c r="EB412" s="33"/>
      <c r="EC412" s="33"/>
      <c r="ED412" s="33"/>
      <c r="EE412" s="33"/>
      <c r="EF412" s="33"/>
      <c r="EG412" s="33"/>
      <c r="EH412" s="33"/>
      <c r="EI412" s="33"/>
      <c r="EJ412" s="33"/>
      <c r="EK412" s="33"/>
      <c r="EL412" s="33"/>
      <c r="EM412" s="33"/>
      <c r="EN412" s="33"/>
      <c r="EO412" s="33"/>
      <c r="EP412" s="33"/>
      <c r="EQ412" s="33"/>
      <c r="ER412" s="33"/>
      <c r="ES412" s="33"/>
      <c r="ET412" s="33"/>
      <c r="EU412" s="33"/>
      <c r="EV412" s="33"/>
      <c r="EW412" s="33"/>
      <c r="EX412" s="33"/>
      <c r="EY412" s="33"/>
      <c r="EZ412" s="33"/>
      <c r="FA412" s="33"/>
      <c r="FB412" s="33"/>
      <c r="FC412" s="33"/>
      <c r="FD412" s="33"/>
      <c r="FE412" s="33"/>
      <c r="FF412" s="33"/>
      <c r="FG412" s="33"/>
      <c r="FH412" s="33"/>
      <c r="FI412" s="33"/>
      <c r="FJ412" s="33"/>
      <c r="FK412" s="33"/>
      <c r="FL412" s="33"/>
      <c r="FM412" s="33"/>
      <c r="FN412" s="33"/>
      <c r="FO412" s="33"/>
      <c r="FP412" s="33"/>
      <c r="FQ412" s="33"/>
      <c r="FR412" s="33"/>
      <c r="FS412" s="33"/>
      <c r="FT412" s="33"/>
      <c r="FU412" s="33"/>
      <c r="FV412" s="33"/>
      <c r="FW412" s="33"/>
      <c r="FX412" s="33"/>
      <c r="FY412" s="33"/>
      <c r="FZ412" s="33"/>
      <c r="GA412" s="33"/>
      <c r="GB412" s="33"/>
      <c r="GC412" s="33"/>
      <c r="GD412" s="33"/>
      <c r="GE412" s="33"/>
      <c r="GF412" s="33"/>
      <c r="GG412" s="33"/>
      <c r="GH412" s="33"/>
      <c r="GI412" s="33"/>
      <c r="GJ412" s="33"/>
      <c r="GK412" s="33"/>
      <c r="GL412" s="33"/>
      <c r="GM412" s="33"/>
      <c r="GN412" s="33"/>
      <c r="GO412" s="33"/>
      <c r="GP412" s="33"/>
      <c r="GQ412" s="33"/>
      <c r="GR412" s="33"/>
      <c r="GS412" s="33"/>
      <c r="GT412" s="33"/>
      <c r="GU412" s="33"/>
      <c r="GV412" s="33"/>
      <c r="GW412" s="33"/>
      <c r="GX412" s="33"/>
      <c r="GY412" s="33"/>
      <c r="GZ412" s="33"/>
      <c r="HA412" s="33"/>
      <c r="HB412" s="33"/>
      <c r="HC412" s="33"/>
      <c r="HD412" s="33"/>
      <c r="HE412" s="33"/>
      <c r="HF412" s="33"/>
      <c r="HG412" s="33"/>
      <c r="HH412" s="33"/>
      <c r="HI412" s="33"/>
      <c r="HJ412" s="33"/>
      <c r="HK412" s="33"/>
      <c r="HL412" s="33"/>
      <c r="HM412" s="33"/>
      <c r="HN412" s="33"/>
      <c r="HO412" s="33"/>
      <c r="HP412" s="33"/>
      <c r="HQ412" s="33"/>
      <c r="HR412" s="33"/>
      <c r="HS412" s="33"/>
      <c r="HT412" s="33"/>
      <c r="HU412" s="33"/>
      <c r="HV412" s="33"/>
      <c r="HW412" s="33"/>
      <c r="HX412" s="33"/>
      <c r="HY412" s="33"/>
      <c r="HZ412" s="33"/>
      <c r="IA412" s="33"/>
      <c r="IB412" s="33"/>
      <c r="IC412" s="33"/>
      <c r="ID412" s="33"/>
      <c r="IE412" s="33"/>
      <c r="IF412" s="33"/>
      <c r="IG412" s="33"/>
      <c r="IH412" s="33"/>
      <c r="II412" s="33"/>
      <c r="IJ412" s="33"/>
      <c r="IK412" s="33"/>
      <c r="IL412" s="33"/>
      <c r="IM412" s="33"/>
      <c r="IN412" s="33"/>
      <c r="IO412" s="33"/>
      <c r="IP412" s="33"/>
      <c r="IQ412" s="33"/>
      <c r="IR412" s="33"/>
      <c r="IS412" s="33"/>
      <c r="IT412" s="33"/>
      <c r="IU412" s="33"/>
      <c r="IV412" s="33"/>
      <c r="IW412" s="33"/>
      <c r="IX412" s="33"/>
      <c r="IY412" s="33"/>
      <c r="IZ412" s="33"/>
      <c r="JA412" s="33"/>
      <c r="JB412" s="33"/>
      <c r="JC412" s="33"/>
      <c r="JD412" s="33"/>
      <c r="JE412" s="33"/>
      <c r="JF412" s="33"/>
      <c r="JG412" s="33"/>
      <c r="JH412" s="33"/>
      <c r="JI412" s="33"/>
      <c r="JJ412" s="33"/>
      <c r="JK412" s="33"/>
      <c r="JL412" s="33"/>
      <c r="JM412" s="33"/>
      <c r="JN412" s="33"/>
      <c r="JO412" s="33"/>
      <c r="JP412" s="33"/>
      <c r="JQ412" s="33"/>
      <c r="JR412" s="33"/>
      <c r="KZ412" s="33"/>
      <c r="LA412" s="33"/>
      <c r="LB412" s="33"/>
      <c r="LC412" s="33"/>
      <c r="LD412" s="33"/>
      <c r="LE412" s="33"/>
      <c r="LF412" s="33"/>
      <c r="LG412" s="33"/>
      <c r="LH412" s="33"/>
      <c r="LI412" s="33"/>
      <c r="LJ412" s="33"/>
      <c r="LK412" s="33"/>
      <c r="LL412" s="33"/>
      <c r="LM412" s="33"/>
      <c r="LN412" s="33"/>
      <c r="LO412" s="33"/>
      <c r="LP412" s="44"/>
      <c r="LQ412" s="44"/>
      <c r="LR412" s="44"/>
      <c r="LS412" s="44"/>
      <c r="LT412" s="44"/>
      <c r="LU412" s="44"/>
      <c r="LV412" s="44"/>
    </row>
    <row r="413" spans="1:334" x14ac:dyDescent="0.2">
      <c r="A413" s="1" t="s">
        <v>9044</v>
      </c>
      <c r="B413" s="1" t="s">
        <v>8985</v>
      </c>
      <c r="D413" s="1" t="s">
        <v>8946</v>
      </c>
      <c r="E413" s="1" t="s">
        <v>7</v>
      </c>
      <c r="F413" s="1" t="s">
        <v>8187</v>
      </c>
      <c r="G413" s="1" t="s">
        <v>8947</v>
      </c>
      <c r="H413" s="1" t="s">
        <v>9045</v>
      </c>
      <c r="J413" s="1" t="s">
        <v>8953</v>
      </c>
      <c r="K413" s="1">
        <v>2014</v>
      </c>
      <c r="L413" s="1" t="s">
        <v>8950</v>
      </c>
      <c r="M413" s="1" t="s">
        <v>7659</v>
      </c>
      <c r="N413" s="17" t="s">
        <v>7945</v>
      </c>
      <c r="O413" s="33"/>
      <c r="P413" s="33"/>
      <c r="Q413" s="33"/>
      <c r="R413" s="33"/>
      <c r="S413" s="33">
        <v>9.3000000000000007</v>
      </c>
      <c r="T413" s="33"/>
      <c r="U413" s="33"/>
      <c r="V413" s="33"/>
      <c r="W413" s="33"/>
      <c r="X413" s="33"/>
      <c r="Y413" s="33"/>
      <c r="Z413" s="33">
        <v>19.799810000000001</v>
      </c>
      <c r="AA413" s="33"/>
      <c r="AB413" s="33"/>
      <c r="AC413" s="33">
        <v>1.13375</v>
      </c>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v>3.1745000000000001</v>
      </c>
      <c r="BR413" s="33"/>
      <c r="BS413" s="33"/>
      <c r="BT413" s="33"/>
      <c r="BU413" s="33"/>
      <c r="BV413" s="33"/>
      <c r="BW413" s="33"/>
      <c r="BX413" s="33"/>
      <c r="BY413" s="33"/>
      <c r="BZ413" s="33"/>
      <c r="CA413" s="33"/>
      <c r="CB413" s="33"/>
      <c r="CC413" s="33"/>
      <c r="CD413" s="33"/>
      <c r="CE413" s="33"/>
      <c r="CF413" s="33"/>
      <c r="CG413" s="33"/>
      <c r="CH413" s="33"/>
      <c r="CI413" s="33"/>
      <c r="CJ413" s="33"/>
      <c r="CK413" s="33"/>
      <c r="CL413" s="33"/>
      <c r="CM413" s="33"/>
      <c r="CN413" s="33"/>
      <c r="CO413" s="33"/>
      <c r="CP413" s="33">
        <v>244.89</v>
      </c>
      <c r="CQ413" s="33"/>
      <c r="CR413" s="33">
        <v>0.74827499999999991</v>
      </c>
      <c r="CS413" s="33">
        <v>5.3993710000000004</v>
      </c>
      <c r="CT413" s="33"/>
      <c r="CU413" s="33"/>
      <c r="CV413" s="33">
        <v>145.12</v>
      </c>
      <c r="CW413" s="33">
        <v>1.4974570000000003</v>
      </c>
      <c r="CX413" s="33"/>
      <c r="CY413" s="33">
        <v>344.66</v>
      </c>
      <c r="CZ413" s="33"/>
      <c r="DA413" s="33">
        <v>2.431667</v>
      </c>
      <c r="DB413" s="33"/>
      <c r="DC413" s="33"/>
      <c r="DD413" s="33"/>
      <c r="DE413" s="33"/>
      <c r="DF413" s="33"/>
      <c r="DG413" s="33"/>
      <c r="DH413" s="33"/>
      <c r="DI413" s="33"/>
      <c r="DJ413" s="33"/>
      <c r="DK413" s="33"/>
      <c r="DL413" s="33"/>
      <c r="DM413" s="33"/>
      <c r="DN413" s="33"/>
      <c r="DO413" s="33"/>
      <c r="DP413" s="33"/>
      <c r="DQ413" s="33"/>
      <c r="DR413" s="33"/>
      <c r="DS413" s="33"/>
      <c r="DT413" s="33"/>
      <c r="DU413" s="33"/>
      <c r="DV413" s="33"/>
      <c r="DW413" s="33"/>
      <c r="DX413" s="33"/>
      <c r="DY413" s="33"/>
      <c r="DZ413" s="33"/>
      <c r="EA413" s="33"/>
      <c r="EB413" s="33"/>
      <c r="EC413" s="33"/>
      <c r="ED413" s="33"/>
      <c r="EE413" s="33"/>
      <c r="EF413" s="33"/>
      <c r="EG413" s="33"/>
      <c r="EH413" s="33"/>
      <c r="EI413" s="33"/>
      <c r="EJ413" s="33"/>
      <c r="EK413" s="33"/>
      <c r="EL413" s="33"/>
      <c r="EM413" s="33"/>
      <c r="EN413" s="33"/>
      <c r="EO413" s="33"/>
      <c r="EP413" s="33"/>
      <c r="EQ413" s="33"/>
      <c r="ER413" s="33"/>
      <c r="ES413" s="33"/>
      <c r="ET413" s="33"/>
      <c r="EU413" s="33"/>
      <c r="EV413" s="33"/>
      <c r="EW413" s="33"/>
      <c r="EX413" s="33"/>
      <c r="EY413" s="33"/>
      <c r="EZ413" s="33"/>
      <c r="FA413" s="33"/>
      <c r="FB413" s="33"/>
      <c r="FC413" s="33"/>
      <c r="FD413" s="33"/>
      <c r="FE413" s="33"/>
      <c r="FF413" s="33"/>
      <c r="FG413" s="33"/>
      <c r="FH413" s="33"/>
      <c r="FI413" s="33"/>
      <c r="FJ413" s="33"/>
      <c r="FK413" s="33"/>
      <c r="FL413" s="33"/>
      <c r="FM413" s="33"/>
      <c r="FN413" s="33"/>
      <c r="FO413" s="33"/>
      <c r="FP413" s="33"/>
      <c r="FQ413" s="33"/>
      <c r="FR413" s="33"/>
      <c r="FS413" s="33"/>
      <c r="FT413" s="33"/>
      <c r="FU413" s="33"/>
      <c r="FV413" s="33"/>
      <c r="FW413" s="33"/>
      <c r="FX413" s="33"/>
      <c r="FY413" s="33"/>
      <c r="FZ413" s="33"/>
      <c r="GA413" s="33"/>
      <c r="GB413" s="33"/>
      <c r="GC413" s="33"/>
      <c r="GD413" s="33"/>
      <c r="GE413" s="33"/>
      <c r="GF413" s="33"/>
      <c r="GG413" s="33"/>
      <c r="GH413" s="33"/>
      <c r="GI413" s="33"/>
      <c r="GJ413" s="33"/>
      <c r="GK413" s="33"/>
      <c r="GL413" s="33"/>
      <c r="GM413" s="33"/>
      <c r="GN413" s="33"/>
      <c r="GO413" s="33"/>
      <c r="GP413" s="33"/>
      <c r="GQ413" s="33"/>
      <c r="GR413" s="33"/>
      <c r="GS413" s="33"/>
      <c r="GT413" s="33"/>
      <c r="GU413" s="33"/>
      <c r="GV413" s="33"/>
      <c r="GW413" s="33"/>
      <c r="GX413" s="33"/>
      <c r="GY413" s="33"/>
      <c r="GZ413" s="33"/>
      <c r="HA413" s="33"/>
      <c r="HB413" s="33"/>
      <c r="HC413" s="33"/>
      <c r="HD413" s="33"/>
      <c r="HE413" s="33"/>
      <c r="HF413" s="33"/>
      <c r="HG413" s="33"/>
      <c r="HH413" s="33"/>
      <c r="HI413" s="33"/>
      <c r="HJ413" s="33"/>
      <c r="HK413" s="33"/>
      <c r="HL413" s="33"/>
      <c r="HM413" s="33"/>
      <c r="HN413" s="33"/>
      <c r="HO413" s="33"/>
      <c r="HP413" s="33"/>
      <c r="HQ413" s="33"/>
      <c r="HR413" s="33"/>
      <c r="HS413" s="33"/>
      <c r="HT413" s="33"/>
      <c r="HU413" s="33"/>
      <c r="HV413" s="33"/>
      <c r="HW413" s="33"/>
      <c r="HX413" s="33"/>
      <c r="HY413" s="33"/>
      <c r="HZ413" s="33"/>
      <c r="IA413" s="33"/>
      <c r="IB413" s="33"/>
      <c r="IC413" s="33"/>
      <c r="ID413" s="33"/>
      <c r="IE413" s="33"/>
      <c r="IF413" s="33"/>
      <c r="IG413" s="33"/>
      <c r="IH413" s="33"/>
      <c r="II413" s="33"/>
      <c r="IJ413" s="33"/>
      <c r="IK413" s="33"/>
      <c r="IL413" s="33"/>
      <c r="IM413" s="33"/>
      <c r="IN413" s="33"/>
      <c r="IO413" s="33"/>
      <c r="IP413" s="33"/>
      <c r="IQ413" s="33"/>
      <c r="IR413" s="33"/>
      <c r="IS413" s="33"/>
      <c r="IT413" s="33"/>
      <c r="IU413" s="33"/>
      <c r="IV413" s="33"/>
      <c r="IW413" s="33"/>
      <c r="IX413" s="33"/>
      <c r="IY413" s="33"/>
      <c r="IZ413" s="33"/>
      <c r="JA413" s="33"/>
      <c r="JB413" s="33"/>
      <c r="JC413" s="33"/>
      <c r="JD413" s="33"/>
      <c r="JE413" s="33"/>
      <c r="JF413" s="33"/>
      <c r="JG413" s="33"/>
      <c r="JH413" s="33"/>
      <c r="JI413" s="33"/>
      <c r="JJ413" s="33"/>
      <c r="JK413" s="33"/>
      <c r="JL413" s="33"/>
      <c r="JM413" s="33"/>
      <c r="JN413" s="33"/>
      <c r="JO413" s="33"/>
      <c r="JP413" s="33"/>
      <c r="JQ413" s="33"/>
      <c r="JR413" s="33"/>
      <c r="KZ413" s="33"/>
      <c r="LA413" s="33"/>
      <c r="LB413" s="33"/>
      <c r="LC413" s="33"/>
      <c r="LD413" s="33"/>
      <c r="LE413" s="33"/>
      <c r="LF413" s="33"/>
      <c r="LG413" s="33"/>
      <c r="LH413" s="33"/>
      <c r="LI413" s="33"/>
      <c r="LJ413" s="33"/>
      <c r="LK413" s="33"/>
      <c r="LL413" s="33"/>
      <c r="LM413" s="33"/>
      <c r="LN413" s="33"/>
      <c r="LO413" s="33"/>
      <c r="LP413" s="44"/>
      <c r="LQ413" s="44"/>
      <c r="LR413" s="44"/>
      <c r="LS413" s="44"/>
      <c r="LT413" s="44"/>
      <c r="LU413" s="44"/>
      <c r="LV413" s="44"/>
    </row>
    <row r="414" spans="1:334" x14ac:dyDescent="0.2">
      <c r="A414" s="1" t="s">
        <v>9046</v>
      </c>
      <c r="B414" s="1" t="s">
        <v>9047</v>
      </c>
      <c r="D414" s="1" t="s">
        <v>8946</v>
      </c>
      <c r="E414" s="1" t="s">
        <v>7</v>
      </c>
      <c r="F414" s="1" t="s">
        <v>8187</v>
      </c>
      <c r="G414" s="1" t="s">
        <v>8947</v>
      </c>
      <c r="H414" s="1" t="s">
        <v>9048</v>
      </c>
      <c r="J414" s="1" t="s">
        <v>8953</v>
      </c>
      <c r="K414" s="1">
        <v>2014</v>
      </c>
      <c r="L414" s="1" t="s">
        <v>8950</v>
      </c>
      <c r="M414" s="1" t="s">
        <v>7659</v>
      </c>
      <c r="N414" s="17" t="s">
        <v>7945</v>
      </c>
      <c r="O414" s="33"/>
      <c r="P414" s="33"/>
      <c r="Q414" s="33"/>
      <c r="R414" s="33"/>
      <c r="S414" s="33">
        <v>7.9</v>
      </c>
      <c r="T414" s="33"/>
      <c r="U414" s="33"/>
      <c r="V414" s="33"/>
      <c r="W414" s="33"/>
      <c r="X414" s="33"/>
      <c r="Y414" s="33"/>
      <c r="Z414" s="33">
        <v>18.769979999999997</v>
      </c>
      <c r="AA414" s="33"/>
      <c r="AB414" s="33"/>
      <c r="AC414" s="33">
        <v>0.76442999999999994</v>
      </c>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v>2.7906299999999997</v>
      </c>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c r="CN414" s="33"/>
      <c r="CO414" s="33"/>
      <c r="CP414" s="33">
        <v>267.08999999999992</v>
      </c>
      <c r="CQ414" s="33"/>
      <c r="CR414" s="33">
        <v>0.49089299999999997</v>
      </c>
      <c r="CS414" s="33">
        <v>7.8948119999999991</v>
      </c>
      <c r="CT414" s="33"/>
      <c r="CU414" s="33"/>
      <c r="CV414" s="33">
        <v>165.77999999999997</v>
      </c>
      <c r="CW414" s="33">
        <v>2.0648819999999999</v>
      </c>
      <c r="CX414" s="33"/>
      <c r="CY414" s="33">
        <v>469.71</v>
      </c>
      <c r="CZ414" s="33"/>
      <c r="DA414" s="33">
        <v>3.0337739999999993</v>
      </c>
      <c r="DB414" s="33"/>
      <c r="DC414" s="33"/>
      <c r="DD414" s="33"/>
      <c r="DE414" s="33"/>
      <c r="DF414" s="33"/>
      <c r="DG414" s="33"/>
      <c r="DH414" s="33"/>
      <c r="DI414" s="33"/>
      <c r="DJ414" s="33"/>
      <c r="DK414" s="33"/>
      <c r="DL414" s="33"/>
      <c r="DM414" s="33"/>
      <c r="DN414" s="33"/>
      <c r="DO414" s="33"/>
      <c r="DP414" s="33"/>
      <c r="DQ414" s="33"/>
      <c r="DR414" s="33"/>
      <c r="DS414" s="33"/>
      <c r="DT414" s="33"/>
      <c r="DU414" s="33"/>
      <c r="DV414" s="33"/>
      <c r="DW414" s="33"/>
      <c r="DX414" s="33"/>
      <c r="DY414" s="33"/>
      <c r="DZ414" s="33"/>
      <c r="EA414" s="33"/>
      <c r="EB414" s="33"/>
      <c r="EC414" s="33"/>
      <c r="ED414" s="33"/>
      <c r="EE414" s="33"/>
      <c r="EF414" s="33"/>
      <c r="EG414" s="33"/>
      <c r="EH414" s="33"/>
      <c r="EI414" s="33"/>
      <c r="EJ414" s="33"/>
      <c r="EK414" s="33"/>
      <c r="EL414" s="33"/>
      <c r="EM414" s="33"/>
      <c r="EN414" s="33"/>
      <c r="EO414" s="33"/>
      <c r="EP414" s="33"/>
      <c r="EQ414" s="33"/>
      <c r="ER414" s="33"/>
      <c r="ES414" s="33"/>
      <c r="ET414" s="33"/>
      <c r="EU414" s="33"/>
      <c r="EV414" s="33"/>
      <c r="EW414" s="33"/>
      <c r="EX414" s="33"/>
      <c r="EY414" s="33"/>
      <c r="EZ414" s="33"/>
      <c r="FA414" s="33"/>
      <c r="FB414" s="33"/>
      <c r="FC414" s="33"/>
      <c r="FD414" s="33"/>
      <c r="FE414" s="33"/>
      <c r="FF414" s="33"/>
      <c r="FG414" s="33"/>
      <c r="FH414" s="33"/>
      <c r="FI414" s="33"/>
      <c r="FJ414" s="33"/>
      <c r="FK414" s="33"/>
      <c r="FL414" s="33"/>
      <c r="FM414" s="33"/>
      <c r="FN414" s="33"/>
      <c r="FO414" s="33"/>
      <c r="FP414" s="33"/>
      <c r="FQ414" s="33"/>
      <c r="FR414" s="33"/>
      <c r="FS414" s="33"/>
      <c r="FT414" s="33"/>
      <c r="FU414" s="33"/>
      <c r="FV414" s="33"/>
      <c r="FW414" s="33"/>
      <c r="FX414" s="33"/>
      <c r="FY414" s="33"/>
      <c r="FZ414" s="33"/>
      <c r="GA414" s="33"/>
      <c r="GB414" s="33"/>
      <c r="GC414" s="33"/>
      <c r="GD414" s="33"/>
      <c r="GE414" s="33"/>
      <c r="GF414" s="33"/>
      <c r="GG414" s="33"/>
      <c r="GH414" s="33"/>
      <c r="GI414" s="33"/>
      <c r="GJ414" s="33"/>
      <c r="GK414" s="33"/>
      <c r="GL414" s="33"/>
      <c r="GM414" s="33"/>
      <c r="GN414" s="33"/>
      <c r="GO414" s="33"/>
      <c r="GP414" s="33"/>
      <c r="GQ414" s="33"/>
      <c r="GR414" s="33"/>
      <c r="GS414" s="33"/>
      <c r="GT414" s="33"/>
      <c r="GU414" s="33"/>
      <c r="GV414" s="33"/>
      <c r="GW414" s="33"/>
      <c r="GX414" s="33"/>
      <c r="GY414" s="33"/>
      <c r="GZ414" s="33"/>
      <c r="HA414" s="33"/>
      <c r="HB414" s="33"/>
      <c r="HC414" s="33"/>
      <c r="HD414" s="33"/>
      <c r="HE414" s="33"/>
      <c r="HF414" s="33"/>
      <c r="HG414" s="33"/>
      <c r="HH414" s="33"/>
      <c r="HI414" s="33"/>
      <c r="HJ414" s="33"/>
      <c r="HK414" s="33"/>
      <c r="HL414" s="33"/>
      <c r="HM414" s="33"/>
      <c r="HN414" s="33"/>
      <c r="HO414" s="33"/>
      <c r="HP414" s="33"/>
      <c r="HQ414" s="33"/>
      <c r="HR414" s="33"/>
      <c r="HS414" s="33"/>
      <c r="HT414" s="33"/>
      <c r="HU414" s="33"/>
      <c r="HV414" s="33"/>
      <c r="HW414" s="33"/>
      <c r="HX414" s="33"/>
      <c r="HY414" s="33"/>
      <c r="HZ414" s="33"/>
      <c r="IA414" s="33"/>
      <c r="IB414" s="33"/>
      <c r="IC414" s="33"/>
      <c r="ID414" s="33"/>
      <c r="IE414" s="33"/>
      <c r="IF414" s="33"/>
      <c r="IG414" s="33"/>
      <c r="IH414" s="33"/>
      <c r="II414" s="33"/>
      <c r="IJ414" s="33"/>
      <c r="IK414" s="33"/>
      <c r="IL414" s="33"/>
      <c r="IM414" s="33"/>
      <c r="IN414" s="33"/>
      <c r="IO414" s="33"/>
      <c r="IP414" s="33"/>
      <c r="IQ414" s="33"/>
      <c r="IR414" s="33"/>
      <c r="IS414" s="33"/>
      <c r="IT414" s="33"/>
      <c r="IU414" s="33"/>
      <c r="IV414" s="33"/>
      <c r="IW414" s="33"/>
      <c r="IX414" s="33"/>
      <c r="IY414" s="33"/>
      <c r="IZ414" s="33"/>
      <c r="JA414" s="33"/>
      <c r="JB414" s="33"/>
      <c r="JC414" s="33"/>
      <c r="JD414" s="33"/>
      <c r="JE414" s="33"/>
      <c r="JF414" s="33"/>
      <c r="JG414" s="33"/>
      <c r="JH414" s="33"/>
      <c r="JI414" s="33"/>
      <c r="JJ414" s="33"/>
      <c r="JK414" s="33"/>
      <c r="JL414" s="33"/>
      <c r="JM414" s="33"/>
      <c r="JN414" s="33"/>
      <c r="JO414" s="33"/>
      <c r="JP414" s="33"/>
      <c r="JQ414" s="33"/>
      <c r="JR414" s="33"/>
      <c r="KZ414" s="33"/>
      <c r="LA414" s="33"/>
      <c r="LB414" s="33"/>
      <c r="LC414" s="33"/>
      <c r="LD414" s="33"/>
      <c r="LE414" s="33"/>
      <c r="LF414" s="33"/>
      <c r="LG414" s="33"/>
      <c r="LH414" s="33"/>
      <c r="LI414" s="33"/>
      <c r="LJ414" s="33"/>
      <c r="LK414" s="33"/>
      <c r="LL414" s="33"/>
      <c r="LM414" s="33"/>
      <c r="LN414" s="33"/>
      <c r="LO414" s="33"/>
      <c r="LP414" s="44"/>
      <c r="LQ414" s="44"/>
      <c r="LR414" s="44"/>
      <c r="LS414" s="44"/>
      <c r="LT414" s="44"/>
      <c r="LU414" s="44"/>
      <c r="LV414" s="44"/>
    </row>
    <row r="415" spans="1:334" x14ac:dyDescent="0.2">
      <c r="A415" s="1" t="s">
        <v>9049</v>
      </c>
      <c r="B415" s="1" t="s">
        <v>9050</v>
      </c>
      <c r="D415" s="1" t="s">
        <v>8946</v>
      </c>
      <c r="E415" s="1" t="s">
        <v>7</v>
      </c>
      <c r="F415" s="1" t="s">
        <v>8187</v>
      </c>
      <c r="G415" s="1" t="s">
        <v>8947</v>
      </c>
      <c r="H415" s="1" t="s">
        <v>9051</v>
      </c>
      <c r="J415" s="1" t="s">
        <v>8953</v>
      </c>
      <c r="K415" s="1">
        <v>2014</v>
      </c>
      <c r="L415" s="1" t="s">
        <v>8950</v>
      </c>
      <c r="M415" s="1" t="s">
        <v>7659</v>
      </c>
      <c r="N415" s="17" t="s">
        <v>7945</v>
      </c>
      <c r="O415" s="33"/>
      <c r="P415" s="33"/>
      <c r="Q415" s="33"/>
      <c r="R415" s="33"/>
      <c r="S415" s="33">
        <v>10.3</v>
      </c>
      <c r="T415" s="33"/>
      <c r="U415" s="33"/>
      <c r="V415" s="33"/>
      <c r="W415" s="33"/>
      <c r="X415" s="33"/>
      <c r="Y415" s="33"/>
      <c r="Z415" s="33">
        <v>19.375200000000003</v>
      </c>
      <c r="AA415" s="33"/>
      <c r="AB415" s="33"/>
      <c r="AC415" s="33">
        <v>0.87906000000000006</v>
      </c>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v>2.7806999999999999</v>
      </c>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c r="CN415" s="33"/>
      <c r="CO415" s="33"/>
      <c r="CP415" s="33">
        <v>358.8</v>
      </c>
      <c r="CQ415" s="33"/>
      <c r="CR415" s="33">
        <v>0.73553999999999997</v>
      </c>
      <c r="CS415" s="33">
        <v>4.8913410000000006</v>
      </c>
      <c r="CT415" s="33"/>
      <c r="CU415" s="33"/>
      <c r="CV415" s="33">
        <v>152.49</v>
      </c>
      <c r="CW415" s="33">
        <v>1.7948970000000002</v>
      </c>
      <c r="CX415" s="33"/>
      <c r="CY415" s="33">
        <v>287.04000000000002</v>
      </c>
      <c r="CZ415" s="33"/>
      <c r="DA415" s="33">
        <v>2.5941240000000003</v>
      </c>
      <c r="DB415" s="33"/>
      <c r="DC415" s="33"/>
      <c r="DD415" s="33"/>
      <c r="DE415" s="33"/>
      <c r="DF415" s="33"/>
      <c r="DG415" s="33"/>
      <c r="DH415" s="33"/>
      <c r="DI415" s="33"/>
      <c r="DJ415" s="33"/>
      <c r="DK415" s="33"/>
      <c r="DL415" s="33"/>
      <c r="DM415" s="33"/>
      <c r="DN415" s="33"/>
      <c r="DO415" s="33"/>
      <c r="DP415" s="33"/>
      <c r="DQ415" s="33"/>
      <c r="DR415" s="33"/>
      <c r="DS415" s="33"/>
      <c r="DT415" s="33"/>
      <c r="DU415" s="33"/>
      <c r="DV415" s="33"/>
      <c r="DW415" s="33"/>
      <c r="DX415" s="33"/>
      <c r="DY415" s="33"/>
      <c r="DZ415" s="33"/>
      <c r="EA415" s="33"/>
      <c r="EB415" s="33"/>
      <c r="EC415" s="33"/>
      <c r="ED415" s="33"/>
      <c r="EE415" s="33"/>
      <c r="EF415" s="33"/>
      <c r="EG415" s="33"/>
      <c r="EH415" s="33"/>
      <c r="EI415" s="33"/>
      <c r="EJ415" s="33"/>
      <c r="EK415" s="33"/>
      <c r="EL415" s="33"/>
      <c r="EM415" s="33"/>
      <c r="EN415" s="33"/>
      <c r="EO415" s="33"/>
      <c r="EP415" s="33"/>
      <c r="EQ415" s="33"/>
      <c r="ER415" s="33"/>
      <c r="ES415" s="33"/>
      <c r="ET415" s="33"/>
      <c r="EU415" s="33"/>
      <c r="EV415" s="33"/>
      <c r="EW415" s="33"/>
      <c r="EX415" s="33"/>
      <c r="EY415" s="33"/>
      <c r="EZ415" s="33"/>
      <c r="FA415" s="33"/>
      <c r="FB415" s="33"/>
      <c r="FC415" s="33"/>
      <c r="FD415" s="33"/>
      <c r="FE415" s="33"/>
      <c r="FF415" s="33"/>
      <c r="FG415" s="33"/>
      <c r="FH415" s="33"/>
      <c r="FI415" s="33"/>
      <c r="FJ415" s="33"/>
      <c r="FK415" s="33"/>
      <c r="FL415" s="33"/>
      <c r="FM415" s="33"/>
      <c r="FN415" s="33"/>
      <c r="FO415" s="33"/>
      <c r="FP415" s="33"/>
      <c r="FQ415" s="33"/>
      <c r="FR415" s="33"/>
      <c r="FS415" s="33"/>
      <c r="FT415" s="33"/>
      <c r="FU415" s="33"/>
      <c r="FV415" s="33"/>
      <c r="FW415" s="33"/>
      <c r="FX415" s="33"/>
      <c r="FY415" s="33"/>
      <c r="FZ415" s="33"/>
      <c r="GA415" s="33"/>
      <c r="GB415" s="33"/>
      <c r="GC415" s="33"/>
      <c r="GD415" s="33"/>
      <c r="GE415" s="33"/>
      <c r="GF415" s="33"/>
      <c r="GG415" s="33"/>
      <c r="GH415" s="33"/>
      <c r="GI415" s="33"/>
      <c r="GJ415" s="33"/>
      <c r="GK415" s="33"/>
      <c r="GL415" s="33"/>
      <c r="GM415" s="33"/>
      <c r="GN415" s="33"/>
      <c r="GO415" s="33"/>
      <c r="GP415" s="33"/>
      <c r="GQ415" s="33"/>
      <c r="GR415" s="33"/>
      <c r="GS415" s="33"/>
      <c r="GT415" s="33"/>
      <c r="GU415" s="33"/>
      <c r="GV415" s="33"/>
      <c r="GW415" s="33"/>
      <c r="GX415" s="33"/>
      <c r="GY415" s="33"/>
      <c r="GZ415" s="33"/>
      <c r="HA415" s="33"/>
      <c r="HB415" s="33"/>
      <c r="HC415" s="33"/>
      <c r="HD415" s="33"/>
      <c r="HE415" s="33"/>
      <c r="HF415" s="33"/>
      <c r="HG415" s="33"/>
      <c r="HH415" s="33"/>
      <c r="HI415" s="33"/>
      <c r="HJ415" s="33"/>
      <c r="HK415" s="33"/>
      <c r="HL415" s="33"/>
      <c r="HM415" s="33"/>
      <c r="HN415" s="33"/>
      <c r="HO415" s="33"/>
      <c r="HP415" s="33"/>
      <c r="HQ415" s="33"/>
      <c r="HR415" s="33"/>
      <c r="HS415" s="33"/>
      <c r="HT415" s="33"/>
      <c r="HU415" s="33"/>
      <c r="HV415" s="33"/>
      <c r="HW415" s="33"/>
      <c r="HX415" s="33"/>
      <c r="HY415" s="33"/>
      <c r="HZ415" s="33"/>
      <c r="IA415" s="33"/>
      <c r="IB415" s="33"/>
      <c r="IC415" s="33"/>
      <c r="ID415" s="33"/>
      <c r="IE415" s="33"/>
      <c r="IF415" s="33"/>
      <c r="IG415" s="33"/>
      <c r="IH415" s="33"/>
      <c r="II415" s="33"/>
      <c r="IJ415" s="33"/>
      <c r="IK415" s="33"/>
      <c r="IL415" s="33"/>
      <c r="IM415" s="33"/>
      <c r="IN415" s="33"/>
      <c r="IO415" s="33"/>
      <c r="IP415" s="33"/>
      <c r="IQ415" s="33"/>
      <c r="IR415" s="33"/>
      <c r="IS415" s="33"/>
      <c r="IT415" s="33"/>
      <c r="IU415" s="33"/>
      <c r="IV415" s="33"/>
      <c r="IW415" s="33"/>
      <c r="IX415" s="33"/>
      <c r="IY415" s="33"/>
      <c r="IZ415" s="33"/>
      <c r="JA415" s="33"/>
      <c r="JB415" s="33"/>
      <c r="JC415" s="33"/>
      <c r="JD415" s="33"/>
      <c r="JE415" s="33"/>
      <c r="JF415" s="33"/>
      <c r="JG415" s="33"/>
      <c r="JH415" s="33"/>
      <c r="JI415" s="33"/>
      <c r="JJ415" s="33"/>
      <c r="JK415" s="33"/>
      <c r="JL415" s="33"/>
      <c r="JM415" s="33"/>
      <c r="JN415" s="33"/>
      <c r="JO415" s="33"/>
      <c r="JP415" s="33"/>
      <c r="JQ415" s="33"/>
      <c r="JR415" s="33"/>
      <c r="KZ415" s="33"/>
      <c r="LA415" s="33"/>
      <c r="LB415" s="33"/>
      <c r="LC415" s="33"/>
      <c r="LD415" s="33"/>
      <c r="LE415" s="33"/>
      <c r="LF415" s="33"/>
      <c r="LG415" s="33"/>
      <c r="LH415" s="33"/>
      <c r="LI415" s="33"/>
      <c r="LJ415" s="33"/>
      <c r="LK415" s="33"/>
      <c r="LL415" s="33"/>
      <c r="LM415" s="33"/>
      <c r="LN415" s="33"/>
      <c r="LO415" s="33"/>
      <c r="LP415" s="44"/>
      <c r="LQ415" s="44"/>
      <c r="LR415" s="44"/>
      <c r="LS415" s="44"/>
      <c r="LT415" s="44"/>
      <c r="LU415" s="44"/>
      <c r="LV415" s="44"/>
    </row>
    <row r="416" spans="1:334" x14ac:dyDescent="0.2">
      <c r="A416" s="1" t="s">
        <v>9052</v>
      </c>
      <c r="B416" s="1" t="s">
        <v>9053</v>
      </c>
      <c r="D416" s="1" t="s">
        <v>8946</v>
      </c>
      <c r="E416" s="1" t="s">
        <v>7</v>
      </c>
      <c r="F416" s="1" t="s">
        <v>8187</v>
      </c>
      <c r="G416" s="1" t="s">
        <v>8947</v>
      </c>
      <c r="H416" s="1" t="s">
        <v>9054</v>
      </c>
      <c r="J416" s="1" t="s">
        <v>8953</v>
      </c>
      <c r="K416" s="1">
        <v>2014</v>
      </c>
      <c r="L416" s="1" t="s">
        <v>8950</v>
      </c>
      <c r="M416" s="1" t="s">
        <v>7659</v>
      </c>
      <c r="N416" s="17" t="s">
        <v>7945</v>
      </c>
      <c r="O416" s="33"/>
      <c r="P416" s="33"/>
      <c r="Q416" s="33"/>
      <c r="R416" s="33"/>
      <c r="S416" s="33">
        <v>9.3000000000000007</v>
      </c>
      <c r="T416" s="33"/>
      <c r="U416" s="33"/>
      <c r="V416" s="33"/>
      <c r="W416" s="33"/>
      <c r="X416" s="33"/>
      <c r="Y416" s="33"/>
      <c r="Z416" s="33">
        <v>18.484659999999998</v>
      </c>
      <c r="AA416" s="33"/>
      <c r="AB416" s="33"/>
      <c r="AC416" s="33">
        <v>1.2607299999999999</v>
      </c>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v>2.68472</v>
      </c>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c r="CN416" s="33"/>
      <c r="CO416" s="33"/>
      <c r="CP416" s="33">
        <v>281.17</v>
      </c>
      <c r="CQ416" s="33"/>
      <c r="CR416" s="33">
        <v>0.94781499999999996</v>
      </c>
      <c r="CS416" s="33">
        <v>6.1240639999999988</v>
      </c>
      <c r="CT416" s="33"/>
      <c r="CU416" s="33"/>
      <c r="CV416" s="33">
        <v>154.19000000000003</v>
      </c>
      <c r="CW416" s="33">
        <v>1.4965499999999998</v>
      </c>
      <c r="CX416" s="33"/>
      <c r="CY416" s="33">
        <v>507.92</v>
      </c>
      <c r="CZ416" s="33"/>
      <c r="DA416" s="33">
        <v>2.7581869999999999</v>
      </c>
      <c r="DB416" s="33"/>
      <c r="DC416" s="33"/>
      <c r="DD416" s="33"/>
      <c r="DE416" s="33"/>
      <c r="DF416" s="33"/>
      <c r="DG416" s="33"/>
      <c r="DH416" s="33"/>
      <c r="DI416" s="33"/>
      <c r="DJ416" s="33"/>
      <c r="DK416" s="33"/>
      <c r="DL416" s="33"/>
      <c r="DM416" s="33"/>
      <c r="DN416" s="33"/>
      <c r="DO416" s="33"/>
      <c r="DP416" s="33"/>
      <c r="DQ416" s="33"/>
      <c r="DR416" s="33"/>
      <c r="DS416" s="33"/>
      <c r="DT416" s="33"/>
      <c r="DU416" s="33"/>
      <c r="DV416" s="33"/>
      <c r="DW416" s="33"/>
      <c r="DX416" s="33"/>
      <c r="DY416" s="33"/>
      <c r="DZ416" s="33"/>
      <c r="EA416" s="33"/>
      <c r="EB416" s="33"/>
      <c r="EC416" s="33"/>
      <c r="ED416" s="33"/>
      <c r="EE416" s="33"/>
      <c r="EF416" s="33"/>
      <c r="EG416" s="33"/>
      <c r="EH416" s="33"/>
      <c r="EI416" s="33"/>
      <c r="EJ416" s="33"/>
      <c r="EK416" s="33"/>
      <c r="EL416" s="33"/>
      <c r="EM416" s="33"/>
      <c r="EN416" s="33"/>
      <c r="EO416" s="33"/>
      <c r="EP416" s="33"/>
      <c r="EQ416" s="33"/>
      <c r="ER416" s="33"/>
      <c r="ES416" s="33"/>
      <c r="ET416" s="33"/>
      <c r="EU416" s="33"/>
      <c r="EV416" s="33"/>
      <c r="EW416" s="33"/>
      <c r="EX416" s="33"/>
      <c r="EY416" s="33"/>
      <c r="EZ416" s="33"/>
      <c r="FA416" s="33"/>
      <c r="FB416" s="33"/>
      <c r="FC416" s="33"/>
      <c r="FD416" s="33"/>
      <c r="FE416" s="33"/>
      <c r="FF416" s="33"/>
      <c r="FG416" s="33"/>
      <c r="FH416" s="33"/>
      <c r="FI416" s="33"/>
      <c r="FJ416" s="33"/>
      <c r="FK416" s="33"/>
      <c r="FL416" s="33"/>
      <c r="FM416" s="33"/>
      <c r="FN416" s="33"/>
      <c r="FO416" s="33"/>
      <c r="FP416" s="33"/>
      <c r="FQ416" s="33"/>
      <c r="FR416" s="33"/>
      <c r="FS416" s="33"/>
      <c r="FT416" s="33"/>
      <c r="FU416" s="33"/>
      <c r="FV416" s="33"/>
      <c r="FW416" s="33"/>
      <c r="FX416" s="33"/>
      <c r="FY416" s="33"/>
      <c r="FZ416" s="33"/>
      <c r="GA416" s="33"/>
      <c r="GB416" s="33"/>
      <c r="GC416" s="33"/>
      <c r="GD416" s="33"/>
      <c r="GE416" s="33"/>
      <c r="GF416" s="33"/>
      <c r="GG416" s="33"/>
      <c r="GH416" s="33"/>
      <c r="GI416" s="33"/>
      <c r="GJ416" s="33"/>
      <c r="GK416" s="33"/>
      <c r="GL416" s="33"/>
      <c r="GM416" s="33"/>
      <c r="GN416" s="33"/>
      <c r="GO416" s="33"/>
      <c r="GP416" s="33"/>
      <c r="GQ416" s="33"/>
      <c r="GR416" s="33"/>
      <c r="GS416" s="33"/>
      <c r="GT416" s="33"/>
      <c r="GU416" s="33"/>
      <c r="GV416" s="33"/>
      <c r="GW416" s="33"/>
      <c r="GX416" s="33"/>
      <c r="GY416" s="33"/>
      <c r="GZ416" s="33"/>
      <c r="HA416" s="33"/>
      <c r="HB416" s="33"/>
      <c r="HC416" s="33"/>
      <c r="HD416" s="33"/>
      <c r="HE416" s="33"/>
      <c r="HF416" s="33"/>
      <c r="HG416" s="33"/>
      <c r="HH416" s="33"/>
      <c r="HI416" s="33"/>
      <c r="HJ416" s="33"/>
      <c r="HK416" s="33"/>
      <c r="HL416" s="33"/>
      <c r="HM416" s="33"/>
      <c r="HN416" s="33"/>
      <c r="HO416" s="33"/>
      <c r="HP416" s="33"/>
      <c r="HQ416" s="33"/>
      <c r="HR416" s="33"/>
      <c r="HS416" s="33"/>
      <c r="HT416" s="33"/>
      <c r="HU416" s="33"/>
      <c r="HV416" s="33"/>
      <c r="HW416" s="33"/>
      <c r="HX416" s="33"/>
      <c r="HY416" s="33"/>
      <c r="HZ416" s="33"/>
      <c r="IA416" s="33"/>
      <c r="IB416" s="33"/>
      <c r="IC416" s="33"/>
      <c r="ID416" s="33"/>
      <c r="IE416" s="33"/>
      <c r="IF416" s="33"/>
      <c r="IG416" s="33"/>
      <c r="IH416" s="33"/>
      <c r="II416" s="33"/>
      <c r="IJ416" s="33"/>
      <c r="IK416" s="33"/>
      <c r="IL416" s="33"/>
      <c r="IM416" s="33"/>
      <c r="IN416" s="33"/>
      <c r="IO416" s="33"/>
      <c r="IP416" s="33"/>
      <c r="IQ416" s="33"/>
      <c r="IR416" s="33"/>
      <c r="IS416" s="33"/>
      <c r="IT416" s="33"/>
      <c r="IU416" s="33"/>
      <c r="IV416" s="33"/>
      <c r="IW416" s="33"/>
      <c r="IX416" s="33"/>
      <c r="IY416" s="33"/>
      <c r="IZ416" s="33"/>
      <c r="JA416" s="33"/>
      <c r="JB416" s="33"/>
      <c r="JC416" s="33"/>
      <c r="JD416" s="33"/>
      <c r="JE416" s="33"/>
      <c r="JF416" s="33"/>
      <c r="JG416" s="33"/>
      <c r="JH416" s="33"/>
      <c r="JI416" s="33"/>
      <c r="JJ416" s="33"/>
      <c r="JK416" s="33"/>
      <c r="JL416" s="33"/>
      <c r="JM416" s="33"/>
      <c r="JN416" s="33"/>
      <c r="JO416" s="33"/>
      <c r="JP416" s="33"/>
      <c r="JQ416" s="33"/>
      <c r="JR416" s="33"/>
      <c r="KZ416" s="33"/>
      <c r="LA416" s="33"/>
      <c r="LB416" s="33"/>
      <c r="LC416" s="33"/>
      <c r="LD416" s="33"/>
      <c r="LE416" s="33"/>
      <c r="LF416" s="33"/>
      <c r="LG416" s="33"/>
      <c r="LH416" s="33"/>
      <c r="LI416" s="33"/>
      <c r="LJ416" s="33"/>
      <c r="LK416" s="33"/>
      <c r="LL416" s="33"/>
      <c r="LM416" s="33"/>
      <c r="LN416" s="33"/>
      <c r="LO416" s="33"/>
      <c r="LP416" s="44"/>
      <c r="LQ416" s="44"/>
      <c r="LR416" s="44"/>
      <c r="LS416" s="44"/>
      <c r="LT416" s="44"/>
      <c r="LU416" s="44"/>
      <c r="LV416" s="44"/>
    </row>
    <row r="417" spans="1:334" x14ac:dyDescent="0.2">
      <c r="A417" s="1" t="s">
        <v>9055</v>
      </c>
      <c r="B417" s="1" t="s">
        <v>9013</v>
      </c>
      <c r="D417" s="1" t="s">
        <v>8946</v>
      </c>
      <c r="E417" s="1" t="s">
        <v>7</v>
      </c>
      <c r="F417" s="1" t="s">
        <v>8187</v>
      </c>
      <c r="G417" s="1" t="s">
        <v>8947</v>
      </c>
      <c r="H417" s="1" t="s">
        <v>9056</v>
      </c>
      <c r="J417" s="1" t="s">
        <v>8953</v>
      </c>
      <c r="K417" s="1">
        <v>2014</v>
      </c>
      <c r="L417" s="1" t="s">
        <v>8950</v>
      </c>
      <c r="M417" s="1" t="s">
        <v>7659</v>
      </c>
      <c r="N417" s="17" t="s">
        <v>7945</v>
      </c>
      <c r="O417" s="33"/>
      <c r="P417" s="33"/>
      <c r="Q417" s="33"/>
      <c r="R417" s="33"/>
      <c r="S417" s="33">
        <v>8.1</v>
      </c>
      <c r="T417" s="33"/>
      <c r="U417" s="33"/>
      <c r="V417" s="33"/>
      <c r="W417" s="33"/>
      <c r="X417" s="33"/>
      <c r="Y417" s="33"/>
      <c r="Z417" s="33">
        <v>20.006630000000001</v>
      </c>
      <c r="AA417" s="33"/>
      <c r="AB417" s="33"/>
      <c r="AC417" s="33">
        <v>1.0660400000000001</v>
      </c>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33"/>
      <c r="BE417" s="33"/>
      <c r="BF417" s="33"/>
      <c r="BG417" s="33"/>
      <c r="BH417" s="33"/>
      <c r="BI417" s="33"/>
      <c r="BJ417" s="33"/>
      <c r="BK417" s="33"/>
      <c r="BL417" s="33"/>
      <c r="BM417" s="33"/>
      <c r="BN417" s="33"/>
      <c r="BO417" s="33"/>
      <c r="BP417" s="33"/>
      <c r="BQ417" s="33">
        <v>2.8213299999999997</v>
      </c>
      <c r="BR417" s="33"/>
      <c r="BS417" s="33"/>
      <c r="BT417" s="33"/>
      <c r="BU417" s="33"/>
      <c r="BV417" s="33"/>
      <c r="BW417" s="33"/>
      <c r="BX417" s="33"/>
      <c r="BY417" s="33"/>
      <c r="BZ417" s="33"/>
      <c r="CA417" s="33"/>
      <c r="CB417" s="33"/>
      <c r="CC417" s="33"/>
      <c r="CD417" s="33"/>
      <c r="CE417" s="33"/>
      <c r="CF417" s="33"/>
      <c r="CG417" s="33"/>
      <c r="CH417" s="33"/>
      <c r="CI417" s="33"/>
      <c r="CJ417" s="33"/>
      <c r="CK417" s="33"/>
      <c r="CL417" s="33"/>
      <c r="CM417" s="33"/>
      <c r="CN417" s="33"/>
      <c r="CO417" s="33"/>
      <c r="CP417" s="33">
        <v>220.56</v>
      </c>
      <c r="CQ417" s="33"/>
      <c r="CR417" s="33">
        <v>0.78115000000000001</v>
      </c>
      <c r="CS417" s="33">
        <v>6.1563810000000005</v>
      </c>
      <c r="CT417" s="33"/>
      <c r="CU417" s="33"/>
      <c r="CV417" s="33">
        <v>156.23000000000005</v>
      </c>
      <c r="CW417" s="33">
        <v>2.2975000000000003</v>
      </c>
      <c r="CX417" s="33"/>
      <c r="CY417" s="33">
        <v>330.84000000000003</v>
      </c>
      <c r="CZ417" s="33"/>
      <c r="DA417" s="33">
        <v>2.33426</v>
      </c>
      <c r="DB417" s="33"/>
      <c r="DC417" s="33"/>
      <c r="DD417" s="33"/>
      <c r="DE417" s="33"/>
      <c r="DF417" s="33"/>
      <c r="DG417" s="33"/>
      <c r="DH417" s="33"/>
      <c r="DI417" s="33"/>
      <c r="DJ417" s="33"/>
      <c r="DK417" s="33"/>
      <c r="DL417" s="33"/>
      <c r="DM417" s="33"/>
      <c r="DN417" s="33"/>
      <c r="DO417" s="33"/>
      <c r="DP417" s="33"/>
      <c r="DQ417" s="33"/>
      <c r="DR417" s="33"/>
      <c r="DS417" s="33"/>
      <c r="DT417" s="33"/>
      <c r="DU417" s="33"/>
      <c r="DV417" s="33"/>
      <c r="DW417" s="33"/>
      <c r="DX417" s="33"/>
      <c r="DY417" s="33"/>
      <c r="DZ417" s="33"/>
      <c r="EA417" s="33"/>
      <c r="EB417" s="33"/>
      <c r="EC417" s="33"/>
      <c r="ED417" s="33"/>
      <c r="EE417" s="33"/>
      <c r="EF417" s="33"/>
      <c r="EG417" s="33"/>
      <c r="EH417" s="33"/>
      <c r="EI417" s="33"/>
      <c r="EJ417" s="33"/>
      <c r="EK417" s="33"/>
      <c r="EL417" s="33"/>
      <c r="EM417" s="33"/>
      <c r="EN417" s="33"/>
      <c r="EO417" s="33"/>
      <c r="EP417" s="33"/>
      <c r="EQ417" s="33"/>
      <c r="ER417" s="33"/>
      <c r="ES417" s="33"/>
      <c r="ET417" s="33"/>
      <c r="EU417" s="33"/>
      <c r="EV417" s="33"/>
      <c r="EW417" s="33"/>
      <c r="EX417" s="33"/>
      <c r="EY417" s="33"/>
      <c r="EZ417" s="33"/>
      <c r="FA417" s="33"/>
      <c r="FB417" s="33"/>
      <c r="FC417" s="33"/>
      <c r="FD417" s="33"/>
      <c r="FE417" s="33"/>
      <c r="FF417" s="33"/>
      <c r="FG417" s="33"/>
      <c r="FH417" s="33"/>
      <c r="FI417" s="33"/>
      <c r="FJ417" s="33"/>
      <c r="FK417" s="33"/>
      <c r="FL417" s="33"/>
      <c r="FM417" s="33"/>
      <c r="FN417" s="33"/>
      <c r="FO417" s="33"/>
      <c r="FP417" s="33"/>
      <c r="FQ417" s="33"/>
      <c r="FR417" s="33"/>
      <c r="FS417" s="33"/>
      <c r="FT417" s="33"/>
      <c r="FU417" s="33"/>
      <c r="FV417" s="33"/>
      <c r="FW417" s="33"/>
      <c r="FX417" s="33"/>
      <c r="FY417" s="33"/>
      <c r="FZ417" s="33"/>
      <c r="GA417" s="33"/>
      <c r="GB417" s="33"/>
      <c r="GC417" s="33"/>
      <c r="GD417" s="33"/>
      <c r="GE417" s="33"/>
      <c r="GF417" s="33"/>
      <c r="GG417" s="33"/>
      <c r="GH417" s="33"/>
      <c r="GI417" s="33"/>
      <c r="GJ417" s="33"/>
      <c r="GK417" s="33"/>
      <c r="GL417" s="33"/>
      <c r="GM417" s="33"/>
      <c r="GN417" s="33"/>
      <c r="GO417" s="33"/>
      <c r="GP417" s="33"/>
      <c r="GQ417" s="33"/>
      <c r="GR417" s="33"/>
      <c r="GS417" s="33"/>
      <c r="GT417" s="33"/>
      <c r="GU417" s="33"/>
      <c r="GV417" s="33"/>
      <c r="GW417" s="33"/>
      <c r="GX417" s="33"/>
      <c r="GY417" s="33"/>
      <c r="GZ417" s="33"/>
      <c r="HA417" s="33"/>
      <c r="HB417" s="33"/>
      <c r="HC417" s="33"/>
      <c r="HD417" s="33"/>
      <c r="HE417" s="33"/>
      <c r="HF417" s="33"/>
      <c r="HG417" s="33"/>
      <c r="HH417" s="33"/>
      <c r="HI417" s="33"/>
      <c r="HJ417" s="33"/>
      <c r="HK417" s="33"/>
      <c r="HL417" s="33"/>
      <c r="HM417" s="33"/>
      <c r="HN417" s="33"/>
      <c r="HO417" s="33"/>
      <c r="HP417" s="33"/>
      <c r="HQ417" s="33"/>
      <c r="HR417" s="33"/>
      <c r="HS417" s="33"/>
      <c r="HT417" s="33"/>
      <c r="HU417" s="33"/>
      <c r="HV417" s="33"/>
      <c r="HW417" s="33"/>
      <c r="HX417" s="33"/>
      <c r="HY417" s="33"/>
      <c r="HZ417" s="33"/>
      <c r="IA417" s="33"/>
      <c r="IB417" s="33"/>
      <c r="IC417" s="33"/>
      <c r="ID417" s="33"/>
      <c r="IE417" s="33"/>
      <c r="IF417" s="33"/>
      <c r="IG417" s="33"/>
      <c r="IH417" s="33"/>
      <c r="II417" s="33"/>
      <c r="IJ417" s="33"/>
      <c r="IK417" s="33"/>
      <c r="IL417" s="33"/>
      <c r="IM417" s="33"/>
      <c r="IN417" s="33"/>
      <c r="IO417" s="33"/>
      <c r="IP417" s="33"/>
      <c r="IQ417" s="33"/>
      <c r="IR417" s="33"/>
      <c r="IS417" s="33"/>
      <c r="IT417" s="33"/>
      <c r="IU417" s="33"/>
      <c r="IV417" s="33"/>
      <c r="IW417" s="33"/>
      <c r="IX417" s="33"/>
      <c r="IY417" s="33"/>
      <c r="IZ417" s="33"/>
      <c r="JA417" s="33"/>
      <c r="JB417" s="33"/>
      <c r="JC417" s="33"/>
      <c r="JD417" s="33"/>
      <c r="JE417" s="33"/>
      <c r="JF417" s="33"/>
      <c r="JG417" s="33"/>
      <c r="JH417" s="33"/>
      <c r="JI417" s="33"/>
      <c r="JJ417" s="33"/>
      <c r="JK417" s="33"/>
      <c r="JL417" s="33"/>
      <c r="JM417" s="33"/>
      <c r="JN417" s="33"/>
      <c r="JO417" s="33"/>
      <c r="JP417" s="33"/>
      <c r="JQ417" s="33"/>
      <c r="JR417" s="33"/>
      <c r="KZ417" s="33"/>
      <c r="LA417" s="33"/>
      <c r="LB417" s="33"/>
      <c r="LC417" s="33"/>
      <c r="LD417" s="33"/>
      <c r="LE417" s="33"/>
      <c r="LF417" s="33"/>
      <c r="LG417" s="33"/>
      <c r="LH417" s="33"/>
      <c r="LI417" s="33"/>
      <c r="LJ417" s="33"/>
      <c r="LK417" s="33"/>
      <c r="LL417" s="33"/>
      <c r="LM417" s="33"/>
      <c r="LN417" s="33"/>
      <c r="LO417" s="33"/>
      <c r="LP417" s="44"/>
      <c r="LQ417" s="44"/>
      <c r="LR417" s="44"/>
      <c r="LS417" s="44"/>
      <c r="LT417" s="44"/>
      <c r="LU417" s="44"/>
      <c r="LV417" s="44"/>
    </row>
    <row r="418" spans="1:334" x14ac:dyDescent="0.2">
      <c r="A418" s="1" t="s">
        <v>9057</v>
      </c>
      <c r="B418" s="1" t="s">
        <v>9058</v>
      </c>
      <c r="D418" s="1" t="s">
        <v>8946</v>
      </c>
      <c r="E418" s="1" t="s">
        <v>7</v>
      </c>
      <c r="F418" s="1" t="s">
        <v>8187</v>
      </c>
      <c r="G418" s="1" t="s">
        <v>8947</v>
      </c>
      <c r="H418" s="1" t="s">
        <v>9059</v>
      </c>
      <c r="J418" s="1" t="s">
        <v>8953</v>
      </c>
      <c r="K418" s="1">
        <v>2014</v>
      </c>
      <c r="L418" s="1" t="s">
        <v>8950</v>
      </c>
      <c r="M418" s="1" t="s">
        <v>7659</v>
      </c>
      <c r="N418" s="17" t="s">
        <v>7945</v>
      </c>
      <c r="O418" s="33"/>
      <c r="P418" s="33"/>
      <c r="Q418" s="33"/>
      <c r="R418" s="33"/>
      <c r="S418" s="33">
        <v>10.4</v>
      </c>
      <c r="T418" s="33"/>
      <c r="U418" s="33"/>
      <c r="V418" s="33"/>
      <c r="W418" s="33"/>
      <c r="X418" s="33"/>
      <c r="Y418" s="33"/>
      <c r="Z418" s="33">
        <v>19.443199999999997</v>
      </c>
      <c r="AA418" s="33"/>
      <c r="AB418" s="33"/>
      <c r="AC418" s="33">
        <v>0.73471999999999993</v>
      </c>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33"/>
      <c r="BE418" s="33"/>
      <c r="BF418" s="33"/>
      <c r="BG418" s="33"/>
      <c r="BH418" s="33"/>
      <c r="BI418" s="33"/>
      <c r="BJ418" s="33"/>
      <c r="BK418" s="33"/>
      <c r="BL418" s="33"/>
      <c r="BM418" s="33"/>
      <c r="BN418" s="33"/>
      <c r="BO418" s="33"/>
      <c r="BP418" s="33"/>
      <c r="BQ418" s="33">
        <v>2.8044799999999999</v>
      </c>
      <c r="BR418" s="33"/>
      <c r="BS418" s="33"/>
      <c r="BT418" s="33"/>
      <c r="BU418" s="33"/>
      <c r="BV418" s="33"/>
      <c r="BW418" s="33"/>
      <c r="BX418" s="33"/>
      <c r="BY418" s="33"/>
      <c r="BZ418" s="33"/>
      <c r="CA418" s="33"/>
      <c r="CB418" s="33"/>
      <c r="CC418" s="33"/>
      <c r="CD418" s="33"/>
      <c r="CE418" s="33"/>
      <c r="CF418" s="33"/>
      <c r="CG418" s="33"/>
      <c r="CH418" s="33"/>
      <c r="CI418" s="33"/>
      <c r="CJ418" s="33"/>
      <c r="CK418" s="33"/>
      <c r="CL418" s="33"/>
      <c r="CM418" s="33"/>
      <c r="CN418" s="33"/>
      <c r="CO418" s="33"/>
      <c r="CP418" s="33">
        <v>295.68</v>
      </c>
      <c r="CQ418" s="33"/>
      <c r="CR418" s="33">
        <v>0.84134400000000009</v>
      </c>
      <c r="CS418" s="33">
        <v>6.0892159999999995</v>
      </c>
      <c r="CT418" s="33"/>
      <c r="CU418" s="33"/>
      <c r="CV418" s="33">
        <v>170.23999999999998</v>
      </c>
      <c r="CW418" s="33">
        <v>1.656704</v>
      </c>
      <c r="CX418" s="33"/>
      <c r="CY418" s="33">
        <v>394.23999999999995</v>
      </c>
      <c r="CZ418" s="33"/>
      <c r="DA418" s="33">
        <v>3.5956479999999997</v>
      </c>
      <c r="DB418" s="33"/>
      <c r="DC418" s="33"/>
      <c r="DD418" s="33"/>
      <c r="DE418" s="33"/>
      <c r="DF418" s="33"/>
      <c r="DG418" s="33"/>
      <c r="DH418" s="33"/>
      <c r="DI418" s="33"/>
      <c r="DJ418" s="33"/>
      <c r="DK418" s="33"/>
      <c r="DL418" s="33"/>
      <c r="DM418" s="33"/>
      <c r="DN418" s="33"/>
      <c r="DO418" s="33"/>
      <c r="DP418" s="33"/>
      <c r="DQ418" s="33"/>
      <c r="DR418" s="33"/>
      <c r="DS418" s="33"/>
      <c r="DT418" s="33"/>
      <c r="DU418" s="33"/>
      <c r="DV418" s="33"/>
      <c r="DW418" s="33"/>
      <c r="DX418" s="33"/>
      <c r="DY418" s="33"/>
      <c r="DZ418" s="33"/>
      <c r="EA418" s="33"/>
      <c r="EB418" s="33"/>
      <c r="EC418" s="33"/>
      <c r="ED418" s="33"/>
      <c r="EE418" s="33"/>
      <c r="EF418" s="33"/>
      <c r="EG418" s="33"/>
      <c r="EH418" s="33"/>
      <c r="EI418" s="33"/>
      <c r="EJ418" s="33"/>
      <c r="EK418" s="33"/>
      <c r="EL418" s="33"/>
      <c r="EM418" s="33"/>
      <c r="EN418" s="33"/>
      <c r="EO418" s="33"/>
      <c r="EP418" s="33"/>
      <c r="EQ418" s="33"/>
      <c r="ER418" s="33"/>
      <c r="ES418" s="33"/>
      <c r="ET418" s="33"/>
      <c r="EU418" s="33"/>
      <c r="EV418" s="33"/>
      <c r="EW418" s="33"/>
      <c r="EX418" s="33"/>
      <c r="EY418" s="33"/>
      <c r="EZ418" s="33"/>
      <c r="FA418" s="33"/>
      <c r="FB418" s="33"/>
      <c r="FC418" s="33"/>
      <c r="FD418" s="33"/>
      <c r="FE418" s="33"/>
      <c r="FF418" s="33"/>
      <c r="FG418" s="33"/>
      <c r="FH418" s="33"/>
      <c r="FI418" s="33"/>
      <c r="FJ418" s="33"/>
      <c r="FK418" s="33"/>
      <c r="FL418" s="33"/>
      <c r="FM418" s="33"/>
      <c r="FN418" s="33"/>
      <c r="FO418" s="33"/>
      <c r="FP418" s="33"/>
      <c r="FQ418" s="33"/>
      <c r="FR418" s="33"/>
      <c r="FS418" s="33"/>
      <c r="FT418" s="33"/>
      <c r="FU418" s="33"/>
      <c r="FV418" s="33"/>
      <c r="FW418" s="33"/>
      <c r="FX418" s="33"/>
      <c r="FY418" s="33"/>
      <c r="FZ418" s="33"/>
      <c r="GA418" s="33"/>
      <c r="GB418" s="33"/>
      <c r="GC418" s="33"/>
      <c r="GD418" s="33"/>
      <c r="GE418" s="33"/>
      <c r="GF418" s="33"/>
      <c r="GG418" s="33"/>
      <c r="GH418" s="33"/>
      <c r="GI418" s="33"/>
      <c r="GJ418" s="33"/>
      <c r="GK418" s="33"/>
      <c r="GL418" s="33"/>
      <c r="GM418" s="33"/>
      <c r="GN418" s="33"/>
      <c r="GO418" s="33"/>
      <c r="GP418" s="33"/>
      <c r="GQ418" s="33"/>
      <c r="GR418" s="33"/>
      <c r="GS418" s="33"/>
      <c r="GT418" s="33"/>
      <c r="GU418" s="33"/>
      <c r="GV418" s="33"/>
      <c r="GW418" s="33"/>
      <c r="GX418" s="33"/>
      <c r="GY418" s="33"/>
      <c r="GZ418" s="33"/>
      <c r="HA418" s="33"/>
      <c r="HB418" s="33"/>
      <c r="HC418" s="33"/>
      <c r="HD418" s="33"/>
      <c r="HE418" s="33"/>
      <c r="HF418" s="33"/>
      <c r="HG418" s="33"/>
      <c r="HH418" s="33"/>
      <c r="HI418" s="33"/>
      <c r="HJ418" s="33"/>
      <c r="HK418" s="33"/>
      <c r="HL418" s="33"/>
      <c r="HM418" s="33"/>
      <c r="HN418" s="33"/>
      <c r="HO418" s="33"/>
      <c r="HP418" s="33"/>
      <c r="HQ418" s="33"/>
      <c r="HR418" s="33"/>
      <c r="HS418" s="33"/>
      <c r="HT418" s="33"/>
      <c r="HU418" s="33"/>
      <c r="HV418" s="33"/>
      <c r="HW418" s="33"/>
      <c r="HX418" s="33"/>
      <c r="HY418" s="33"/>
      <c r="HZ418" s="33"/>
      <c r="IA418" s="33"/>
      <c r="IB418" s="33"/>
      <c r="IC418" s="33"/>
      <c r="ID418" s="33"/>
      <c r="IE418" s="33"/>
      <c r="IF418" s="33"/>
      <c r="IG418" s="33"/>
      <c r="IH418" s="33"/>
      <c r="II418" s="33"/>
      <c r="IJ418" s="33"/>
      <c r="IK418" s="33"/>
      <c r="IL418" s="33"/>
      <c r="IM418" s="33"/>
      <c r="IN418" s="33"/>
      <c r="IO418" s="33"/>
      <c r="IP418" s="33"/>
      <c r="IQ418" s="33"/>
      <c r="IR418" s="33"/>
      <c r="IS418" s="33"/>
      <c r="IT418" s="33"/>
      <c r="IU418" s="33"/>
      <c r="IV418" s="33"/>
      <c r="IW418" s="33"/>
      <c r="IX418" s="33"/>
      <c r="IY418" s="33"/>
      <c r="IZ418" s="33"/>
      <c r="JA418" s="33"/>
      <c r="JB418" s="33"/>
      <c r="JC418" s="33"/>
      <c r="JD418" s="33"/>
      <c r="JE418" s="33"/>
      <c r="JF418" s="33"/>
      <c r="JG418" s="33"/>
      <c r="JH418" s="33"/>
      <c r="JI418" s="33"/>
      <c r="JJ418" s="33"/>
      <c r="JK418" s="33"/>
      <c r="JL418" s="33"/>
      <c r="JM418" s="33"/>
      <c r="JN418" s="33"/>
      <c r="JO418" s="33"/>
      <c r="JP418" s="33"/>
      <c r="JQ418" s="33"/>
      <c r="JR418" s="33"/>
      <c r="KZ418" s="33"/>
      <c r="LA418" s="33"/>
      <c r="LB418" s="33"/>
      <c r="LC418" s="33"/>
      <c r="LD418" s="33"/>
      <c r="LE418" s="33"/>
      <c r="LF418" s="33"/>
      <c r="LG418" s="33"/>
      <c r="LH418" s="33"/>
      <c r="LI418" s="33"/>
      <c r="LJ418" s="33"/>
      <c r="LK418" s="33"/>
      <c r="LL418" s="33"/>
      <c r="LM418" s="33"/>
      <c r="LN418" s="33"/>
      <c r="LO418" s="33"/>
      <c r="LP418" s="44"/>
      <c r="LQ418" s="44"/>
      <c r="LR418" s="44"/>
      <c r="LS418" s="44"/>
      <c r="LT418" s="44"/>
      <c r="LU418" s="44"/>
      <c r="LV418" s="44"/>
    </row>
    <row r="419" spans="1:334" x14ac:dyDescent="0.2">
      <c r="A419" s="1" t="s">
        <v>9060</v>
      </c>
      <c r="B419" s="1" t="s">
        <v>8945</v>
      </c>
      <c r="D419" s="1" t="s">
        <v>8946</v>
      </c>
      <c r="E419" s="1" t="s">
        <v>7</v>
      </c>
      <c r="F419" s="1" t="s">
        <v>8187</v>
      </c>
      <c r="G419" s="1" t="s">
        <v>8947</v>
      </c>
      <c r="H419" s="1" t="s">
        <v>9061</v>
      </c>
      <c r="J419" s="1" t="s">
        <v>8953</v>
      </c>
      <c r="K419" s="1">
        <v>2014</v>
      </c>
      <c r="L419" s="1" t="s">
        <v>8950</v>
      </c>
      <c r="M419" s="1" t="s">
        <v>7659</v>
      </c>
      <c r="N419" s="17" t="s">
        <v>7945</v>
      </c>
      <c r="O419" s="33"/>
      <c r="P419" s="33"/>
      <c r="Q419" s="33"/>
      <c r="R419" s="33"/>
      <c r="S419" s="33">
        <v>6.9</v>
      </c>
      <c r="T419" s="33"/>
      <c r="U419" s="33"/>
      <c r="V419" s="33"/>
      <c r="W419" s="33"/>
      <c r="X419" s="33"/>
      <c r="Y419" s="33"/>
      <c r="Z419" s="33">
        <v>19.271699999999999</v>
      </c>
      <c r="AA419" s="33"/>
      <c r="AB419" s="33"/>
      <c r="AC419" s="33">
        <v>0.96823999999999999</v>
      </c>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33"/>
      <c r="BE419" s="33"/>
      <c r="BF419" s="33"/>
      <c r="BG419" s="33"/>
      <c r="BH419" s="33"/>
      <c r="BI419" s="33"/>
      <c r="BJ419" s="33"/>
      <c r="BK419" s="33"/>
      <c r="BL419" s="33"/>
      <c r="BM419" s="33"/>
      <c r="BN419" s="33"/>
      <c r="BO419" s="33"/>
      <c r="BP419" s="33"/>
      <c r="BQ419" s="33">
        <v>2.8209299999999997</v>
      </c>
      <c r="BR419" s="33"/>
      <c r="BS419" s="33"/>
      <c r="BT419" s="33"/>
      <c r="BU419" s="33"/>
      <c r="BV419" s="33"/>
      <c r="BW419" s="33"/>
      <c r="BX419" s="33"/>
      <c r="BY419" s="33"/>
      <c r="BZ419" s="33"/>
      <c r="CA419" s="33"/>
      <c r="CB419" s="33"/>
      <c r="CC419" s="33"/>
      <c r="CD419" s="33"/>
      <c r="CE419" s="33"/>
      <c r="CF419" s="33"/>
      <c r="CG419" s="33"/>
      <c r="CH419" s="33"/>
      <c r="CI419" s="33"/>
      <c r="CJ419" s="33"/>
      <c r="CK419" s="33"/>
      <c r="CL419" s="33"/>
      <c r="CM419" s="33"/>
      <c r="CN419" s="33"/>
      <c r="CO419" s="33"/>
      <c r="CP419" s="33">
        <v>297.91999999999996</v>
      </c>
      <c r="CQ419" s="33"/>
      <c r="CR419" s="33">
        <v>0.86955399999999994</v>
      </c>
      <c r="CS419" s="33">
        <v>6.9759830000000012</v>
      </c>
      <c r="CT419" s="33"/>
      <c r="CU419" s="33"/>
      <c r="CV419" s="33">
        <v>176.89</v>
      </c>
      <c r="CW419" s="33">
        <v>1.4886689999999998</v>
      </c>
      <c r="CX419" s="33"/>
      <c r="CY419" s="33">
        <v>400.33</v>
      </c>
      <c r="CZ419" s="33"/>
      <c r="DA419" s="33">
        <v>3.2277770000000006</v>
      </c>
      <c r="DB419" s="33"/>
      <c r="DC419" s="33"/>
      <c r="DD419" s="33"/>
      <c r="DE419" s="33"/>
      <c r="DF419" s="33"/>
      <c r="DG419" s="33"/>
      <c r="DH419" s="33"/>
      <c r="DI419" s="33"/>
      <c r="DJ419" s="33"/>
      <c r="DK419" s="33"/>
      <c r="DL419" s="33"/>
      <c r="DM419" s="33"/>
      <c r="DN419" s="33"/>
      <c r="DO419" s="33"/>
      <c r="DP419" s="33"/>
      <c r="DQ419" s="33"/>
      <c r="DR419" s="33"/>
      <c r="DS419" s="33"/>
      <c r="DT419" s="33"/>
      <c r="DU419" s="33"/>
      <c r="DV419" s="33"/>
      <c r="DW419" s="33"/>
      <c r="DX419" s="33"/>
      <c r="DY419" s="33"/>
      <c r="DZ419" s="33"/>
      <c r="EA419" s="33"/>
      <c r="EB419" s="33"/>
      <c r="EC419" s="33"/>
      <c r="ED419" s="33"/>
      <c r="EE419" s="33"/>
      <c r="EF419" s="33"/>
      <c r="EG419" s="33"/>
      <c r="EH419" s="33"/>
      <c r="EI419" s="33"/>
      <c r="EJ419" s="33"/>
      <c r="EK419" s="33"/>
      <c r="EL419" s="33"/>
      <c r="EM419" s="33"/>
      <c r="EN419" s="33"/>
      <c r="EO419" s="33"/>
      <c r="EP419" s="33"/>
      <c r="EQ419" s="33"/>
      <c r="ER419" s="33"/>
      <c r="ES419" s="33"/>
      <c r="ET419" s="33"/>
      <c r="EU419" s="33"/>
      <c r="EV419" s="33"/>
      <c r="EW419" s="33"/>
      <c r="EX419" s="33"/>
      <c r="EY419" s="33"/>
      <c r="EZ419" s="33"/>
      <c r="FA419" s="33"/>
      <c r="FB419" s="33"/>
      <c r="FC419" s="33"/>
      <c r="FD419" s="33"/>
      <c r="FE419" s="33"/>
      <c r="FF419" s="33"/>
      <c r="FG419" s="33"/>
      <c r="FH419" s="33"/>
      <c r="FI419" s="33"/>
      <c r="FJ419" s="33"/>
      <c r="FK419" s="33"/>
      <c r="FL419" s="33"/>
      <c r="FM419" s="33"/>
      <c r="FN419" s="33"/>
      <c r="FO419" s="33"/>
      <c r="FP419" s="33"/>
      <c r="FQ419" s="33"/>
      <c r="FR419" s="33"/>
      <c r="FS419" s="33"/>
      <c r="FT419" s="33"/>
      <c r="FU419" s="33"/>
      <c r="FV419" s="33"/>
      <c r="FW419" s="33"/>
      <c r="FX419" s="33"/>
      <c r="FY419" s="33"/>
      <c r="FZ419" s="33"/>
      <c r="GA419" s="33"/>
      <c r="GB419" s="33"/>
      <c r="GC419" s="33"/>
      <c r="GD419" s="33"/>
      <c r="GE419" s="33"/>
      <c r="GF419" s="33"/>
      <c r="GG419" s="33"/>
      <c r="GH419" s="33"/>
      <c r="GI419" s="33"/>
      <c r="GJ419" s="33"/>
      <c r="GK419" s="33"/>
      <c r="GL419" s="33"/>
      <c r="GM419" s="33"/>
      <c r="GN419" s="33"/>
      <c r="GO419" s="33"/>
      <c r="GP419" s="33"/>
      <c r="GQ419" s="33"/>
      <c r="GR419" s="33"/>
      <c r="GS419" s="33"/>
      <c r="GT419" s="33"/>
      <c r="GU419" s="33"/>
      <c r="GV419" s="33"/>
      <c r="GW419" s="33"/>
      <c r="GX419" s="33"/>
      <c r="GY419" s="33"/>
      <c r="GZ419" s="33"/>
      <c r="HA419" s="33"/>
      <c r="HB419" s="33"/>
      <c r="HC419" s="33"/>
      <c r="HD419" s="33"/>
      <c r="HE419" s="33"/>
      <c r="HF419" s="33"/>
      <c r="HG419" s="33"/>
      <c r="HH419" s="33"/>
      <c r="HI419" s="33"/>
      <c r="HJ419" s="33"/>
      <c r="HK419" s="33"/>
      <c r="HL419" s="33"/>
      <c r="HM419" s="33"/>
      <c r="HN419" s="33"/>
      <c r="HO419" s="33"/>
      <c r="HP419" s="33"/>
      <c r="HQ419" s="33"/>
      <c r="HR419" s="33"/>
      <c r="HS419" s="33"/>
      <c r="HT419" s="33"/>
      <c r="HU419" s="33"/>
      <c r="HV419" s="33"/>
      <c r="HW419" s="33"/>
      <c r="HX419" s="33"/>
      <c r="HY419" s="33"/>
      <c r="HZ419" s="33"/>
      <c r="IA419" s="33"/>
      <c r="IB419" s="33"/>
      <c r="IC419" s="33"/>
      <c r="ID419" s="33"/>
      <c r="IE419" s="33"/>
      <c r="IF419" s="33"/>
      <c r="IG419" s="33"/>
      <c r="IH419" s="33"/>
      <c r="II419" s="33"/>
      <c r="IJ419" s="33"/>
      <c r="IK419" s="33"/>
      <c r="IL419" s="33"/>
      <c r="IM419" s="33"/>
      <c r="IN419" s="33"/>
      <c r="IO419" s="33"/>
      <c r="IP419" s="33"/>
      <c r="IQ419" s="33"/>
      <c r="IR419" s="33"/>
      <c r="IS419" s="33"/>
      <c r="IT419" s="33"/>
      <c r="IU419" s="33"/>
      <c r="IV419" s="33"/>
      <c r="IW419" s="33"/>
      <c r="IX419" s="33"/>
      <c r="IY419" s="33"/>
      <c r="IZ419" s="33"/>
      <c r="JA419" s="33"/>
      <c r="JB419" s="33"/>
      <c r="JC419" s="33"/>
      <c r="JD419" s="33"/>
      <c r="JE419" s="33"/>
      <c r="JF419" s="33"/>
      <c r="JG419" s="33"/>
      <c r="JH419" s="33"/>
      <c r="JI419" s="33"/>
      <c r="JJ419" s="33"/>
      <c r="JK419" s="33"/>
      <c r="JL419" s="33"/>
      <c r="JM419" s="33"/>
      <c r="JN419" s="33"/>
      <c r="JO419" s="33"/>
      <c r="JP419" s="33"/>
      <c r="JQ419" s="33"/>
      <c r="JR419" s="33"/>
      <c r="KZ419" s="33"/>
      <c r="LA419" s="33"/>
      <c r="LB419" s="33"/>
      <c r="LC419" s="33"/>
      <c r="LD419" s="33"/>
      <c r="LE419" s="33"/>
      <c r="LF419" s="33"/>
      <c r="LG419" s="33"/>
      <c r="LH419" s="33"/>
      <c r="LI419" s="33"/>
      <c r="LJ419" s="33"/>
      <c r="LK419" s="33"/>
      <c r="LL419" s="33"/>
      <c r="LM419" s="33"/>
      <c r="LN419" s="33"/>
      <c r="LO419" s="33"/>
      <c r="LP419" s="44"/>
      <c r="LQ419" s="44"/>
      <c r="LR419" s="44"/>
      <c r="LS419" s="44"/>
      <c r="LT419" s="44"/>
      <c r="LU419" s="44"/>
      <c r="LV419" s="44"/>
    </row>
    <row r="420" spans="1:334" x14ac:dyDescent="0.2">
      <c r="A420" s="1" t="s">
        <v>9062</v>
      </c>
      <c r="B420" s="1" t="s">
        <v>8990</v>
      </c>
      <c r="D420" s="1" t="s">
        <v>8946</v>
      </c>
      <c r="E420" s="1" t="s">
        <v>7</v>
      </c>
      <c r="F420" s="1" t="s">
        <v>8187</v>
      </c>
      <c r="G420" s="1" t="s">
        <v>8947</v>
      </c>
      <c r="H420" s="1" t="s">
        <v>9063</v>
      </c>
      <c r="J420" s="1" t="s">
        <v>8953</v>
      </c>
      <c r="K420" s="1">
        <v>2014</v>
      </c>
      <c r="L420" s="1" t="s">
        <v>8950</v>
      </c>
      <c r="M420" s="1" t="s">
        <v>7659</v>
      </c>
      <c r="N420" s="17" t="s">
        <v>7945</v>
      </c>
      <c r="O420" s="33"/>
      <c r="P420" s="33"/>
      <c r="Q420" s="33"/>
      <c r="R420" s="33"/>
      <c r="S420" s="33">
        <v>8.4</v>
      </c>
      <c r="T420" s="33"/>
      <c r="U420" s="33"/>
      <c r="V420" s="33"/>
      <c r="W420" s="33"/>
      <c r="X420" s="33"/>
      <c r="Y420" s="33"/>
      <c r="Z420" s="33">
        <v>19.758119999999998</v>
      </c>
      <c r="AA420" s="33"/>
      <c r="AB420" s="33"/>
      <c r="AC420" s="33">
        <v>0.96179999999999988</v>
      </c>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33"/>
      <c r="BE420" s="33"/>
      <c r="BF420" s="33"/>
      <c r="BG420" s="33"/>
      <c r="BH420" s="33"/>
      <c r="BI420" s="33"/>
      <c r="BJ420" s="33"/>
      <c r="BK420" s="33"/>
      <c r="BL420" s="33"/>
      <c r="BM420" s="33"/>
      <c r="BN420" s="33"/>
      <c r="BO420" s="33"/>
      <c r="BP420" s="33"/>
      <c r="BQ420" s="33">
        <v>2.8121199999999997</v>
      </c>
      <c r="BR420" s="33"/>
      <c r="BS420" s="33"/>
      <c r="BT420" s="33"/>
      <c r="BU420" s="33"/>
      <c r="BV420" s="33"/>
      <c r="BW420" s="33"/>
      <c r="BX420" s="33"/>
      <c r="BY420" s="33"/>
      <c r="BZ420" s="33"/>
      <c r="CA420" s="33"/>
      <c r="CB420" s="33"/>
      <c r="CC420" s="33"/>
      <c r="CD420" s="33"/>
      <c r="CE420" s="33"/>
      <c r="CF420" s="33"/>
      <c r="CG420" s="33"/>
      <c r="CH420" s="33"/>
      <c r="CI420" s="33"/>
      <c r="CJ420" s="33"/>
      <c r="CK420" s="33"/>
      <c r="CL420" s="33"/>
      <c r="CM420" s="33"/>
      <c r="CN420" s="33"/>
      <c r="CO420" s="33"/>
      <c r="CP420" s="33">
        <v>283.95999999999998</v>
      </c>
      <c r="CQ420" s="33"/>
      <c r="CR420" s="33">
        <v>0.90684000000000009</v>
      </c>
      <c r="CS420" s="33">
        <v>6.9579359999999992</v>
      </c>
      <c r="CT420" s="33"/>
      <c r="CU420" s="33"/>
      <c r="CV420" s="33">
        <v>174.04</v>
      </c>
      <c r="CW420" s="33">
        <v>1.3272839999999999</v>
      </c>
      <c r="CX420" s="33"/>
      <c r="CY420" s="33">
        <v>375.55999999999995</v>
      </c>
      <c r="CZ420" s="33"/>
      <c r="DA420" s="33">
        <v>2.8560879999999997</v>
      </c>
      <c r="DB420" s="33"/>
      <c r="DC420" s="33"/>
      <c r="DD420" s="33"/>
      <c r="DE420" s="33"/>
      <c r="DF420" s="33"/>
      <c r="DG420" s="33"/>
      <c r="DH420" s="33"/>
      <c r="DI420" s="33"/>
      <c r="DJ420" s="33"/>
      <c r="DK420" s="33"/>
      <c r="DL420" s="33"/>
      <c r="DM420" s="33"/>
      <c r="DN420" s="33"/>
      <c r="DO420" s="33"/>
      <c r="DP420" s="33"/>
      <c r="DQ420" s="33"/>
      <c r="DR420" s="33"/>
      <c r="DS420" s="33"/>
      <c r="DT420" s="33"/>
      <c r="DU420" s="33"/>
      <c r="DV420" s="33"/>
      <c r="DW420" s="33"/>
      <c r="DX420" s="33"/>
      <c r="DY420" s="33"/>
      <c r="DZ420" s="33"/>
      <c r="EA420" s="33"/>
      <c r="EB420" s="33"/>
      <c r="EC420" s="33"/>
      <c r="ED420" s="33"/>
      <c r="EE420" s="33"/>
      <c r="EF420" s="33"/>
      <c r="EG420" s="33"/>
      <c r="EH420" s="33"/>
      <c r="EI420" s="33"/>
      <c r="EJ420" s="33"/>
      <c r="EK420" s="33"/>
      <c r="EL420" s="33"/>
      <c r="EM420" s="33"/>
      <c r="EN420" s="33"/>
      <c r="EO420" s="33"/>
      <c r="EP420" s="33"/>
      <c r="EQ420" s="33"/>
      <c r="ER420" s="33"/>
      <c r="ES420" s="33"/>
      <c r="ET420" s="33"/>
      <c r="EU420" s="33"/>
      <c r="EV420" s="33"/>
      <c r="EW420" s="33"/>
      <c r="EX420" s="33"/>
      <c r="EY420" s="33"/>
      <c r="EZ420" s="33"/>
      <c r="FA420" s="33"/>
      <c r="FB420" s="33"/>
      <c r="FC420" s="33"/>
      <c r="FD420" s="33"/>
      <c r="FE420" s="33"/>
      <c r="FF420" s="33"/>
      <c r="FG420" s="33"/>
      <c r="FH420" s="33"/>
      <c r="FI420" s="33"/>
      <c r="FJ420" s="33"/>
      <c r="FK420" s="33"/>
      <c r="FL420" s="33"/>
      <c r="FM420" s="33"/>
      <c r="FN420" s="33"/>
      <c r="FO420" s="33"/>
      <c r="FP420" s="33"/>
      <c r="FQ420" s="33"/>
      <c r="FR420" s="33"/>
      <c r="FS420" s="33"/>
      <c r="FT420" s="33"/>
      <c r="FU420" s="33"/>
      <c r="FV420" s="33"/>
      <c r="FW420" s="33"/>
      <c r="FX420" s="33"/>
      <c r="FY420" s="33"/>
      <c r="FZ420" s="33"/>
      <c r="GA420" s="33"/>
      <c r="GB420" s="33"/>
      <c r="GC420" s="33"/>
      <c r="GD420" s="33"/>
      <c r="GE420" s="33"/>
      <c r="GF420" s="33"/>
      <c r="GG420" s="33"/>
      <c r="GH420" s="33"/>
      <c r="GI420" s="33"/>
      <c r="GJ420" s="33"/>
      <c r="GK420" s="33"/>
      <c r="GL420" s="33"/>
      <c r="GM420" s="33"/>
      <c r="GN420" s="33"/>
      <c r="GO420" s="33"/>
      <c r="GP420" s="33"/>
      <c r="GQ420" s="33"/>
      <c r="GR420" s="33"/>
      <c r="GS420" s="33"/>
      <c r="GT420" s="33"/>
      <c r="GU420" s="33"/>
      <c r="GV420" s="33"/>
      <c r="GW420" s="33"/>
      <c r="GX420" s="33"/>
      <c r="GY420" s="33"/>
      <c r="GZ420" s="33"/>
      <c r="HA420" s="33"/>
      <c r="HB420" s="33"/>
      <c r="HC420" s="33"/>
      <c r="HD420" s="33"/>
      <c r="HE420" s="33"/>
      <c r="HF420" s="33"/>
      <c r="HG420" s="33"/>
      <c r="HH420" s="33"/>
      <c r="HI420" s="33"/>
      <c r="HJ420" s="33"/>
      <c r="HK420" s="33"/>
      <c r="HL420" s="33"/>
      <c r="HM420" s="33"/>
      <c r="HN420" s="33"/>
      <c r="HO420" s="33"/>
      <c r="HP420" s="33"/>
      <c r="HQ420" s="33"/>
      <c r="HR420" s="33"/>
      <c r="HS420" s="33"/>
      <c r="HT420" s="33"/>
      <c r="HU420" s="33"/>
      <c r="HV420" s="33"/>
      <c r="HW420" s="33"/>
      <c r="HX420" s="33"/>
      <c r="HY420" s="33"/>
      <c r="HZ420" s="33"/>
      <c r="IA420" s="33"/>
      <c r="IB420" s="33"/>
      <c r="IC420" s="33"/>
      <c r="ID420" s="33"/>
      <c r="IE420" s="33"/>
      <c r="IF420" s="33"/>
      <c r="IG420" s="33"/>
      <c r="IH420" s="33"/>
      <c r="II420" s="33"/>
      <c r="IJ420" s="33"/>
      <c r="IK420" s="33"/>
      <c r="IL420" s="33"/>
      <c r="IM420" s="33"/>
      <c r="IN420" s="33"/>
      <c r="IO420" s="33"/>
      <c r="IP420" s="33"/>
      <c r="IQ420" s="33"/>
      <c r="IR420" s="33"/>
      <c r="IS420" s="33"/>
      <c r="IT420" s="33"/>
      <c r="IU420" s="33"/>
      <c r="IV420" s="33"/>
      <c r="IW420" s="33"/>
      <c r="IX420" s="33"/>
      <c r="IY420" s="33"/>
      <c r="IZ420" s="33"/>
      <c r="JA420" s="33"/>
      <c r="JB420" s="33"/>
      <c r="JC420" s="33"/>
      <c r="JD420" s="33"/>
      <c r="JE420" s="33"/>
      <c r="JF420" s="33"/>
      <c r="JG420" s="33"/>
      <c r="JH420" s="33"/>
      <c r="JI420" s="33"/>
      <c r="JJ420" s="33"/>
      <c r="JK420" s="33"/>
      <c r="JL420" s="33"/>
      <c r="JM420" s="33"/>
      <c r="JN420" s="33"/>
      <c r="JO420" s="33"/>
      <c r="JP420" s="33"/>
      <c r="JQ420" s="33"/>
      <c r="JR420" s="33"/>
      <c r="KZ420" s="33"/>
      <c r="LA420" s="33"/>
      <c r="LB420" s="33"/>
      <c r="LC420" s="33"/>
      <c r="LD420" s="33"/>
      <c r="LE420" s="33"/>
      <c r="LF420" s="33"/>
      <c r="LG420" s="33"/>
      <c r="LH420" s="33"/>
      <c r="LI420" s="33"/>
      <c r="LJ420" s="33"/>
      <c r="LK420" s="33"/>
      <c r="LL420" s="33"/>
      <c r="LM420" s="33"/>
      <c r="LN420" s="33"/>
      <c r="LO420" s="33"/>
      <c r="LP420" s="44"/>
      <c r="LQ420" s="44"/>
      <c r="LR420" s="44"/>
      <c r="LS420" s="44"/>
      <c r="LT420" s="44"/>
      <c r="LU420" s="44"/>
      <c r="LV420" s="44"/>
    </row>
    <row r="421" spans="1:334" x14ac:dyDescent="0.2">
      <c r="A421" s="1" t="s">
        <v>9064</v>
      </c>
      <c r="B421" s="1" t="s">
        <v>8995</v>
      </c>
      <c r="D421" s="1" t="s">
        <v>8946</v>
      </c>
      <c r="E421" s="1" t="s">
        <v>7</v>
      </c>
      <c r="F421" s="1" t="s">
        <v>8187</v>
      </c>
      <c r="G421" s="1" t="s">
        <v>8947</v>
      </c>
      <c r="H421" s="1" t="s">
        <v>9065</v>
      </c>
      <c r="J421" s="1" t="s">
        <v>8953</v>
      </c>
      <c r="K421" s="1">
        <v>2014</v>
      </c>
      <c r="L421" s="1" t="s">
        <v>8950</v>
      </c>
      <c r="M421" s="1" t="s">
        <v>7659</v>
      </c>
      <c r="N421" s="17" t="s">
        <v>7945</v>
      </c>
      <c r="O421" s="33"/>
      <c r="P421" s="33"/>
      <c r="Q421" s="33"/>
      <c r="R421" s="33"/>
      <c r="S421" s="33">
        <v>9.3000000000000007</v>
      </c>
      <c r="T421" s="33"/>
      <c r="U421" s="33"/>
      <c r="V421" s="33"/>
      <c r="W421" s="33"/>
      <c r="X421" s="33"/>
      <c r="Y421" s="33"/>
      <c r="Z421" s="33">
        <v>18.484659999999998</v>
      </c>
      <c r="AA421" s="33"/>
      <c r="AB421" s="33"/>
      <c r="AC421" s="33">
        <v>0.96142000000000005</v>
      </c>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c r="BP421" s="33"/>
      <c r="BQ421" s="33">
        <v>3.0203100000000003</v>
      </c>
      <c r="BR421" s="33"/>
      <c r="BS421" s="33"/>
      <c r="BT421" s="33"/>
      <c r="BU421" s="33"/>
      <c r="BV421" s="33"/>
      <c r="BW421" s="33"/>
      <c r="BX421" s="33"/>
      <c r="BY421" s="33"/>
      <c r="BZ421" s="33"/>
      <c r="CA421" s="33"/>
      <c r="CB421" s="33"/>
      <c r="CC421" s="33"/>
      <c r="CD421" s="33"/>
      <c r="CE421" s="33"/>
      <c r="CF421" s="33"/>
      <c r="CG421" s="33"/>
      <c r="CH421" s="33"/>
      <c r="CI421" s="33"/>
      <c r="CJ421" s="33"/>
      <c r="CK421" s="33"/>
      <c r="CL421" s="33"/>
      <c r="CM421" s="33"/>
      <c r="CN421" s="33"/>
      <c r="CO421" s="33"/>
      <c r="CP421" s="33">
        <v>335.59</v>
      </c>
      <c r="CQ421" s="33"/>
      <c r="CR421" s="33">
        <v>0.91607000000000005</v>
      </c>
      <c r="CS421" s="33">
        <v>6.3925360000000016</v>
      </c>
      <c r="CT421" s="33"/>
      <c r="CU421" s="33"/>
      <c r="CV421" s="33">
        <v>181.4</v>
      </c>
      <c r="CW421" s="33">
        <v>1.3142430000000001</v>
      </c>
      <c r="CX421" s="33"/>
      <c r="CY421" s="33">
        <v>371.87</v>
      </c>
      <c r="CZ421" s="33"/>
      <c r="DA421" s="33">
        <v>2.7971880000000002</v>
      </c>
      <c r="DB421" s="33"/>
      <c r="DC421" s="33"/>
      <c r="DD421" s="33"/>
      <c r="DE421" s="33"/>
      <c r="DF421" s="33"/>
      <c r="DG421" s="33"/>
      <c r="DH421" s="33"/>
      <c r="DI421" s="33"/>
      <c r="DJ421" s="33"/>
      <c r="DK421" s="33"/>
      <c r="DL421" s="33"/>
      <c r="DM421" s="33"/>
      <c r="DN421" s="33"/>
      <c r="DO421" s="33"/>
      <c r="DP421" s="33"/>
      <c r="DQ421" s="33"/>
      <c r="DR421" s="33"/>
      <c r="DS421" s="33"/>
      <c r="DT421" s="33"/>
      <c r="DU421" s="33"/>
      <c r="DV421" s="33"/>
      <c r="DW421" s="33"/>
      <c r="DX421" s="33"/>
      <c r="DY421" s="33"/>
      <c r="DZ421" s="33"/>
      <c r="EA421" s="33"/>
      <c r="EB421" s="33"/>
      <c r="EC421" s="33"/>
      <c r="ED421" s="33"/>
      <c r="EE421" s="33"/>
      <c r="EF421" s="33"/>
      <c r="EG421" s="33"/>
      <c r="EH421" s="33"/>
      <c r="EI421" s="33"/>
      <c r="EJ421" s="33"/>
      <c r="EK421" s="33"/>
      <c r="EL421" s="33"/>
      <c r="EM421" s="33"/>
      <c r="EN421" s="33"/>
      <c r="EO421" s="33"/>
      <c r="EP421" s="33"/>
      <c r="EQ421" s="33"/>
      <c r="ER421" s="33"/>
      <c r="ES421" s="33"/>
      <c r="ET421" s="33"/>
      <c r="EU421" s="33"/>
      <c r="EV421" s="33"/>
      <c r="EW421" s="33"/>
      <c r="EX421" s="33"/>
      <c r="EY421" s="33"/>
      <c r="EZ421" s="33"/>
      <c r="FA421" s="33"/>
      <c r="FB421" s="33"/>
      <c r="FC421" s="33"/>
      <c r="FD421" s="33"/>
      <c r="FE421" s="33"/>
      <c r="FF421" s="33"/>
      <c r="FG421" s="33"/>
      <c r="FH421" s="33"/>
      <c r="FI421" s="33"/>
      <c r="FJ421" s="33"/>
      <c r="FK421" s="33"/>
      <c r="FL421" s="33"/>
      <c r="FM421" s="33"/>
      <c r="FN421" s="33"/>
      <c r="FO421" s="33"/>
      <c r="FP421" s="33"/>
      <c r="FQ421" s="33"/>
      <c r="FR421" s="33"/>
      <c r="FS421" s="33"/>
      <c r="FT421" s="33"/>
      <c r="FU421" s="33"/>
      <c r="FV421" s="33"/>
      <c r="FW421" s="33"/>
      <c r="FX421" s="33"/>
      <c r="FY421" s="33"/>
      <c r="FZ421" s="33"/>
      <c r="GA421" s="33"/>
      <c r="GB421" s="33"/>
      <c r="GC421" s="33"/>
      <c r="GD421" s="33"/>
      <c r="GE421" s="33"/>
      <c r="GF421" s="33"/>
      <c r="GG421" s="33"/>
      <c r="GH421" s="33"/>
      <c r="GI421" s="33"/>
      <c r="GJ421" s="33"/>
      <c r="GK421" s="33"/>
      <c r="GL421" s="33"/>
      <c r="GM421" s="33"/>
      <c r="GN421" s="33"/>
      <c r="GO421" s="33"/>
      <c r="GP421" s="33"/>
      <c r="GQ421" s="33"/>
      <c r="GR421" s="33"/>
      <c r="GS421" s="33"/>
      <c r="GT421" s="33"/>
      <c r="GU421" s="33"/>
      <c r="GV421" s="33"/>
      <c r="GW421" s="33"/>
      <c r="GX421" s="33"/>
      <c r="GY421" s="33"/>
      <c r="GZ421" s="33"/>
      <c r="HA421" s="33"/>
      <c r="HB421" s="33"/>
      <c r="HC421" s="33"/>
      <c r="HD421" s="33"/>
      <c r="HE421" s="33"/>
      <c r="HF421" s="33"/>
      <c r="HG421" s="33"/>
      <c r="HH421" s="33"/>
      <c r="HI421" s="33"/>
      <c r="HJ421" s="33"/>
      <c r="HK421" s="33"/>
      <c r="HL421" s="33"/>
      <c r="HM421" s="33"/>
      <c r="HN421" s="33"/>
      <c r="HO421" s="33"/>
      <c r="HP421" s="33"/>
      <c r="HQ421" s="33"/>
      <c r="HR421" s="33"/>
      <c r="HS421" s="33"/>
      <c r="HT421" s="33"/>
      <c r="HU421" s="33"/>
      <c r="HV421" s="33"/>
      <c r="HW421" s="33"/>
      <c r="HX421" s="33"/>
      <c r="HY421" s="33"/>
      <c r="HZ421" s="33"/>
      <c r="IA421" s="33"/>
      <c r="IB421" s="33"/>
      <c r="IC421" s="33"/>
      <c r="ID421" s="33"/>
      <c r="IE421" s="33"/>
      <c r="IF421" s="33"/>
      <c r="IG421" s="33"/>
      <c r="IH421" s="33"/>
      <c r="II421" s="33"/>
      <c r="IJ421" s="33"/>
      <c r="IK421" s="33"/>
      <c r="IL421" s="33"/>
      <c r="IM421" s="33"/>
      <c r="IN421" s="33"/>
      <c r="IO421" s="33"/>
      <c r="IP421" s="33"/>
      <c r="IQ421" s="33"/>
      <c r="IR421" s="33"/>
      <c r="IS421" s="33"/>
      <c r="IT421" s="33"/>
      <c r="IU421" s="33"/>
      <c r="IV421" s="33"/>
      <c r="IW421" s="33"/>
      <c r="IX421" s="33"/>
      <c r="IY421" s="33"/>
      <c r="IZ421" s="33"/>
      <c r="JA421" s="33"/>
      <c r="JB421" s="33"/>
      <c r="JC421" s="33"/>
      <c r="JD421" s="33"/>
      <c r="JE421" s="33"/>
      <c r="JF421" s="33"/>
      <c r="JG421" s="33"/>
      <c r="JH421" s="33"/>
      <c r="JI421" s="33"/>
      <c r="JJ421" s="33"/>
      <c r="JK421" s="33"/>
      <c r="JL421" s="33"/>
      <c r="JM421" s="33"/>
      <c r="JN421" s="33"/>
      <c r="JO421" s="33"/>
      <c r="JP421" s="33"/>
      <c r="JQ421" s="33"/>
      <c r="JR421" s="33"/>
      <c r="KZ421" s="33"/>
      <c r="LA421" s="33"/>
      <c r="LB421" s="33"/>
      <c r="LC421" s="33"/>
      <c r="LD421" s="33"/>
      <c r="LE421" s="33"/>
      <c r="LF421" s="33"/>
      <c r="LG421" s="33"/>
      <c r="LH421" s="33"/>
      <c r="LI421" s="33"/>
      <c r="LJ421" s="33"/>
      <c r="LK421" s="33"/>
      <c r="LL421" s="33"/>
      <c r="LM421" s="33"/>
      <c r="LN421" s="33"/>
      <c r="LO421" s="33"/>
      <c r="LP421" s="44"/>
      <c r="LQ421" s="44"/>
      <c r="LR421" s="44"/>
      <c r="LS421" s="44"/>
      <c r="LT421" s="44"/>
      <c r="LU421" s="44"/>
      <c r="LV421" s="44"/>
    </row>
    <row r="422" spans="1:334" x14ac:dyDescent="0.2">
      <c r="A422" s="1" t="s">
        <v>9066</v>
      </c>
      <c r="B422" s="1" t="s">
        <v>9067</v>
      </c>
      <c r="D422" s="1" t="s">
        <v>8946</v>
      </c>
      <c r="E422" s="1" t="s">
        <v>7</v>
      </c>
      <c r="F422" s="1" t="s">
        <v>8187</v>
      </c>
      <c r="G422" s="1" t="s">
        <v>8947</v>
      </c>
      <c r="H422" s="1" t="s">
        <v>9068</v>
      </c>
      <c r="J422" s="1" t="s">
        <v>8953</v>
      </c>
      <c r="K422" s="1">
        <v>2014</v>
      </c>
      <c r="L422" s="1" t="s">
        <v>8950</v>
      </c>
      <c r="M422" s="1" t="s">
        <v>7659</v>
      </c>
      <c r="N422" s="17" t="s">
        <v>7945</v>
      </c>
      <c r="O422" s="33"/>
      <c r="P422" s="33"/>
      <c r="Q422" s="33"/>
      <c r="R422" s="33"/>
      <c r="S422" s="33">
        <v>9.9</v>
      </c>
      <c r="T422" s="33"/>
      <c r="U422" s="33"/>
      <c r="V422" s="33"/>
      <c r="W422" s="33"/>
      <c r="X422" s="33"/>
      <c r="Y422" s="33"/>
      <c r="Z422" s="33">
        <v>19.299420000000001</v>
      </c>
      <c r="AA422" s="33"/>
      <c r="AB422" s="33"/>
      <c r="AC422" s="33">
        <v>1.01813</v>
      </c>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c r="BP422" s="33"/>
      <c r="BQ422" s="33">
        <v>2.8561699999999997</v>
      </c>
      <c r="BR422" s="33"/>
      <c r="BS422" s="33"/>
      <c r="BT422" s="33"/>
      <c r="BU422" s="33"/>
      <c r="BV422" s="33"/>
      <c r="BW422" s="33"/>
      <c r="BX422" s="33"/>
      <c r="BY422" s="33"/>
      <c r="BZ422" s="33"/>
      <c r="CA422" s="33"/>
      <c r="CB422" s="33"/>
      <c r="CC422" s="33"/>
      <c r="CD422" s="33"/>
      <c r="CE422" s="33"/>
      <c r="CF422" s="33"/>
      <c r="CG422" s="33"/>
      <c r="CH422" s="33"/>
      <c r="CI422" s="33"/>
      <c r="CJ422" s="33"/>
      <c r="CK422" s="33"/>
      <c r="CL422" s="33"/>
      <c r="CM422" s="33"/>
      <c r="CN422" s="33"/>
      <c r="CO422" s="33"/>
      <c r="CP422" s="33">
        <v>207.23</v>
      </c>
      <c r="CQ422" s="33"/>
      <c r="CR422" s="33">
        <v>0.68656200000000001</v>
      </c>
      <c r="CS422" s="33">
        <v>5.7727069999999996</v>
      </c>
      <c r="CT422" s="33"/>
      <c r="CU422" s="33"/>
      <c r="CV422" s="33">
        <v>198.21999999999997</v>
      </c>
      <c r="CW422" s="33">
        <v>1.7947919999999999</v>
      </c>
      <c r="CX422" s="33"/>
      <c r="CY422" s="33">
        <v>423.46999999999997</v>
      </c>
      <c r="CZ422" s="33"/>
      <c r="DA422" s="33">
        <v>3.5724649999999998</v>
      </c>
      <c r="DB422" s="33"/>
      <c r="DC422" s="33"/>
      <c r="DD422" s="33"/>
      <c r="DE422" s="33"/>
      <c r="DF422" s="33"/>
      <c r="DG422" s="33"/>
      <c r="DH422" s="33"/>
      <c r="DI422" s="33"/>
      <c r="DJ422" s="33"/>
      <c r="DK422" s="33"/>
      <c r="DL422" s="33"/>
      <c r="DM422" s="33"/>
      <c r="DN422" s="33"/>
      <c r="DO422" s="33"/>
      <c r="DP422" s="33"/>
      <c r="DQ422" s="33"/>
      <c r="DR422" s="33"/>
      <c r="DS422" s="33"/>
      <c r="DT422" s="33"/>
      <c r="DU422" s="33"/>
      <c r="DV422" s="33"/>
      <c r="DW422" s="33"/>
      <c r="DX422" s="33"/>
      <c r="DY422" s="33"/>
      <c r="DZ422" s="33"/>
      <c r="EA422" s="33"/>
      <c r="EB422" s="33"/>
      <c r="EC422" s="33"/>
      <c r="ED422" s="33"/>
      <c r="EE422" s="33"/>
      <c r="EF422" s="33"/>
      <c r="EG422" s="33"/>
      <c r="EH422" s="33"/>
      <c r="EI422" s="33"/>
      <c r="EJ422" s="33"/>
      <c r="EK422" s="33"/>
      <c r="EL422" s="33"/>
      <c r="EM422" s="33"/>
      <c r="EN422" s="33"/>
      <c r="EO422" s="33"/>
      <c r="EP422" s="33"/>
      <c r="EQ422" s="33"/>
      <c r="ER422" s="33"/>
      <c r="ES422" s="33"/>
      <c r="ET422" s="33"/>
      <c r="EU422" s="33"/>
      <c r="EV422" s="33"/>
      <c r="EW422" s="33"/>
      <c r="EX422" s="33"/>
      <c r="EY422" s="33"/>
      <c r="EZ422" s="33"/>
      <c r="FA422" s="33"/>
      <c r="FB422" s="33"/>
      <c r="FC422" s="33"/>
      <c r="FD422" s="33"/>
      <c r="FE422" s="33"/>
      <c r="FF422" s="33"/>
      <c r="FG422" s="33"/>
      <c r="FH422" s="33"/>
      <c r="FI422" s="33"/>
      <c r="FJ422" s="33"/>
      <c r="FK422" s="33"/>
      <c r="FL422" s="33"/>
      <c r="FM422" s="33"/>
      <c r="FN422" s="33"/>
      <c r="FO422" s="33"/>
      <c r="FP422" s="33"/>
      <c r="FQ422" s="33"/>
      <c r="FR422" s="33"/>
      <c r="FS422" s="33"/>
      <c r="FT422" s="33"/>
      <c r="FU422" s="33"/>
      <c r="FV422" s="33"/>
      <c r="FW422" s="33"/>
      <c r="FX422" s="33"/>
      <c r="FY422" s="33"/>
      <c r="FZ422" s="33"/>
      <c r="GA422" s="33"/>
      <c r="GB422" s="33"/>
      <c r="GC422" s="33"/>
      <c r="GD422" s="33"/>
      <c r="GE422" s="33"/>
      <c r="GF422" s="33"/>
      <c r="GG422" s="33"/>
      <c r="GH422" s="33"/>
      <c r="GI422" s="33"/>
      <c r="GJ422" s="33"/>
      <c r="GK422" s="33"/>
      <c r="GL422" s="33"/>
      <c r="GM422" s="33"/>
      <c r="GN422" s="33"/>
      <c r="GO422" s="33"/>
      <c r="GP422" s="33"/>
      <c r="GQ422" s="33"/>
      <c r="GR422" s="33"/>
      <c r="GS422" s="33"/>
      <c r="GT422" s="33"/>
      <c r="GU422" s="33"/>
      <c r="GV422" s="33"/>
      <c r="GW422" s="33"/>
      <c r="GX422" s="33"/>
      <c r="GY422" s="33"/>
      <c r="GZ422" s="33"/>
      <c r="HA422" s="33"/>
      <c r="HB422" s="33"/>
      <c r="HC422" s="33"/>
      <c r="HD422" s="33"/>
      <c r="HE422" s="33"/>
      <c r="HF422" s="33"/>
      <c r="HG422" s="33"/>
      <c r="HH422" s="33"/>
      <c r="HI422" s="33"/>
      <c r="HJ422" s="33"/>
      <c r="HK422" s="33"/>
      <c r="HL422" s="33"/>
      <c r="HM422" s="33"/>
      <c r="HN422" s="33"/>
      <c r="HO422" s="33"/>
      <c r="HP422" s="33"/>
      <c r="HQ422" s="33"/>
      <c r="HR422" s="33"/>
      <c r="HS422" s="33"/>
      <c r="HT422" s="33"/>
      <c r="HU422" s="33"/>
      <c r="HV422" s="33"/>
      <c r="HW422" s="33"/>
      <c r="HX422" s="33"/>
      <c r="HY422" s="33"/>
      <c r="HZ422" s="33"/>
      <c r="IA422" s="33"/>
      <c r="IB422" s="33"/>
      <c r="IC422" s="33"/>
      <c r="ID422" s="33"/>
      <c r="IE422" s="33"/>
      <c r="IF422" s="33"/>
      <c r="IG422" s="33"/>
      <c r="IH422" s="33"/>
      <c r="II422" s="33"/>
      <c r="IJ422" s="33"/>
      <c r="IK422" s="33"/>
      <c r="IL422" s="33"/>
      <c r="IM422" s="33"/>
      <c r="IN422" s="33"/>
      <c r="IO422" s="33"/>
      <c r="IP422" s="33"/>
      <c r="IQ422" s="33"/>
      <c r="IR422" s="33"/>
      <c r="IS422" s="33"/>
      <c r="IT422" s="33"/>
      <c r="IU422" s="33"/>
      <c r="IV422" s="33"/>
      <c r="IW422" s="33"/>
      <c r="IX422" s="33"/>
      <c r="IY422" s="33"/>
      <c r="IZ422" s="33"/>
      <c r="JA422" s="33"/>
      <c r="JB422" s="33"/>
      <c r="JC422" s="33"/>
      <c r="JD422" s="33"/>
      <c r="JE422" s="33"/>
      <c r="JF422" s="33"/>
      <c r="JG422" s="33"/>
      <c r="JH422" s="33"/>
      <c r="JI422" s="33"/>
      <c r="JJ422" s="33"/>
      <c r="JK422" s="33"/>
      <c r="JL422" s="33"/>
      <c r="JM422" s="33"/>
      <c r="JN422" s="33"/>
      <c r="JO422" s="33"/>
      <c r="JP422" s="33"/>
      <c r="JQ422" s="33"/>
      <c r="JR422" s="33"/>
      <c r="KZ422" s="33"/>
      <c r="LA422" s="33"/>
      <c r="LB422" s="33"/>
      <c r="LC422" s="33"/>
      <c r="LD422" s="33"/>
      <c r="LE422" s="33"/>
      <c r="LF422" s="33"/>
      <c r="LG422" s="33"/>
      <c r="LH422" s="33"/>
      <c r="LI422" s="33"/>
      <c r="LJ422" s="33"/>
      <c r="LK422" s="33"/>
      <c r="LL422" s="33"/>
      <c r="LM422" s="33"/>
      <c r="LN422" s="33"/>
      <c r="LO422" s="33"/>
      <c r="LP422" s="44"/>
      <c r="LQ422" s="44"/>
      <c r="LR422" s="44"/>
      <c r="LS422" s="44"/>
      <c r="LT422" s="44"/>
      <c r="LU422" s="44"/>
      <c r="LV422" s="44"/>
    </row>
    <row r="423" spans="1:334" x14ac:dyDescent="0.2">
      <c r="A423" s="1" t="s">
        <v>9069</v>
      </c>
      <c r="B423" s="1" t="s">
        <v>9070</v>
      </c>
      <c r="D423" s="1" t="s">
        <v>9071</v>
      </c>
      <c r="E423" s="1" t="s">
        <v>7</v>
      </c>
      <c r="F423" s="1" t="s">
        <v>8586</v>
      </c>
      <c r="H423" s="1" t="s">
        <v>9072</v>
      </c>
      <c r="I423" s="1">
        <v>6</v>
      </c>
      <c r="J423" s="1" t="s">
        <v>9073</v>
      </c>
      <c r="K423" s="1">
        <v>2006</v>
      </c>
      <c r="L423" s="1" t="s">
        <v>9074</v>
      </c>
      <c r="M423" s="1" t="s">
        <v>7659</v>
      </c>
      <c r="N423" s="17" t="s">
        <v>7945</v>
      </c>
      <c r="O423" s="33"/>
      <c r="P423" s="33"/>
      <c r="Q423" s="33"/>
      <c r="R423" s="33"/>
      <c r="S423" s="33">
        <v>7.79</v>
      </c>
      <c r="T423" s="33"/>
      <c r="U423" s="33">
        <v>5.4</v>
      </c>
      <c r="V423" s="33"/>
      <c r="W423" s="33"/>
      <c r="X423" s="33"/>
      <c r="Y423" s="33"/>
      <c r="Z423" s="33"/>
      <c r="AA423" s="33">
        <v>18.5</v>
      </c>
      <c r="AB423" s="33">
        <v>6.69</v>
      </c>
      <c r="AC423" s="33"/>
      <c r="AD423" s="33"/>
      <c r="AE423" s="33">
        <v>54</v>
      </c>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33"/>
      <c r="BE423" s="33">
        <v>9.8800000000000008</v>
      </c>
      <c r="BF423" s="33"/>
      <c r="BG423" s="33">
        <v>13.9</v>
      </c>
      <c r="BH423" s="33">
        <v>0</v>
      </c>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c r="CN423" s="33"/>
      <c r="CO423" s="33">
        <v>3.15</v>
      </c>
      <c r="CP423" s="33"/>
      <c r="CQ423" s="33"/>
      <c r="CR423" s="33"/>
      <c r="CS423" s="33"/>
      <c r="CT423" s="33"/>
      <c r="CU423" s="33"/>
      <c r="CV423" s="33"/>
      <c r="CW423" s="33"/>
      <c r="CX423" s="33"/>
      <c r="CY423" s="33"/>
      <c r="CZ423" s="33"/>
      <c r="DA423" s="33"/>
      <c r="DB423" s="33"/>
      <c r="DC423" s="33"/>
      <c r="DD423" s="33"/>
      <c r="DE423" s="33"/>
      <c r="DF423" s="33"/>
      <c r="DG423" s="33"/>
      <c r="DH423" s="33"/>
      <c r="DI423" s="33"/>
      <c r="DJ423" s="33"/>
      <c r="DK423" s="33"/>
      <c r="DL423" s="33"/>
      <c r="DM423" s="33"/>
      <c r="DN423" s="33"/>
      <c r="DO423" s="33"/>
      <c r="DP423" s="33"/>
      <c r="DQ423" s="33"/>
      <c r="DR423" s="33"/>
      <c r="DS423" s="33"/>
      <c r="DT423" s="33"/>
      <c r="DU423" s="33"/>
      <c r="DV423" s="33"/>
      <c r="DW423" s="33"/>
      <c r="DX423" s="33"/>
      <c r="DY423" s="33"/>
      <c r="DZ423" s="33"/>
      <c r="EA423" s="33"/>
      <c r="EB423" s="33"/>
      <c r="EC423" s="33"/>
      <c r="ED423" s="33"/>
      <c r="EE423" s="33"/>
      <c r="EF423" s="33"/>
      <c r="EG423" s="33"/>
      <c r="EH423" s="33"/>
      <c r="EI423" s="33"/>
      <c r="EJ423" s="33"/>
      <c r="EK423" s="33"/>
      <c r="EL423" s="33"/>
      <c r="EM423" s="33"/>
      <c r="EN423" s="33"/>
      <c r="EO423" s="33"/>
      <c r="EP423" s="33"/>
      <c r="EQ423" s="33"/>
      <c r="ER423" s="33"/>
      <c r="ES423" s="33"/>
      <c r="ET423" s="33"/>
      <c r="EU423" s="33"/>
      <c r="EV423" s="33"/>
      <c r="EW423" s="33"/>
      <c r="EX423" s="33"/>
      <c r="EY423" s="33"/>
      <c r="EZ423" s="33"/>
      <c r="FA423" s="33"/>
      <c r="FB423" s="33"/>
      <c r="FC423" s="33"/>
      <c r="FD423" s="33"/>
      <c r="FE423" s="33"/>
      <c r="FF423" s="33"/>
      <c r="FG423" s="33"/>
      <c r="FH423" s="33"/>
      <c r="FI423" s="33"/>
      <c r="FJ423" s="33"/>
      <c r="FK423" s="33"/>
      <c r="FL423" s="33"/>
      <c r="FM423" s="33"/>
      <c r="FN423" s="33"/>
      <c r="FO423" s="33"/>
      <c r="FP423" s="33"/>
      <c r="FQ423" s="33"/>
      <c r="FR423" s="33"/>
      <c r="FS423" s="33"/>
      <c r="FT423" s="33"/>
      <c r="FU423" s="33"/>
      <c r="FV423" s="33"/>
      <c r="FW423" s="33"/>
      <c r="FX423" s="33"/>
      <c r="FY423" s="33"/>
      <c r="FZ423" s="33"/>
      <c r="GA423" s="33"/>
      <c r="GB423" s="33"/>
      <c r="GC423" s="33"/>
      <c r="GD423" s="33"/>
      <c r="GE423" s="33"/>
      <c r="GF423" s="33"/>
      <c r="GG423" s="33"/>
      <c r="GH423" s="33"/>
      <c r="GI423" s="33"/>
      <c r="GJ423" s="33"/>
      <c r="GK423" s="33"/>
      <c r="GL423" s="33"/>
      <c r="GM423" s="33"/>
      <c r="GN423" s="33"/>
      <c r="GO423" s="33"/>
      <c r="GP423" s="33"/>
      <c r="GQ423" s="33"/>
      <c r="GR423" s="33"/>
      <c r="GS423" s="33"/>
      <c r="GT423" s="33"/>
      <c r="GU423" s="33"/>
      <c r="GV423" s="33"/>
      <c r="GW423" s="33"/>
      <c r="GX423" s="33"/>
      <c r="GY423" s="33"/>
      <c r="GZ423" s="33"/>
      <c r="HA423" s="33"/>
      <c r="HB423" s="33"/>
      <c r="HC423" s="33"/>
      <c r="HD423" s="33"/>
      <c r="HE423" s="33"/>
      <c r="HF423" s="33"/>
      <c r="HG423" s="33"/>
      <c r="HH423" s="33"/>
      <c r="HI423" s="33"/>
      <c r="HJ423" s="33"/>
      <c r="HK423" s="33"/>
      <c r="HL423" s="33"/>
      <c r="HM423" s="33"/>
      <c r="HN423" s="33"/>
      <c r="HO423" s="33"/>
      <c r="HP423" s="33"/>
      <c r="HQ423" s="33"/>
      <c r="HR423" s="33"/>
      <c r="HS423" s="33"/>
      <c r="HT423" s="33"/>
      <c r="HU423" s="33"/>
      <c r="HV423" s="33"/>
      <c r="HW423" s="33"/>
      <c r="HX423" s="33"/>
      <c r="HY423" s="33"/>
      <c r="HZ423" s="33"/>
      <c r="IA423" s="33"/>
      <c r="IB423" s="33"/>
      <c r="IC423" s="33"/>
      <c r="ID423" s="33"/>
      <c r="IE423" s="33"/>
      <c r="IF423" s="33"/>
      <c r="IG423" s="33"/>
      <c r="IH423" s="33"/>
      <c r="II423" s="33"/>
      <c r="IJ423" s="33"/>
      <c r="IK423" s="33"/>
      <c r="IL423" s="33"/>
      <c r="IM423" s="33"/>
      <c r="IN423" s="33"/>
      <c r="IO423" s="33"/>
      <c r="IP423" s="33"/>
      <c r="IQ423" s="33"/>
      <c r="IR423" s="33"/>
      <c r="IS423" s="33"/>
      <c r="IT423" s="33"/>
      <c r="IU423" s="33"/>
      <c r="IV423" s="33"/>
      <c r="IW423" s="33"/>
      <c r="IX423" s="33"/>
      <c r="IY423" s="33"/>
      <c r="IZ423" s="33"/>
      <c r="JA423" s="33"/>
      <c r="JB423" s="33"/>
      <c r="JC423" s="33"/>
      <c r="JD423" s="33"/>
      <c r="JE423" s="33"/>
      <c r="JF423" s="33"/>
      <c r="JG423" s="33"/>
      <c r="JH423" s="33"/>
      <c r="JI423" s="33"/>
      <c r="JJ423" s="33"/>
      <c r="JK423" s="33"/>
      <c r="JL423" s="33"/>
      <c r="JM423" s="33"/>
      <c r="JN423" s="33"/>
      <c r="JO423" s="33"/>
      <c r="JP423" s="33"/>
      <c r="JQ423" s="33"/>
      <c r="JR423" s="33"/>
      <c r="KZ423" s="33"/>
      <c r="LA423" s="33"/>
      <c r="LB423" s="33"/>
      <c r="LC423" s="33"/>
      <c r="LD423" s="33"/>
      <c r="LE423" s="33"/>
      <c r="LF423" s="33"/>
      <c r="LG423" s="33"/>
      <c r="LH423" s="33"/>
      <c r="LI423" s="33"/>
      <c r="LJ423" s="33"/>
      <c r="LK423" s="33"/>
      <c r="LL423" s="33"/>
      <c r="LM423" s="33"/>
      <c r="LN423" s="33"/>
      <c r="LO423" s="33"/>
      <c r="LP423" s="44"/>
      <c r="LQ423" s="44"/>
      <c r="LR423" s="44"/>
      <c r="LS423" s="44"/>
      <c r="LT423" s="44"/>
      <c r="LU423" s="44"/>
      <c r="LV423" s="44"/>
    </row>
    <row r="424" spans="1:334" x14ac:dyDescent="0.2">
      <c r="A424" s="1" t="s">
        <v>9075</v>
      </c>
      <c r="B424" s="1" t="s">
        <v>9070</v>
      </c>
      <c r="D424" s="1" t="s">
        <v>9076</v>
      </c>
      <c r="E424" s="1" t="s">
        <v>8037</v>
      </c>
      <c r="F424" s="1" t="s">
        <v>8586</v>
      </c>
      <c r="H424" s="1" t="s">
        <v>9077</v>
      </c>
      <c r="I424" s="1">
        <v>6</v>
      </c>
      <c r="J424" s="1" t="s">
        <v>9073</v>
      </c>
      <c r="K424" s="1">
        <v>2006</v>
      </c>
      <c r="L424" s="1" t="s">
        <v>9074</v>
      </c>
      <c r="M424" s="1" t="s">
        <v>7659</v>
      </c>
      <c r="N424" s="17" t="s">
        <v>7945</v>
      </c>
      <c r="O424" s="33"/>
      <c r="P424" s="33"/>
      <c r="Q424" s="33"/>
      <c r="R424" s="33"/>
      <c r="S424" s="33">
        <v>2.29</v>
      </c>
      <c r="T424" s="33"/>
      <c r="U424" s="33">
        <v>5.4</v>
      </c>
      <c r="V424" s="33"/>
      <c r="W424" s="33"/>
      <c r="X424" s="33"/>
      <c r="Y424" s="33"/>
      <c r="Z424" s="33"/>
      <c r="AA424" s="33">
        <v>21.3</v>
      </c>
      <c r="AB424" s="33">
        <v>6.73</v>
      </c>
      <c r="AC424" s="33"/>
      <c r="AD424" s="33"/>
      <c r="AE424" s="33">
        <v>57.8</v>
      </c>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33"/>
      <c r="BE424" s="33">
        <v>8.5</v>
      </c>
      <c r="BF424" s="33"/>
      <c r="BG424" s="33">
        <v>15.4</v>
      </c>
      <c r="BH424" s="33">
        <v>0</v>
      </c>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c r="CN424" s="33"/>
      <c r="CO424" s="33">
        <v>3.48</v>
      </c>
      <c r="CP424" s="33"/>
      <c r="CQ424" s="33"/>
      <c r="CR424" s="33"/>
      <c r="CS424" s="33"/>
      <c r="CT424" s="33"/>
      <c r="CU424" s="33"/>
      <c r="CV424" s="33"/>
      <c r="CW424" s="33"/>
      <c r="CX424" s="33"/>
      <c r="CY424" s="33"/>
      <c r="CZ424" s="33"/>
      <c r="DA424" s="33"/>
      <c r="DB424" s="33"/>
      <c r="DC424" s="33"/>
      <c r="DD424" s="33"/>
      <c r="DE424" s="33"/>
      <c r="DF424" s="33"/>
      <c r="DG424" s="33"/>
      <c r="DH424" s="33"/>
      <c r="DI424" s="33"/>
      <c r="DJ424" s="33"/>
      <c r="DK424" s="33"/>
      <c r="DL424" s="33"/>
      <c r="DM424" s="33"/>
      <c r="DN424" s="33"/>
      <c r="DO424" s="33"/>
      <c r="DP424" s="33"/>
      <c r="DQ424" s="33"/>
      <c r="DR424" s="33"/>
      <c r="DS424" s="33"/>
      <c r="DT424" s="33"/>
      <c r="DU424" s="33"/>
      <c r="DV424" s="33"/>
      <c r="DW424" s="33"/>
      <c r="DX424" s="33"/>
      <c r="DY424" s="33"/>
      <c r="DZ424" s="33"/>
      <c r="EA424" s="33"/>
      <c r="EB424" s="33"/>
      <c r="EC424" s="33"/>
      <c r="ED424" s="33"/>
      <c r="EE424" s="33"/>
      <c r="EF424" s="33"/>
      <c r="EG424" s="33"/>
      <c r="EH424" s="33"/>
      <c r="EI424" s="33"/>
      <c r="EJ424" s="33"/>
      <c r="EK424" s="33"/>
      <c r="EL424" s="33"/>
      <c r="EM424" s="33"/>
      <c r="EN424" s="33"/>
      <c r="EO424" s="33"/>
      <c r="EP424" s="33"/>
      <c r="EQ424" s="33"/>
      <c r="ER424" s="33"/>
      <c r="ES424" s="33"/>
      <c r="ET424" s="33"/>
      <c r="EU424" s="33"/>
      <c r="EV424" s="33"/>
      <c r="EW424" s="33"/>
      <c r="EX424" s="33"/>
      <c r="EY424" s="33"/>
      <c r="EZ424" s="33"/>
      <c r="FA424" s="33"/>
      <c r="FB424" s="33"/>
      <c r="FC424" s="33"/>
      <c r="FD424" s="33"/>
      <c r="FE424" s="33"/>
      <c r="FF424" s="33"/>
      <c r="FG424" s="33"/>
      <c r="FH424" s="33"/>
      <c r="FI424" s="33"/>
      <c r="FJ424" s="33"/>
      <c r="FK424" s="33"/>
      <c r="FL424" s="33"/>
      <c r="FM424" s="33"/>
      <c r="FN424" s="33"/>
      <c r="FO424" s="33"/>
      <c r="FP424" s="33"/>
      <c r="FQ424" s="33"/>
      <c r="FR424" s="33"/>
      <c r="FS424" s="33"/>
      <c r="FT424" s="33"/>
      <c r="FU424" s="33"/>
      <c r="FV424" s="33"/>
      <c r="FW424" s="33"/>
      <c r="FX424" s="33"/>
      <c r="FY424" s="33"/>
      <c r="FZ424" s="33"/>
      <c r="GA424" s="33"/>
      <c r="GB424" s="33"/>
      <c r="GC424" s="33"/>
      <c r="GD424" s="33"/>
      <c r="GE424" s="33"/>
      <c r="GF424" s="33"/>
      <c r="GG424" s="33"/>
      <c r="GH424" s="33"/>
      <c r="GI424" s="33"/>
      <c r="GJ424" s="33"/>
      <c r="GK424" s="33"/>
      <c r="GL424" s="33"/>
      <c r="GM424" s="33"/>
      <c r="GN424" s="33"/>
      <c r="GO424" s="33"/>
      <c r="GP424" s="33"/>
      <c r="GQ424" s="33"/>
      <c r="GR424" s="33"/>
      <c r="GS424" s="33"/>
      <c r="GT424" s="33"/>
      <c r="GU424" s="33"/>
      <c r="GV424" s="33"/>
      <c r="GW424" s="33"/>
      <c r="GX424" s="33"/>
      <c r="GY424" s="33"/>
      <c r="GZ424" s="33"/>
      <c r="HA424" s="33"/>
      <c r="HB424" s="33"/>
      <c r="HC424" s="33"/>
      <c r="HD424" s="33"/>
      <c r="HE424" s="33"/>
      <c r="HF424" s="33"/>
      <c r="HG424" s="33"/>
      <c r="HH424" s="33"/>
      <c r="HI424" s="33"/>
      <c r="HJ424" s="33"/>
      <c r="HK424" s="33"/>
      <c r="HL424" s="33"/>
      <c r="HM424" s="33"/>
      <c r="HN424" s="33"/>
      <c r="HO424" s="33"/>
      <c r="HP424" s="33"/>
      <c r="HQ424" s="33"/>
      <c r="HR424" s="33"/>
      <c r="HS424" s="33"/>
      <c r="HT424" s="33"/>
      <c r="HU424" s="33"/>
      <c r="HV424" s="33"/>
      <c r="HW424" s="33"/>
      <c r="HX424" s="33"/>
      <c r="HY424" s="33"/>
      <c r="HZ424" s="33"/>
      <c r="IA424" s="33"/>
      <c r="IB424" s="33"/>
      <c r="IC424" s="33"/>
      <c r="ID424" s="33"/>
      <c r="IE424" s="33"/>
      <c r="IF424" s="33"/>
      <c r="IG424" s="33"/>
      <c r="IH424" s="33"/>
      <c r="II424" s="33"/>
      <c r="IJ424" s="33"/>
      <c r="IK424" s="33"/>
      <c r="IL424" s="33"/>
      <c r="IM424" s="33"/>
      <c r="IN424" s="33"/>
      <c r="IO424" s="33"/>
      <c r="IP424" s="33"/>
      <c r="IQ424" s="33"/>
      <c r="IR424" s="33"/>
      <c r="IS424" s="33"/>
      <c r="IT424" s="33"/>
      <c r="IU424" s="33"/>
      <c r="IV424" s="33"/>
      <c r="IW424" s="33"/>
      <c r="IX424" s="33"/>
      <c r="IY424" s="33"/>
      <c r="IZ424" s="33"/>
      <c r="JA424" s="33"/>
      <c r="JB424" s="33"/>
      <c r="JC424" s="33"/>
      <c r="JD424" s="33"/>
      <c r="JE424" s="33"/>
      <c r="JF424" s="33"/>
      <c r="JG424" s="33"/>
      <c r="JH424" s="33"/>
      <c r="JI424" s="33"/>
      <c r="JJ424" s="33"/>
      <c r="JK424" s="33"/>
      <c r="JL424" s="33"/>
      <c r="JM424" s="33"/>
      <c r="JN424" s="33"/>
      <c r="JO424" s="33"/>
      <c r="JP424" s="33"/>
      <c r="JQ424" s="33"/>
      <c r="JR424" s="33"/>
      <c r="KZ424" s="33"/>
      <c r="LA424" s="33"/>
      <c r="LB424" s="33"/>
      <c r="LC424" s="33"/>
      <c r="LD424" s="33"/>
      <c r="LE424" s="33"/>
      <c r="LF424" s="33"/>
      <c r="LG424" s="33"/>
      <c r="LH424" s="33"/>
      <c r="LI424" s="33"/>
      <c r="LJ424" s="33"/>
      <c r="LK424" s="33"/>
      <c r="LL424" s="33"/>
      <c r="LM424" s="33"/>
      <c r="LN424" s="33"/>
      <c r="LO424" s="33"/>
      <c r="LP424" s="44"/>
      <c r="LQ424" s="44"/>
      <c r="LR424" s="44"/>
      <c r="LS424" s="44"/>
      <c r="LT424" s="44"/>
      <c r="LU424" s="44"/>
      <c r="LV424" s="44"/>
    </row>
    <row r="425" spans="1:334" x14ac:dyDescent="0.2">
      <c r="A425" s="1" t="s">
        <v>9078</v>
      </c>
      <c r="B425" s="1" t="s">
        <v>9079</v>
      </c>
      <c r="D425" s="1" t="s">
        <v>9080</v>
      </c>
      <c r="E425" s="1" t="s">
        <v>7</v>
      </c>
      <c r="F425" s="1" t="s">
        <v>8187</v>
      </c>
      <c r="H425" s="1" t="s">
        <v>9081</v>
      </c>
      <c r="J425" s="1" t="s">
        <v>9082</v>
      </c>
      <c r="K425" s="1">
        <v>2002</v>
      </c>
      <c r="L425" s="1" t="s">
        <v>9083</v>
      </c>
      <c r="M425" s="1" t="s">
        <v>9084</v>
      </c>
      <c r="N425" s="17" t="s">
        <v>7945</v>
      </c>
      <c r="O425" s="33"/>
      <c r="P425" s="33"/>
      <c r="Q425" s="33"/>
      <c r="R425" s="33"/>
      <c r="S425" s="33">
        <v>4.62</v>
      </c>
      <c r="T425" s="33"/>
      <c r="U425" s="33">
        <v>5.85</v>
      </c>
      <c r="V425" s="33"/>
      <c r="W425" s="33"/>
      <c r="X425" s="33"/>
      <c r="Y425" s="33"/>
      <c r="Z425" s="33">
        <v>18.980619999999998</v>
      </c>
      <c r="AA425" s="33"/>
      <c r="AB425" s="33"/>
      <c r="AC425" s="33">
        <v>11.808044000000001</v>
      </c>
      <c r="AD425" s="33"/>
      <c r="AE425" s="33"/>
      <c r="AF425" s="33">
        <v>56</v>
      </c>
      <c r="AG425" s="33"/>
      <c r="AH425" s="33"/>
      <c r="AI425" s="33"/>
      <c r="AJ425" s="33"/>
      <c r="AK425" s="33"/>
      <c r="AL425" s="33"/>
      <c r="AM425" s="33"/>
      <c r="AN425" s="33"/>
      <c r="AO425" s="33">
        <v>32.429200000000002</v>
      </c>
      <c r="AP425" s="33"/>
      <c r="AQ425" s="33">
        <v>5.264975999999999</v>
      </c>
      <c r="AR425" s="33">
        <v>0.95379999999999998</v>
      </c>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c r="CN425" s="33"/>
      <c r="CO425" s="33">
        <v>6.7624420000000001</v>
      </c>
      <c r="CP425" s="33"/>
      <c r="CQ425" s="33"/>
      <c r="CR425" s="33"/>
      <c r="CS425" s="33"/>
      <c r="CT425" s="33"/>
      <c r="CU425" s="33"/>
      <c r="CV425" s="33"/>
      <c r="CW425" s="33"/>
      <c r="CX425" s="33"/>
      <c r="CY425" s="33"/>
      <c r="CZ425" s="33"/>
      <c r="DA425" s="33"/>
      <c r="DB425" s="33"/>
      <c r="DC425" s="33"/>
      <c r="DD425" s="33"/>
      <c r="DE425" s="33"/>
      <c r="DF425" s="33"/>
      <c r="DG425" s="33"/>
      <c r="DH425" s="33"/>
      <c r="DI425" s="33"/>
      <c r="DJ425" s="33"/>
      <c r="DK425" s="33"/>
      <c r="DL425" s="33"/>
      <c r="DM425" s="33"/>
      <c r="DN425" s="33"/>
      <c r="DO425" s="33"/>
      <c r="DP425" s="33"/>
      <c r="DQ425" s="33"/>
      <c r="DR425" s="33"/>
      <c r="DS425" s="33"/>
      <c r="DT425" s="33"/>
      <c r="DU425" s="33"/>
      <c r="DV425" s="33"/>
      <c r="DW425" s="33"/>
      <c r="DX425" s="33"/>
      <c r="DY425" s="33"/>
      <c r="DZ425" s="33"/>
      <c r="EA425" s="33"/>
      <c r="EB425" s="33"/>
      <c r="EC425" s="33"/>
      <c r="ED425" s="33"/>
      <c r="EE425" s="33"/>
      <c r="EF425" s="33"/>
      <c r="EG425" s="33"/>
      <c r="EH425" s="33"/>
      <c r="EI425" s="33"/>
      <c r="EJ425" s="33"/>
      <c r="EK425" s="33"/>
      <c r="EL425" s="33"/>
      <c r="EM425" s="33"/>
      <c r="EN425" s="33"/>
      <c r="EO425" s="33"/>
      <c r="EP425" s="33"/>
      <c r="EQ425" s="33"/>
      <c r="ER425" s="33"/>
      <c r="ES425" s="33"/>
      <c r="ET425" s="33"/>
      <c r="EU425" s="33"/>
      <c r="EV425" s="33"/>
      <c r="EW425" s="33"/>
      <c r="EX425" s="33"/>
      <c r="EY425" s="33"/>
      <c r="EZ425" s="33"/>
      <c r="FA425" s="33"/>
      <c r="FB425" s="33"/>
      <c r="FC425" s="33"/>
      <c r="FD425" s="33"/>
      <c r="FE425" s="33"/>
      <c r="FF425" s="33"/>
      <c r="FG425" s="33"/>
      <c r="FH425" s="33"/>
      <c r="FI425" s="33"/>
      <c r="FJ425" s="33"/>
      <c r="FK425" s="33"/>
      <c r="FL425" s="33"/>
      <c r="FM425" s="33"/>
      <c r="FN425" s="33"/>
      <c r="FO425" s="33"/>
      <c r="FP425" s="33"/>
      <c r="FQ425" s="33"/>
      <c r="FR425" s="33"/>
      <c r="FS425" s="33"/>
      <c r="FT425" s="33"/>
      <c r="FU425" s="33"/>
      <c r="FV425" s="33"/>
      <c r="FW425" s="33"/>
      <c r="FX425" s="33"/>
      <c r="FY425" s="33"/>
      <c r="FZ425" s="33"/>
      <c r="GA425" s="33"/>
      <c r="GB425" s="33"/>
      <c r="GC425" s="33"/>
      <c r="GD425" s="33"/>
      <c r="GE425" s="33"/>
      <c r="GF425" s="33"/>
      <c r="GG425" s="33"/>
      <c r="GH425" s="33"/>
      <c r="GI425" s="33"/>
      <c r="GJ425" s="33"/>
      <c r="GK425" s="33"/>
      <c r="GL425" s="33"/>
      <c r="GM425" s="33"/>
      <c r="GN425" s="33"/>
      <c r="GO425" s="33"/>
      <c r="GP425" s="33"/>
      <c r="GQ425" s="33"/>
      <c r="GR425" s="33"/>
      <c r="GS425" s="33"/>
      <c r="GT425" s="33"/>
      <c r="GU425" s="33"/>
      <c r="GV425" s="33"/>
      <c r="GW425" s="33"/>
      <c r="GX425" s="33"/>
      <c r="GY425" s="33"/>
      <c r="GZ425" s="33"/>
      <c r="HA425" s="33"/>
      <c r="HB425" s="33"/>
      <c r="HC425" s="33"/>
      <c r="HD425" s="33"/>
      <c r="HE425" s="33"/>
      <c r="HF425" s="33"/>
      <c r="HG425" s="33"/>
      <c r="HH425" s="33"/>
      <c r="HI425" s="33"/>
      <c r="HJ425" s="33"/>
      <c r="HK425" s="33"/>
      <c r="HL425" s="33"/>
      <c r="HM425" s="33"/>
      <c r="HN425" s="33"/>
      <c r="HO425" s="33"/>
      <c r="HP425" s="33"/>
      <c r="HQ425" s="33"/>
      <c r="HR425" s="33"/>
      <c r="HS425" s="33"/>
      <c r="HT425" s="33"/>
      <c r="HU425" s="33"/>
      <c r="HV425" s="33"/>
      <c r="HW425" s="33"/>
      <c r="HX425" s="33"/>
      <c r="HY425" s="33"/>
      <c r="HZ425" s="33"/>
      <c r="IA425" s="33"/>
      <c r="IB425" s="33"/>
      <c r="IC425" s="33"/>
      <c r="ID425" s="33"/>
      <c r="IE425" s="33"/>
      <c r="IF425" s="33"/>
      <c r="IG425" s="33"/>
      <c r="IH425" s="33"/>
      <c r="II425" s="33"/>
      <c r="IJ425" s="33"/>
      <c r="IK425" s="33"/>
      <c r="IL425" s="33"/>
      <c r="IM425" s="33"/>
      <c r="IN425" s="33"/>
      <c r="IO425" s="33"/>
      <c r="IP425" s="33"/>
      <c r="IQ425" s="33"/>
      <c r="IR425" s="33"/>
      <c r="IS425" s="33"/>
      <c r="IT425" s="33"/>
      <c r="IU425" s="33"/>
      <c r="IV425" s="33"/>
      <c r="IW425" s="33"/>
      <c r="IX425" s="33"/>
      <c r="IY425" s="33"/>
      <c r="IZ425" s="33"/>
      <c r="JA425" s="33"/>
      <c r="JB425" s="33"/>
      <c r="JC425" s="33"/>
      <c r="JD425" s="33"/>
      <c r="JE425" s="33"/>
      <c r="JF425" s="33"/>
      <c r="JG425" s="33"/>
      <c r="JH425" s="33"/>
      <c r="JI425" s="33"/>
      <c r="JJ425" s="33"/>
      <c r="JK425" s="33"/>
      <c r="JL425" s="33"/>
      <c r="JM425" s="33"/>
      <c r="JN425" s="33"/>
      <c r="JO425" s="33"/>
      <c r="JP425" s="33"/>
      <c r="JQ425" s="33"/>
      <c r="JR425" s="33"/>
      <c r="KZ425" s="33"/>
      <c r="LA425" s="33"/>
      <c r="LB425" s="33"/>
      <c r="LC425" s="33"/>
      <c r="LD425" s="33"/>
      <c r="LE425" s="33"/>
      <c r="LF425" s="33"/>
      <c r="LG425" s="33"/>
      <c r="LH425" s="33"/>
      <c r="LI425" s="33"/>
      <c r="LJ425" s="33"/>
      <c r="LK425" s="33"/>
      <c r="LL425" s="33"/>
      <c r="LM425" s="33"/>
      <c r="LN425" s="33"/>
      <c r="LO425" s="33"/>
      <c r="LP425" s="44"/>
      <c r="LQ425" s="44"/>
      <c r="LR425" s="44"/>
      <c r="LS425" s="44"/>
      <c r="LT425" s="44"/>
      <c r="LU425" s="44"/>
      <c r="LV425" s="44"/>
    </row>
    <row r="426" spans="1:334" x14ac:dyDescent="0.2">
      <c r="A426" s="1" t="s">
        <v>9085</v>
      </c>
      <c r="B426" s="1" t="s">
        <v>9079</v>
      </c>
      <c r="D426" s="1" t="s">
        <v>9080</v>
      </c>
      <c r="E426" s="1" t="s">
        <v>7</v>
      </c>
      <c r="F426" s="1" t="s">
        <v>8187</v>
      </c>
      <c r="H426" s="1" t="s">
        <v>9086</v>
      </c>
      <c r="J426" s="1" t="s">
        <v>9082</v>
      </c>
      <c r="K426" s="1">
        <v>2002</v>
      </c>
      <c r="L426" s="1" t="s">
        <v>9083</v>
      </c>
      <c r="M426" s="1" t="s">
        <v>9084</v>
      </c>
      <c r="N426" s="17" t="s">
        <v>7945</v>
      </c>
      <c r="O426" s="33"/>
      <c r="P426" s="33"/>
      <c r="Q426" s="33"/>
      <c r="R426" s="33"/>
      <c r="S426" s="33">
        <v>6.86</v>
      </c>
      <c r="T426" s="33"/>
      <c r="U426" s="33">
        <v>5.85</v>
      </c>
      <c r="V426" s="33"/>
      <c r="W426" s="33"/>
      <c r="X426" s="33"/>
      <c r="Y426" s="33"/>
      <c r="Z426" s="33">
        <v>18.44172</v>
      </c>
      <c r="AA426" s="33"/>
      <c r="AB426" s="33"/>
      <c r="AC426" s="33">
        <v>1.9093699999999998</v>
      </c>
      <c r="AD426" s="33"/>
      <c r="AE426" s="33"/>
      <c r="AF426" s="33">
        <v>64.3</v>
      </c>
      <c r="AG426" s="33"/>
      <c r="AH426" s="33"/>
      <c r="AI426" s="33"/>
      <c r="AJ426" s="33"/>
      <c r="AK426" s="33"/>
      <c r="AL426" s="33"/>
      <c r="AM426" s="33"/>
      <c r="AN426" s="33"/>
      <c r="AO426" s="33">
        <v>25.986059999999998</v>
      </c>
      <c r="AP426" s="33"/>
      <c r="AQ426" s="33">
        <v>4.1354160000000002</v>
      </c>
      <c r="AR426" s="33">
        <v>2.1701619999999999</v>
      </c>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c r="CN426" s="33"/>
      <c r="CO426" s="33">
        <v>6.5104860000000011</v>
      </c>
      <c r="CP426" s="33"/>
      <c r="CQ426" s="33"/>
      <c r="CR426" s="33"/>
      <c r="CS426" s="33"/>
      <c r="CT426" s="33"/>
      <c r="CU426" s="33"/>
      <c r="CV426" s="33"/>
      <c r="CW426" s="33"/>
      <c r="CX426" s="33"/>
      <c r="CY426" s="33"/>
      <c r="CZ426" s="33"/>
      <c r="DA426" s="33"/>
      <c r="DB426" s="33"/>
      <c r="DC426" s="33"/>
      <c r="DD426" s="33"/>
      <c r="DE426" s="33"/>
      <c r="DF426" s="33"/>
      <c r="DG426" s="33"/>
      <c r="DH426" s="33"/>
      <c r="DI426" s="33"/>
      <c r="DJ426" s="33"/>
      <c r="DK426" s="33"/>
      <c r="DL426" s="33"/>
      <c r="DM426" s="33"/>
      <c r="DN426" s="33"/>
      <c r="DO426" s="33"/>
      <c r="DP426" s="33"/>
      <c r="DQ426" s="33"/>
      <c r="DR426" s="33"/>
      <c r="DS426" s="33"/>
      <c r="DT426" s="33"/>
      <c r="DU426" s="33"/>
      <c r="DV426" s="33"/>
      <c r="DW426" s="33"/>
      <c r="DX426" s="33"/>
      <c r="DY426" s="33"/>
      <c r="DZ426" s="33"/>
      <c r="EA426" s="33"/>
      <c r="EB426" s="33"/>
      <c r="EC426" s="33"/>
      <c r="ED426" s="33"/>
      <c r="EE426" s="33"/>
      <c r="EF426" s="33"/>
      <c r="EG426" s="33"/>
      <c r="EH426" s="33"/>
      <c r="EI426" s="33"/>
      <c r="EJ426" s="33"/>
      <c r="EK426" s="33"/>
      <c r="EL426" s="33"/>
      <c r="EM426" s="33"/>
      <c r="EN426" s="33"/>
      <c r="EO426" s="33"/>
      <c r="EP426" s="33"/>
      <c r="EQ426" s="33"/>
      <c r="ER426" s="33"/>
      <c r="ES426" s="33"/>
      <c r="ET426" s="33"/>
      <c r="EU426" s="33"/>
      <c r="EV426" s="33"/>
      <c r="EW426" s="33"/>
      <c r="EX426" s="33"/>
      <c r="EY426" s="33"/>
      <c r="EZ426" s="33"/>
      <c r="FA426" s="33"/>
      <c r="FB426" s="33"/>
      <c r="FC426" s="33"/>
      <c r="FD426" s="33"/>
      <c r="FE426" s="33"/>
      <c r="FF426" s="33"/>
      <c r="FG426" s="33"/>
      <c r="FH426" s="33"/>
      <c r="FI426" s="33"/>
      <c r="FJ426" s="33"/>
      <c r="FK426" s="33"/>
      <c r="FL426" s="33"/>
      <c r="FM426" s="33"/>
      <c r="FN426" s="33"/>
      <c r="FO426" s="33"/>
      <c r="FP426" s="33"/>
      <c r="FQ426" s="33"/>
      <c r="FR426" s="33"/>
      <c r="FS426" s="33"/>
      <c r="FT426" s="33"/>
      <c r="FU426" s="33"/>
      <c r="FV426" s="33"/>
      <c r="FW426" s="33"/>
      <c r="FX426" s="33"/>
      <c r="FY426" s="33"/>
      <c r="FZ426" s="33"/>
      <c r="GA426" s="33"/>
      <c r="GB426" s="33"/>
      <c r="GC426" s="33"/>
      <c r="GD426" s="33"/>
      <c r="GE426" s="33"/>
      <c r="GF426" s="33"/>
      <c r="GG426" s="33"/>
      <c r="GH426" s="33"/>
      <c r="GI426" s="33"/>
      <c r="GJ426" s="33"/>
      <c r="GK426" s="33"/>
      <c r="GL426" s="33"/>
      <c r="GM426" s="33"/>
      <c r="GN426" s="33"/>
      <c r="GO426" s="33"/>
      <c r="GP426" s="33"/>
      <c r="GQ426" s="33"/>
      <c r="GR426" s="33"/>
      <c r="GS426" s="33"/>
      <c r="GT426" s="33"/>
      <c r="GU426" s="33"/>
      <c r="GV426" s="33"/>
      <c r="GW426" s="33"/>
      <c r="GX426" s="33"/>
      <c r="GY426" s="33"/>
      <c r="GZ426" s="33"/>
      <c r="HA426" s="33"/>
      <c r="HB426" s="33"/>
      <c r="HC426" s="33"/>
      <c r="HD426" s="33"/>
      <c r="HE426" s="33"/>
      <c r="HF426" s="33"/>
      <c r="HG426" s="33"/>
      <c r="HH426" s="33"/>
      <c r="HI426" s="33"/>
      <c r="HJ426" s="33"/>
      <c r="HK426" s="33"/>
      <c r="HL426" s="33"/>
      <c r="HM426" s="33"/>
      <c r="HN426" s="33"/>
      <c r="HO426" s="33"/>
      <c r="HP426" s="33"/>
      <c r="HQ426" s="33"/>
      <c r="HR426" s="33"/>
      <c r="HS426" s="33"/>
      <c r="HT426" s="33"/>
      <c r="HU426" s="33"/>
      <c r="HV426" s="33"/>
      <c r="HW426" s="33"/>
      <c r="HX426" s="33"/>
      <c r="HY426" s="33"/>
      <c r="HZ426" s="33"/>
      <c r="IA426" s="33"/>
      <c r="IB426" s="33"/>
      <c r="IC426" s="33"/>
      <c r="ID426" s="33"/>
      <c r="IE426" s="33"/>
      <c r="IF426" s="33"/>
      <c r="IG426" s="33"/>
      <c r="IH426" s="33"/>
      <c r="II426" s="33"/>
      <c r="IJ426" s="33"/>
      <c r="IK426" s="33"/>
      <c r="IL426" s="33"/>
      <c r="IM426" s="33"/>
      <c r="IN426" s="33"/>
      <c r="IO426" s="33"/>
      <c r="IP426" s="33"/>
      <c r="IQ426" s="33"/>
      <c r="IR426" s="33"/>
      <c r="IS426" s="33"/>
      <c r="IT426" s="33"/>
      <c r="IU426" s="33"/>
      <c r="IV426" s="33"/>
      <c r="IW426" s="33"/>
      <c r="IX426" s="33"/>
      <c r="IY426" s="33"/>
      <c r="IZ426" s="33"/>
      <c r="JA426" s="33"/>
      <c r="JB426" s="33"/>
      <c r="JC426" s="33"/>
      <c r="JD426" s="33"/>
      <c r="JE426" s="33"/>
      <c r="JF426" s="33"/>
      <c r="JG426" s="33"/>
      <c r="JH426" s="33"/>
      <c r="JI426" s="33"/>
      <c r="JJ426" s="33"/>
      <c r="JK426" s="33"/>
      <c r="JL426" s="33"/>
      <c r="JM426" s="33"/>
      <c r="JN426" s="33"/>
      <c r="JO426" s="33"/>
      <c r="JP426" s="33"/>
      <c r="JQ426" s="33"/>
      <c r="JR426" s="33"/>
      <c r="KZ426" s="33"/>
      <c r="LA426" s="33"/>
      <c r="LB426" s="33"/>
      <c r="LC426" s="33"/>
      <c r="LD426" s="33"/>
      <c r="LE426" s="33"/>
      <c r="LF426" s="33"/>
      <c r="LG426" s="33"/>
      <c r="LH426" s="33"/>
      <c r="LI426" s="33"/>
      <c r="LJ426" s="33"/>
      <c r="LK426" s="33"/>
      <c r="LL426" s="33"/>
      <c r="LM426" s="33"/>
      <c r="LN426" s="33"/>
      <c r="LO426" s="33"/>
      <c r="LP426" s="44"/>
      <c r="LQ426" s="44"/>
      <c r="LR426" s="44"/>
      <c r="LS426" s="44"/>
      <c r="LT426" s="44"/>
      <c r="LU426" s="44"/>
      <c r="LV426" s="44"/>
    </row>
    <row r="427" spans="1:334" x14ac:dyDescent="0.2">
      <c r="A427" s="1" t="s">
        <v>9087</v>
      </c>
      <c r="B427" s="1" t="s">
        <v>9079</v>
      </c>
      <c r="D427" s="1" t="s">
        <v>9080</v>
      </c>
      <c r="E427" s="1" t="s">
        <v>7</v>
      </c>
      <c r="F427" s="1" t="s">
        <v>8187</v>
      </c>
      <c r="H427" s="1" t="s">
        <v>9088</v>
      </c>
      <c r="J427" s="1" t="s">
        <v>9082</v>
      </c>
      <c r="K427" s="1">
        <v>2002</v>
      </c>
      <c r="L427" s="1" t="s">
        <v>9083</v>
      </c>
      <c r="M427" s="1" t="s">
        <v>9084</v>
      </c>
      <c r="N427" s="17" t="s">
        <v>7945</v>
      </c>
      <c r="O427" s="33"/>
      <c r="P427" s="33"/>
      <c r="Q427" s="33"/>
      <c r="R427" s="33"/>
      <c r="S427" s="33">
        <v>5.82</v>
      </c>
      <c r="T427" s="33"/>
      <c r="U427" s="33">
        <v>5.85</v>
      </c>
      <c r="V427" s="33"/>
      <c r="W427" s="33"/>
      <c r="X427" s="33"/>
      <c r="Y427" s="33"/>
      <c r="Z427" s="33">
        <v>16.387319999999999</v>
      </c>
      <c r="AA427" s="33"/>
      <c r="AB427" s="33"/>
      <c r="AC427" s="33">
        <v>12.610702000000002</v>
      </c>
      <c r="AD427" s="33"/>
      <c r="AE427" s="33"/>
      <c r="AF427" s="33">
        <v>56.3</v>
      </c>
      <c r="AG427" s="33"/>
      <c r="AH427" s="33"/>
      <c r="AI427" s="33"/>
      <c r="AJ427" s="33"/>
      <c r="AK427" s="33"/>
      <c r="AL427" s="33"/>
      <c r="AM427" s="33"/>
      <c r="AN427" s="33"/>
      <c r="AO427" s="33">
        <v>36.07094</v>
      </c>
      <c r="AP427" s="33"/>
      <c r="AQ427" s="33">
        <v>5.7826520000000006</v>
      </c>
      <c r="AR427" s="33">
        <v>2.0248699999999999</v>
      </c>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c r="CN427" s="33"/>
      <c r="CO427" s="33">
        <v>6.6961980000000008</v>
      </c>
      <c r="CP427" s="33"/>
      <c r="CQ427" s="33"/>
      <c r="CR427" s="33"/>
      <c r="CS427" s="33"/>
      <c r="CT427" s="33"/>
      <c r="CU427" s="33"/>
      <c r="CV427" s="33"/>
      <c r="CW427" s="33"/>
      <c r="CX427" s="33"/>
      <c r="CY427" s="33"/>
      <c r="CZ427" s="33"/>
      <c r="DA427" s="33"/>
      <c r="DB427" s="33"/>
      <c r="DC427" s="33"/>
      <c r="DD427" s="33"/>
      <c r="DE427" s="33"/>
      <c r="DF427" s="33"/>
      <c r="DG427" s="33"/>
      <c r="DH427" s="33"/>
      <c r="DI427" s="33"/>
      <c r="DJ427" s="33"/>
      <c r="DK427" s="33"/>
      <c r="DL427" s="33"/>
      <c r="DM427" s="33"/>
      <c r="DN427" s="33"/>
      <c r="DO427" s="33"/>
      <c r="DP427" s="33"/>
      <c r="DQ427" s="33"/>
      <c r="DR427" s="33"/>
      <c r="DS427" s="33"/>
      <c r="DT427" s="33"/>
      <c r="DU427" s="33"/>
      <c r="DV427" s="33"/>
      <c r="DW427" s="33"/>
      <c r="DX427" s="33"/>
      <c r="DY427" s="33"/>
      <c r="DZ427" s="33"/>
      <c r="EA427" s="33"/>
      <c r="EB427" s="33"/>
      <c r="EC427" s="33"/>
      <c r="ED427" s="33"/>
      <c r="EE427" s="33"/>
      <c r="EF427" s="33"/>
      <c r="EG427" s="33"/>
      <c r="EH427" s="33"/>
      <c r="EI427" s="33"/>
      <c r="EJ427" s="33"/>
      <c r="EK427" s="33"/>
      <c r="EL427" s="33"/>
      <c r="EM427" s="33"/>
      <c r="EN427" s="33"/>
      <c r="EO427" s="33"/>
      <c r="EP427" s="33"/>
      <c r="EQ427" s="33"/>
      <c r="ER427" s="33"/>
      <c r="ES427" s="33"/>
      <c r="ET427" s="33"/>
      <c r="EU427" s="33"/>
      <c r="EV427" s="33"/>
      <c r="EW427" s="33"/>
      <c r="EX427" s="33"/>
      <c r="EY427" s="33"/>
      <c r="EZ427" s="33"/>
      <c r="FA427" s="33"/>
      <c r="FB427" s="33"/>
      <c r="FC427" s="33"/>
      <c r="FD427" s="33"/>
      <c r="FE427" s="33"/>
      <c r="FF427" s="33"/>
      <c r="FG427" s="33"/>
      <c r="FH427" s="33"/>
      <c r="FI427" s="33"/>
      <c r="FJ427" s="33"/>
      <c r="FK427" s="33"/>
      <c r="FL427" s="33"/>
      <c r="FM427" s="33"/>
      <c r="FN427" s="33"/>
      <c r="FO427" s="33"/>
      <c r="FP427" s="33"/>
      <c r="FQ427" s="33"/>
      <c r="FR427" s="33"/>
      <c r="FS427" s="33"/>
      <c r="FT427" s="33"/>
      <c r="FU427" s="33"/>
      <c r="FV427" s="33"/>
      <c r="FW427" s="33"/>
      <c r="FX427" s="33"/>
      <c r="FY427" s="33"/>
      <c r="FZ427" s="33"/>
      <c r="GA427" s="33"/>
      <c r="GB427" s="33"/>
      <c r="GC427" s="33"/>
      <c r="GD427" s="33"/>
      <c r="GE427" s="33"/>
      <c r="GF427" s="33"/>
      <c r="GG427" s="33"/>
      <c r="GH427" s="33"/>
      <c r="GI427" s="33"/>
      <c r="GJ427" s="33"/>
      <c r="GK427" s="33"/>
      <c r="GL427" s="33"/>
      <c r="GM427" s="33"/>
      <c r="GN427" s="33"/>
      <c r="GO427" s="33"/>
      <c r="GP427" s="33"/>
      <c r="GQ427" s="33"/>
      <c r="GR427" s="33"/>
      <c r="GS427" s="33"/>
      <c r="GT427" s="33"/>
      <c r="GU427" s="33"/>
      <c r="GV427" s="33"/>
      <c r="GW427" s="33"/>
      <c r="GX427" s="33"/>
      <c r="GY427" s="33"/>
      <c r="GZ427" s="33"/>
      <c r="HA427" s="33"/>
      <c r="HB427" s="33"/>
      <c r="HC427" s="33"/>
      <c r="HD427" s="33"/>
      <c r="HE427" s="33"/>
      <c r="HF427" s="33"/>
      <c r="HG427" s="33"/>
      <c r="HH427" s="33"/>
      <c r="HI427" s="33"/>
      <c r="HJ427" s="33"/>
      <c r="HK427" s="33"/>
      <c r="HL427" s="33"/>
      <c r="HM427" s="33"/>
      <c r="HN427" s="33"/>
      <c r="HO427" s="33"/>
      <c r="HP427" s="33"/>
      <c r="HQ427" s="33"/>
      <c r="HR427" s="33"/>
      <c r="HS427" s="33"/>
      <c r="HT427" s="33"/>
      <c r="HU427" s="33"/>
      <c r="HV427" s="33"/>
      <c r="HW427" s="33"/>
      <c r="HX427" s="33"/>
      <c r="HY427" s="33"/>
      <c r="HZ427" s="33"/>
      <c r="IA427" s="33"/>
      <c r="IB427" s="33"/>
      <c r="IC427" s="33"/>
      <c r="ID427" s="33"/>
      <c r="IE427" s="33"/>
      <c r="IF427" s="33"/>
      <c r="IG427" s="33"/>
      <c r="IH427" s="33"/>
      <c r="II427" s="33"/>
      <c r="IJ427" s="33"/>
      <c r="IK427" s="33"/>
      <c r="IL427" s="33"/>
      <c r="IM427" s="33"/>
      <c r="IN427" s="33"/>
      <c r="IO427" s="33"/>
      <c r="IP427" s="33"/>
      <c r="IQ427" s="33"/>
      <c r="IR427" s="33"/>
      <c r="IS427" s="33"/>
      <c r="IT427" s="33"/>
      <c r="IU427" s="33"/>
      <c r="IV427" s="33"/>
      <c r="IW427" s="33"/>
      <c r="IX427" s="33"/>
      <c r="IY427" s="33"/>
      <c r="IZ427" s="33"/>
      <c r="JA427" s="33"/>
      <c r="JB427" s="33"/>
      <c r="JC427" s="33"/>
      <c r="JD427" s="33"/>
      <c r="JE427" s="33"/>
      <c r="JF427" s="33"/>
      <c r="JG427" s="33"/>
      <c r="JH427" s="33"/>
      <c r="JI427" s="33"/>
      <c r="JJ427" s="33"/>
      <c r="JK427" s="33"/>
      <c r="JL427" s="33"/>
      <c r="JM427" s="33"/>
      <c r="JN427" s="33"/>
      <c r="JO427" s="33"/>
      <c r="JP427" s="33"/>
      <c r="JQ427" s="33"/>
      <c r="JR427" s="33"/>
      <c r="KZ427" s="33"/>
      <c r="LA427" s="33"/>
      <c r="LB427" s="33"/>
      <c r="LC427" s="33"/>
      <c r="LD427" s="33"/>
      <c r="LE427" s="33"/>
      <c r="LF427" s="33"/>
      <c r="LG427" s="33"/>
      <c r="LH427" s="33"/>
      <c r="LI427" s="33"/>
      <c r="LJ427" s="33"/>
      <c r="LK427" s="33"/>
      <c r="LL427" s="33"/>
      <c r="LM427" s="33"/>
      <c r="LN427" s="33"/>
      <c r="LO427" s="33"/>
      <c r="LP427" s="44"/>
      <c r="LQ427" s="44"/>
      <c r="LR427" s="44"/>
      <c r="LS427" s="44"/>
      <c r="LT427" s="44"/>
      <c r="LU427" s="44"/>
      <c r="LV427" s="44"/>
    </row>
    <row r="428" spans="1:334" x14ac:dyDescent="0.2">
      <c r="A428" s="1" t="s">
        <v>9089</v>
      </c>
      <c r="B428" s="1" t="s">
        <v>9079</v>
      </c>
      <c r="D428" s="1" t="s">
        <v>9090</v>
      </c>
      <c r="E428" s="1" t="s">
        <v>11</v>
      </c>
      <c r="F428" s="1" t="s">
        <v>8187</v>
      </c>
      <c r="H428" s="1" t="s">
        <v>9091</v>
      </c>
      <c r="J428" s="1" t="s">
        <v>9082</v>
      </c>
      <c r="K428" s="1">
        <v>2002</v>
      </c>
      <c r="L428" s="1" t="s">
        <v>9083</v>
      </c>
      <c r="M428" s="1" t="s">
        <v>9084</v>
      </c>
      <c r="N428" s="17" t="s">
        <v>7945</v>
      </c>
      <c r="O428" s="33"/>
      <c r="P428" s="33"/>
      <c r="Q428" s="33"/>
      <c r="R428" s="33"/>
      <c r="S428" s="33">
        <v>4.4400000000000004</v>
      </c>
      <c r="T428" s="33"/>
      <c r="U428" s="33">
        <v>5.85</v>
      </c>
      <c r="V428" s="33"/>
      <c r="W428" s="33"/>
      <c r="X428" s="33"/>
      <c r="Y428" s="33"/>
      <c r="Z428" s="33">
        <v>16.531880000000001</v>
      </c>
      <c r="AA428" s="33"/>
      <c r="AB428" s="33"/>
      <c r="AC428" s="33">
        <v>2.9145799999999995</v>
      </c>
      <c r="AD428" s="33"/>
      <c r="AE428" s="33"/>
      <c r="AF428" s="33">
        <v>66.099999999999994</v>
      </c>
      <c r="AG428" s="33"/>
      <c r="AH428" s="33"/>
      <c r="AI428" s="33"/>
      <c r="AJ428" s="33"/>
      <c r="AK428" s="33"/>
      <c r="AL428" s="33"/>
      <c r="AM428" s="33"/>
      <c r="AN428" s="33"/>
      <c r="AO428" s="33">
        <v>27.139040000000001</v>
      </c>
      <c r="AP428" s="33"/>
      <c r="AQ428" s="33">
        <v>6.1540640000000009</v>
      </c>
      <c r="AR428" s="33">
        <v>2.5036720000000003</v>
      </c>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c r="CN428" s="33"/>
      <c r="CO428" s="33">
        <v>8.7341840000000008</v>
      </c>
      <c r="CP428" s="33"/>
      <c r="CQ428" s="33"/>
      <c r="CR428" s="33"/>
      <c r="CS428" s="33"/>
      <c r="CT428" s="33"/>
      <c r="CU428" s="33"/>
      <c r="CV428" s="33"/>
      <c r="CW428" s="33"/>
      <c r="CX428" s="33"/>
      <c r="CY428" s="33"/>
      <c r="CZ428" s="33"/>
      <c r="DA428" s="33"/>
      <c r="DB428" s="33"/>
      <c r="DC428" s="33"/>
      <c r="DD428" s="33"/>
      <c r="DE428" s="33"/>
      <c r="DF428" s="33"/>
      <c r="DG428" s="33"/>
      <c r="DH428" s="33"/>
      <c r="DI428" s="33"/>
      <c r="DJ428" s="33"/>
      <c r="DK428" s="33"/>
      <c r="DL428" s="33"/>
      <c r="DM428" s="33"/>
      <c r="DN428" s="33"/>
      <c r="DO428" s="33"/>
      <c r="DP428" s="33"/>
      <c r="DQ428" s="33"/>
      <c r="DR428" s="33"/>
      <c r="DS428" s="33"/>
      <c r="DT428" s="33"/>
      <c r="DU428" s="33"/>
      <c r="DV428" s="33"/>
      <c r="DW428" s="33"/>
      <c r="DX428" s="33"/>
      <c r="DY428" s="33"/>
      <c r="DZ428" s="33"/>
      <c r="EA428" s="33"/>
      <c r="EB428" s="33"/>
      <c r="EC428" s="33"/>
      <c r="ED428" s="33"/>
      <c r="EE428" s="33"/>
      <c r="EF428" s="33"/>
      <c r="EG428" s="33"/>
      <c r="EH428" s="33"/>
      <c r="EI428" s="33"/>
      <c r="EJ428" s="33"/>
      <c r="EK428" s="33"/>
      <c r="EL428" s="33"/>
      <c r="EM428" s="33"/>
      <c r="EN428" s="33"/>
      <c r="EO428" s="33"/>
      <c r="EP428" s="33"/>
      <c r="EQ428" s="33"/>
      <c r="ER428" s="33"/>
      <c r="ES428" s="33"/>
      <c r="ET428" s="33"/>
      <c r="EU428" s="33"/>
      <c r="EV428" s="33"/>
      <c r="EW428" s="33"/>
      <c r="EX428" s="33"/>
      <c r="EY428" s="33"/>
      <c r="EZ428" s="33"/>
      <c r="FA428" s="33"/>
      <c r="FB428" s="33"/>
      <c r="FC428" s="33"/>
      <c r="FD428" s="33"/>
      <c r="FE428" s="33"/>
      <c r="FF428" s="33"/>
      <c r="FG428" s="33"/>
      <c r="FH428" s="33"/>
      <c r="FI428" s="33"/>
      <c r="FJ428" s="33"/>
      <c r="FK428" s="33"/>
      <c r="FL428" s="33"/>
      <c r="FM428" s="33"/>
      <c r="FN428" s="33"/>
      <c r="FO428" s="33"/>
      <c r="FP428" s="33"/>
      <c r="FQ428" s="33"/>
      <c r="FR428" s="33"/>
      <c r="FS428" s="33"/>
      <c r="FT428" s="33"/>
      <c r="FU428" s="33"/>
      <c r="FV428" s="33"/>
      <c r="FW428" s="33"/>
      <c r="FX428" s="33"/>
      <c r="FY428" s="33"/>
      <c r="FZ428" s="33"/>
      <c r="GA428" s="33"/>
      <c r="GB428" s="33"/>
      <c r="GC428" s="33"/>
      <c r="GD428" s="33"/>
      <c r="GE428" s="33"/>
      <c r="GF428" s="33"/>
      <c r="GG428" s="33"/>
      <c r="GH428" s="33"/>
      <c r="GI428" s="33"/>
      <c r="GJ428" s="33"/>
      <c r="GK428" s="33"/>
      <c r="GL428" s="33"/>
      <c r="GM428" s="33"/>
      <c r="GN428" s="33"/>
      <c r="GO428" s="33"/>
      <c r="GP428" s="33"/>
      <c r="GQ428" s="33"/>
      <c r="GR428" s="33"/>
      <c r="GS428" s="33"/>
      <c r="GT428" s="33"/>
      <c r="GU428" s="33"/>
      <c r="GV428" s="33"/>
      <c r="GW428" s="33"/>
      <c r="GX428" s="33"/>
      <c r="GY428" s="33"/>
      <c r="GZ428" s="33"/>
      <c r="HA428" s="33"/>
      <c r="HB428" s="33"/>
      <c r="HC428" s="33"/>
      <c r="HD428" s="33"/>
      <c r="HE428" s="33"/>
      <c r="HF428" s="33"/>
      <c r="HG428" s="33"/>
      <c r="HH428" s="33"/>
      <c r="HI428" s="33"/>
      <c r="HJ428" s="33"/>
      <c r="HK428" s="33"/>
      <c r="HL428" s="33"/>
      <c r="HM428" s="33"/>
      <c r="HN428" s="33"/>
      <c r="HO428" s="33"/>
      <c r="HP428" s="33"/>
      <c r="HQ428" s="33"/>
      <c r="HR428" s="33"/>
      <c r="HS428" s="33"/>
      <c r="HT428" s="33"/>
      <c r="HU428" s="33"/>
      <c r="HV428" s="33"/>
      <c r="HW428" s="33"/>
      <c r="HX428" s="33"/>
      <c r="HY428" s="33"/>
      <c r="HZ428" s="33"/>
      <c r="IA428" s="33"/>
      <c r="IB428" s="33"/>
      <c r="IC428" s="33"/>
      <c r="ID428" s="33"/>
      <c r="IE428" s="33"/>
      <c r="IF428" s="33"/>
      <c r="IG428" s="33"/>
      <c r="IH428" s="33"/>
      <c r="II428" s="33"/>
      <c r="IJ428" s="33"/>
      <c r="IK428" s="33"/>
      <c r="IL428" s="33"/>
      <c r="IM428" s="33"/>
      <c r="IN428" s="33"/>
      <c r="IO428" s="33"/>
      <c r="IP428" s="33"/>
      <c r="IQ428" s="33"/>
      <c r="IR428" s="33"/>
      <c r="IS428" s="33"/>
      <c r="IT428" s="33"/>
      <c r="IU428" s="33"/>
      <c r="IV428" s="33"/>
      <c r="IW428" s="33"/>
      <c r="IX428" s="33"/>
      <c r="IY428" s="33"/>
      <c r="IZ428" s="33"/>
      <c r="JA428" s="33"/>
      <c r="JB428" s="33"/>
      <c r="JC428" s="33"/>
      <c r="JD428" s="33"/>
      <c r="JE428" s="33"/>
      <c r="JF428" s="33"/>
      <c r="JG428" s="33"/>
      <c r="JH428" s="33"/>
      <c r="JI428" s="33"/>
      <c r="JJ428" s="33"/>
      <c r="JK428" s="33"/>
      <c r="JL428" s="33"/>
      <c r="JM428" s="33"/>
      <c r="JN428" s="33"/>
      <c r="JO428" s="33"/>
      <c r="JP428" s="33"/>
      <c r="JQ428" s="33"/>
      <c r="JR428" s="33"/>
      <c r="KZ428" s="33"/>
      <c r="LA428" s="33"/>
      <c r="LB428" s="33"/>
      <c r="LC428" s="33"/>
      <c r="LD428" s="33"/>
      <c r="LE428" s="33"/>
      <c r="LF428" s="33"/>
      <c r="LG428" s="33"/>
      <c r="LH428" s="33"/>
      <c r="LI428" s="33"/>
      <c r="LJ428" s="33"/>
      <c r="LK428" s="33"/>
      <c r="LL428" s="33"/>
      <c r="LM428" s="33"/>
      <c r="LN428" s="33"/>
      <c r="LO428" s="33"/>
      <c r="LP428" s="44"/>
      <c r="LQ428" s="44"/>
      <c r="LR428" s="44"/>
      <c r="LS428" s="44"/>
      <c r="LT428" s="44"/>
      <c r="LU428" s="44"/>
      <c r="LV428" s="44"/>
    </row>
    <row r="429" spans="1:334" x14ac:dyDescent="0.2">
      <c r="A429" s="1" t="s">
        <v>9092</v>
      </c>
      <c r="B429" s="1" t="s">
        <v>9079</v>
      </c>
      <c r="D429" s="1" t="s">
        <v>9090</v>
      </c>
      <c r="E429" s="1" t="s">
        <v>11</v>
      </c>
      <c r="F429" s="1" t="s">
        <v>8187</v>
      </c>
      <c r="H429" s="1" t="s">
        <v>9093</v>
      </c>
      <c r="J429" s="1" t="s">
        <v>9082</v>
      </c>
      <c r="K429" s="1">
        <v>2002</v>
      </c>
      <c r="L429" s="1" t="s">
        <v>9083</v>
      </c>
      <c r="M429" s="1" t="s">
        <v>9084</v>
      </c>
      <c r="N429" s="17" t="s">
        <v>7945</v>
      </c>
      <c r="O429" s="33"/>
      <c r="P429" s="33"/>
      <c r="Q429" s="33"/>
      <c r="R429" s="33"/>
      <c r="S429" s="33">
        <v>7.12</v>
      </c>
      <c r="T429" s="33"/>
      <c r="U429" s="33">
        <v>5.85</v>
      </c>
      <c r="V429" s="33"/>
      <c r="W429" s="33"/>
      <c r="X429" s="33"/>
      <c r="Y429" s="33"/>
      <c r="Z429" s="33">
        <v>17.740079999999999</v>
      </c>
      <c r="AA429" s="33"/>
      <c r="AB429" s="33"/>
      <c r="AC429" s="33">
        <v>3.3808319999999998</v>
      </c>
      <c r="AD429" s="33"/>
      <c r="AE429" s="33"/>
      <c r="AF429" s="33">
        <v>60.1</v>
      </c>
      <c r="AG429" s="33"/>
      <c r="AH429" s="33"/>
      <c r="AI429" s="33"/>
      <c r="AJ429" s="33"/>
      <c r="AK429" s="33"/>
      <c r="AL429" s="33"/>
      <c r="AM429" s="33"/>
      <c r="AN429" s="33"/>
      <c r="AO429" s="33">
        <v>33.62256</v>
      </c>
      <c r="AP429" s="33"/>
      <c r="AQ429" s="33">
        <v>5.5542240000000005</v>
      </c>
      <c r="AR429" s="33">
        <v>2.563488</v>
      </c>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c r="CN429" s="33"/>
      <c r="CO429" s="33">
        <v>9.3437280000000005</v>
      </c>
      <c r="CP429" s="33"/>
      <c r="CQ429" s="33"/>
      <c r="CR429" s="33"/>
      <c r="CS429" s="33"/>
      <c r="CT429" s="33"/>
      <c r="CU429" s="33"/>
      <c r="CV429" s="33"/>
      <c r="CW429" s="33"/>
      <c r="CX429" s="33"/>
      <c r="CY429" s="33"/>
      <c r="CZ429" s="33"/>
      <c r="DA429" s="33"/>
      <c r="DB429" s="33"/>
      <c r="DC429" s="33"/>
      <c r="DD429" s="33"/>
      <c r="DE429" s="33"/>
      <c r="DF429" s="33"/>
      <c r="DG429" s="33"/>
      <c r="DH429" s="33"/>
      <c r="DI429" s="33"/>
      <c r="DJ429" s="33"/>
      <c r="DK429" s="33"/>
      <c r="DL429" s="33"/>
      <c r="DM429" s="33"/>
      <c r="DN429" s="33"/>
      <c r="DO429" s="33"/>
      <c r="DP429" s="33"/>
      <c r="DQ429" s="33"/>
      <c r="DR429" s="33"/>
      <c r="DS429" s="33"/>
      <c r="DT429" s="33"/>
      <c r="DU429" s="33"/>
      <c r="DV429" s="33"/>
      <c r="DW429" s="33"/>
      <c r="DX429" s="33"/>
      <c r="DY429" s="33"/>
      <c r="DZ429" s="33"/>
      <c r="EA429" s="33"/>
      <c r="EB429" s="33"/>
      <c r="EC429" s="33"/>
      <c r="ED429" s="33"/>
      <c r="EE429" s="33"/>
      <c r="EF429" s="33"/>
      <c r="EG429" s="33"/>
      <c r="EH429" s="33"/>
      <c r="EI429" s="33"/>
      <c r="EJ429" s="33"/>
      <c r="EK429" s="33"/>
      <c r="EL429" s="33"/>
      <c r="EM429" s="33"/>
      <c r="EN429" s="33"/>
      <c r="EO429" s="33"/>
      <c r="EP429" s="33"/>
      <c r="EQ429" s="33"/>
      <c r="ER429" s="33"/>
      <c r="ES429" s="33"/>
      <c r="ET429" s="33"/>
      <c r="EU429" s="33"/>
      <c r="EV429" s="33"/>
      <c r="EW429" s="33"/>
      <c r="EX429" s="33"/>
      <c r="EY429" s="33"/>
      <c r="EZ429" s="33"/>
      <c r="FA429" s="33"/>
      <c r="FB429" s="33"/>
      <c r="FC429" s="33"/>
      <c r="FD429" s="33"/>
      <c r="FE429" s="33"/>
      <c r="FF429" s="33"/>
      <c r="FG429" s="33"/>
      <c r="FH429" s="33"/>
      <c r="FI429" s="33"/>
      <c r="FJ429" s="33"/>
      <c r="FK429" s="33"/>
      <c r="FL429" s="33"/>
      <c r="FM429" s="33"/>
      <c r="FN429" s="33"/>
      <c r="FO429" s="33"/>
      <c r="FP429" s="33"/>
      <c r="FQ429" s="33"/>
      <c r="FR429" s="33"/>
      <c r="FS429" s="33"/>
      <c r="FT429" s="33"/>
      <c r="FU429" s="33"/>
      <c r="FV429" s="33"/>
      <c r="FW429" s="33"/>
      <c r="FX429" s="33"/>
      <c r="FY429" s="33"/>
      <c r="FZ429" s="33"/>
      <c r="GA429" s="33"/>
      <c r="GB429" s="33"/>
      <c r="GC429" s="33"/>
      <c r="GD429" s="33"/>
      <c r="GE429" s="33"/>
      <c r="GF429" s="33"/>
      <c r="GG429" s="33"/>
      <c r="GH429" s="33"/>
      <c r="GI429" s="33"/>
      <c r="GJ429" s="33"/>
      <c r="GK429" s="33"/>
      <c r="GL429" s="33"/>
      <c r="GM429" s="33"/>
      <c r="GN429" s="33"/>
      <c r="GO429" s="33"/>
      <c r="GP429" s="33"/>
      <c r="GQ429" s="33"/>
      <c r="GR429" s="33"/>
      <c r="GS429" s="33"/>
      <c r="GT429" s="33"/>
      <c r="GU429" s="33"/>
      <c r="GV429" s="33"/>
      <c r="GW429" s="33"/>
      <c r="GX429" s="33"/>
      <c r="GY429" s="33"/>
      <c r="GZ429" s="33"/>
      <c r="HA429" s="33"/>
      <c r="HB429" s="33"/>
      <c r="HC429" s="33"/>
      <c r="HD429" s="33"/>
      <c r="HE429" s="33"/>
      <c r="HF429" s="33"/>
      <c r="HG429" s="33"/>
      <c r="HH429" s="33"/>
      <c r="HI429" s="33"/>
      <c r="HJ429" s="33"/>
      <c r="HK429" s="33"/>
      <c r="HL429" s="33"/>
      <c r="HM429" s="33"/>
      <c r="HN429" s="33"/>
      <c r="HO429" s="33"/>
      <c r="HP429" s="33"/>
      <c r="HQ429" s="33"/>
      <c r="HR429" s="33"/>
      <c r="HS429" s="33"/>
      <c r="HT429" s="33"/>
      <c r="HU429" s="33"/>
      <c r="HV429" s="33"/>
      <c r="HW429" s="33"/>
      <c r="HX429" s="33"/>
      <c r="HY429" s="33"/>
      <c r="HZ429" s="33"/>
      <c r="IA429" s="33"/>
      <c r="IB429" s="33"/>
      <c r="IC429" s="33"/>
      <c r="ID429" s="33"/>
      <c r="IE429" s="33"/>
      <c r="IF429" s="33"/>
      <c r="IG429" s="33"/>
      <c r="IH429" s="33"/>
      <c r="II429" s="33"/>
      <c r="IJ429" s="33"/>
      <c r="IK429" s="33"/>
      <c r="IL429" s="33"/>
      <c r="IM429" s="33"/>
      <c r="IN429" s="33"/>
      <c r="IO429" s="33"/>
      <c r="IP429" s="33"/>
      <c r="IQ429" s="33"/>
      <c r="IR429" s="33"/>
      <c r="IS429" s="33"/>
      <c r="IT429" s="33"/>
      <c r="IU429" s="33"/>
      <c r="IV429" s="33"/>
      <c r="IW429" s="33"/>
      <c r="IX429" s="33"/>
      <c r="IY429" s="33"/>
      <c r="IZ429" s="33"/>
      <c r="JA429" s="33"/>
      <c r="JB429" s="33"/>
      <c r="JC429" s="33"/>
      <c r="JD429" s="33"/>
      <c r="JE429" s="33"/>
      <c r="JF429" s="33"/>
      <c r="JG429" s="33"/>
      <c r="JH429" s="33"/>
      <c r="JI429" s="33"/>
      <c r="JJ429" s="33"/>
      <c r="JK429" s="33"/>
      <c r="JL429" s="33"/>
      <c r="JM429" s="33"/>
      <c r="JN429" s="33"/>
      <c r="JO429" s="33"/>
      <c r="JP429" s="33"/>
      <c r="JQ429" s="33"/>
      <c r="JR429" s="33"/>
      <c r="KZ429" s="33"/>
      <c r="LA429" s="33"/>
      <c r="LB429" s="33"/>
      <c r="LC429" s="33"/>
      <c r="LD429" s="33"/>
      <c r="LE429" s="33"/>
      <c r="LF429" s="33"/>
      <c r="LG429" s="33"/>
      <c r="LH429" s="33"/>
      <c r="LI429" s="33"/>
      <c r="LJ429" s="33"/>
      <c r="LK429" s="33"/>
      <c r="LL429" s="33"/>
      <c r="LM429" s="33"/>
      <c r="LN429" s="33"/>
      <c r="LO429" s="33"/>
      <c r="LP429" s="44"/>
      <c r="LQ429" s="44"/>
      <c r="LR429" s="44"/>
      <c r="LS429" s="44"/>
      <c r="LT429" s="44"/>
      <c r="LU429" s="44"/>
      <c r="LV429" s="44"/>
    </row>
    <row r="430" spans="1:334" x14ac:dyDescent="0.2">
      <c r="A430" s="1" t="s">
        <v>9094</v>
      </c>
      <c r="B430" s="1" t="s">
        <v>9079</v>
      </c>
      <c r="D430" s="1" t="s">
        <v>9090</v>
      </c>
      <c r="E430" s="1" t="s">
        <v>11</v>
      </c>
      <c r="F430" s="1" t="s">
        <v>8187</v>
      </c>
      <c r="H430" s="1" t="s">
        <v>9095</v>
      </c>
      <c r="J430" s="1" t="s">
        <v>9082</v>
      </c>
      <c r="K430" s="1">
        <v>2002</v>
      </c>
      <c r="L430" s="1" t="s">
        <v>9083</v>
      </c>
      <c r="M430" s="1" t="s">
        <v>9084</v>
      </c>
      <c r="N430" s="17" t="s">
        <v>7945</v>
      </c>
      <c r="O430" s="33"/>
      <c r="P430" s="33"/>
      <c r="Q430" s="33"/>
      <c r="R430" s="33"/>
      <c r="S430" s="33">
        <v>6.57</v>
      </c>
      <c r="T430" s="33"/>
      <c r="U430" s="33">
        <v>5.85</v>
      </c>
      <c r="V430" s="33"/>
      <c r="W430" s="33"/>
      <c r="X430" s="33"/>
      <c r="Y430" s="33"/>
      <c r="Z430" s="33">
        <v>15.883100000000002</v>
      </c>
      <c r="AA430" s="33"/>
      <c r="AB430" s="33"/>
      <c r="AC430" s="33">
        <v>2.9523880000000005</v>
      </c>
      <c r="AD430" s="33"/>
      <c r="AE430" s="33"/>
      <c r="AF430" s="33">
        <v>64.7</v>
      </c>
      <c r="AG430" s="33"/>
      <c r="AH430" s="33"/>
      <c r="AI430" s="33"/>
      <c r="AJ430" s="33"/>
      <c r="AK430" s="33"/>
      <c r="AL430" s="33"/>
      <c r="AM430" s="33"/>
      <c r="AN430" s="33"/>
      <c r="AO430" s="33">
        <v>30.177889999999998</v>
      </c>
      <c r="AP430" s="33"/>
      <c r="AQ430" s="33">
        <v>5.3441960000000002</v>
      </c>
      <c r="AR430" s="33">
        <v>2.4665520000000005</v>
      </c>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c r="CN430" s="33"/>
      <c r="CO430" s="33">
        <v>8.063009000000001</v>
      </c>
      <c r="CP430" s="33"/>
      <c r="CQ430" s="33"/>
      <c r="CR430" s="33"/>
      <c r="CS430" s="33"/>
      <c r="CT430" s="33"/>
      <c r="CU430" s="33"/>
      <c r="CV430" s="33"/>
      <c r="CW430" s="33"/>
      <c r="CX430" s="33"/>
      <c r="CY430" s="33"/>
      <c r="CZ430" s="33"/>
      <c r="DA430" s="33"/>
      <c r="DB430" s="33"/>
      <c r="DC430" s="33"/>
      <c r="DD430" s="33"/>
      <c r="DE430" s="33"/>
      <c r="DF430" s="33"/>
      <c r="DG430" s="33"/>
      <c r="DH430" s="33"/>
      <c r="DI430" s="33"/>
      <c r="DJ430" s="33"/>
      <c r="DK430" s="33"/>
      <c r="DL430" s="33"/>
      <c r="DM430" s="33"/>
      <c r="DN430" s="33"/>
      <c r="DO430" s="33"/>
      <c r="DP430" s="33"/>
      <c r="DQ430" s="33"/>
      <c r="DR430" s="33"/>
      <c r="DS430" s="33"/>
      <c r="DT430" s="33"/>
      <c r="DU430" s="33"/>
      <c r="DV430" s="33"/>
      <c r="DW430" s="33"/>
      <c r="DX430" s="33"/>
      <c r="DY430" s="33"/>
      <c r="DZ430" s="33"/>
      <c r="EA430" s="33"/>
      <c r="EB430" s="33"/>
      <c r="EC430" s="33"/>
      <c r="ED430" s="33"/>
      <c r="EE430" s="33"/>
      <c r="EF430" s="33"/>
      <c r="EG430" s="33"/>
      <c r="EH430" s="33"/>
      <c r="EI430" s="33"/>
      <c r="EJ430" s="33"/>
      <c r="EK430" s="33"/>
      <c r="EL430" s="33"/>
      <c r="EM430" s="33"/>
      <c r="EN430" s="33"/>
      <c r="EO430" s="33"/>
      <c r="EP430" s="33"/>
      <c r="EQ430" s="33"/>
      <c r="ER430" s="33"/>
      <c r="ES430" s="33"/>
      <c r="ET430" s="33"/>
      <c r="EU430" s="33"/>
      <c r="EV430" s="33"/>
      <c r="EW430" s="33"/>
      <c r="EX430" s="33"/>
      <c r="EY430" s="33"/>
      <c r="EZ430" s="33"/>
      <c r="FA430" s="33"/>
      <c r="FB430" s="33"/>
      <c r="FC430" s="33"/>
      <c r="FD430" s="33"/>
      <c r="FE430" s="33"/>
      <c r="FF430" s="33"/>
      <c r="FG430" s="33"/>
      <c r="FH430" s="33"/>
      <c r="FI430" s="33"/>
      <c r="FJ430" s="33"/>
      <c r="FK430" s="33"/>
      <c r="FL430" s="33"/>
      <c r="FM430" s="33"/>
      <c r="FN430" s="33"/>
      <c r="FO430" s="33"/>
      <c r="FP430" s="33"/>
      <c r="FQ430" s="33"/>
      <c r="FR430" s="33"/>
      <c r="FS430" s="33"/>
      <c r="FT430" s="33"/>
      <c r="FU430" s="33"/>
      <c r="FV430" s="33"/>
      <c r="FW430" s="33"/>
      <c r="FX430" s="33"/>
      <c r="FY430" s="33"/>
      <c r="FZ430" s="33"/>
      <c r="GA430" s="33"/>
      <c r="GB430" s="33"/>
      <c r="GC430" s="33"/>
      <c r="GD430" s="33"/>
      <c r="GE430" s="33"/>
      <c r="GF430" s="33"/>
      <c r="GG430" s="33"/>
      <c r="GH430" s="33"/>
      <c r="GI430" s="33"/>
      <c r="GJ430" s="33"/>
      <c r="GK430" s="33"/>
      <c r="GL430" s="33"/>
      <c r="GM430" s="33"/>
      <c r="GN430" s="33"/>
      <c r="GO430" s="33"/>
      <c r="GP430" s="33"/>
      <c r="GQ430" s="33"/>
      <c r="GR430" s="33"/>
      <c r="GS430" s="33"/>
      <c r="GT430" s="33"/>
      <c r="GU430" s="33"/>
      <c r="GV430" s="33"/>
      <c r="GW430" s="33"/>
      <c r="GX430" s="33"/>
      <c r="GY430" s="33"/>
      <c r="GZ430" s="33"/>
      <c r="HA430" s="33"/>
      <c r="HB430" s="33"/>
      <c r="HC430" s="33"/>
      <c r="HD430" s="33"/>
      <c r="HE430" s="33"/>
      <c r="HF430" s="33"/>
      <c r="HG430" s="33"/>
      <c r="HH430" s="33"/>
      <c r="HI430" s="33"/>
      <c r="HJ430" s="33"/>
      <c r="HK430" s="33"/>
      <c r="HL430" s="33"/>
      <c r="HM430" s="33"/>
      <c r="HN430" s="33"/>
      <c r="HO430" s="33"/>
      <c r="HP430" s="33"/>
      <c r="HQ430" s="33"/>
      <c r="HR430" s="33"/>
      <c r="HS430" s="33"/>
      <c r="HT430" s="33"/>
      <c r="HU430" s="33"/>
      <c r="HV430" s="33"/>
      <c r="HW430" s="33"/>
      <c r="HX430" s="33"/>
      <c r="HY430" s="33"/>
      <c r="HZ430" s="33"/>
      <c r="IA430" s="33"/>
      <c r="IB430" s="33"/>
      <c r="IC430" s="33"/>
      <c r="ID430" s="33"/>
      <c r="IE430" s="33"/>
      <c r="IF430" s="33"/>
      <c r="IG430" s="33"/>
      <c r="IH430" s="33"/>
      <c r="II430" s="33"/>
      <c r="IJ430" s="33"/>
      <c r="IK430" s="33"/>
      <c r="IL430" s="33"/>
      <c r="IM430" s="33"/>
      <c r="IN430" s="33"/>
      <c r="IO430" s="33"/>
      <c r="IP430" s="33"/>
      <c r="IQ430" s="33"/>
      <c r="IR430" s="33"/>
      <c r="IS430" s="33"/>
      <c r="IT430" s="33"/>
      <c r="IU430" s="33"/>
      <c r="IV430" s="33"/>
      <c r="IW430" s="33"/>
      <c r="IX430" s="33"/>
      <c r="IY430" s="33"/>
      <c r="IZ430" s="33"/>
      <c r="JA430" s="33"/>
      <c r="JB430" s="33"/>
      <c r="JC430" s="33"/>
      <c r="JD430" s="33"/>
      <c r="JE430" s="33"/>
      <c r="JF430" s="33"/>
      <c r="JG430" s="33"/>
      <c r="JH430" s="33"/>
      <c r="JI430" s="33"/>
      <c r="JJ430" s="33"/>
      <c r="JK430" s="33"/>
      <c r="JL430" s="33"/>
      <c r="JM430" s="33"/>
      <c r="JN430" s="33"/>
      <c r="JO430" s="33"/>
      <c r="JP430" s="33"/>
      <c r="JQ430" s="33"/>
      <c r="JR430" s="33"/>
      <c r="KZ430" s="33"/>
      <c r="LA430" s="33"/>
      <c r="LB430" s="33"/>
      <c r="LC430" s="33"/>
      <c r="LD430" s="33"/>
      <c r="LE430" s="33"/>
      <c r="LF430" s="33"/>
      <c r="LG430" s="33"/>
      <c r="LH430" s="33"/>
      <c r="LI430" s="33"/>
      <c r="LJ430" s="33"/>
      <c r="LK430" s="33"/>
      <c r="LL430" s="33"/>
      <c r="LM430" s="33"/>
      <c r="LN430" s="33"/>
      <c r="LO430" s="33"/>
      <c r="LP430" s="44"/>
      <c r="LQ430" s="44"/>
      <c r="LR430" s="44"/>
      <c r="LS430" s="44"/>
      <c r="LT430" s="44"/>
      <c r="LU430" s="44"/>
      <c r="LV430" s="44"/>
    </row>
    <row r="431" spans="1:334" x14ac:dyDescent="0.2">
      <c r="A431" s="1" t="s">
        <v>9096</v>
      </c>
      <c r="B431" s="1" t="s">
        <v>9097</v>
      </c>
      <c r="D431" s="1" t="s">
        <v>9098</v>
      </c>
      <c r="E431" s="1" t="s">
        <v>7</v>
      </c>
      <c r="F431" s="1" t="s">
        <v>9099</v>
      </c>
      <c r="H431" s="1" t="s">
        <v>9100</v>
      </c>
      <c r="J431" s="1" t="s">
        <v>9101</v>
      </c>
      <c r="K431" s="1">
        <v>2006</v>
      </c>
      <c r="L431" s="1" t="s">
        <v>9102</v>
      </c>
      <c r="M431" s="1" t="s">
        <v>7659</v>
      </c>
      <c r="N431" s="17" t="s">
        <v>7945</v>
      </c>
      <c r="O431" s="33"/>
      <c r="P431" s="33"/>
      <c r="Q431" s="33"/>
      <c r="R431" s="33"/>
      <c r="S431" s="33">
        <v>10.26</v>
      </c>
      <c r="T431" s="33"/>
      <c r="U431" s="33">
        <v>6.25</v>
      </c>
      <c r="V431" s="33"/>
      <c r="W431" s="33"/>
      <c r="X431" s="33"/>
      <c r="Y431" s="33"/>
      <c r="Z431" s="33">
        <v>24.19</v>
      </c>
      <c r="AA431" s="33"/>
      <c r="AB431" s="33"/>
      <c r="AC431" s="33">
        <v>5.04</v>
      </c>
      <c r="AD431" s="33"/>
      <c r="AE431" s="33">
        <v>50.02</v>
      </c>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33"/>
      <c r="BE431" s="33">
        <v>7.2</v>
      </c>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c r="CN431" s="33"/>
      <c r="CO431" s="33">
        <v>3.31</v>
      </c>
      <c r="CP431" s="33"/>
      <c r="CQ431" s="33"/>
      <c r="CR431" s="33"/>
      <c r="CS431" s="33"/>
      <c r="CT431" s="33"/>
      <c r="CU431" s="33"/>
      <c r="CV431" s="33"/>
      <c r="CW431" s="33"/>
      <c r="CX431" s="33"/>
      <c r="CY431" s="33"/>
      <c r="CZ431" s="33"/>
      <c r="DA431" s="33"/>
      <c r="DB431" s="33"/>
      <c r="DC431" s="33"/>
      <c r="DD431" s="33"/>
      <c r="DE431" s="33"/>
      <c r="DF431" s="33"/>
      <c r="DG431" s="33"/>
      <c r="DH431" s="33"/>
      <c r="DI431" s="33"/>
      <c r="DJ431" s="33"/>
      <c r="DK431" s="33"/>
      <c r="DL431" s="33"/>
      <c r="DM431" s="33"/>
      <c r="DN431" s="33"/>
      <c r="DO431" s="33"/>
      <c r="DP431" s="33"/>
      <c r="DQ431" s="33"/>
      <c r="DR431" s="33"/>
      <c r="DS431" s="33"/>
      <c r="DT431" s="33"/>
      <c r="DU431" s="33"/>
      <c r="DV431" s="33"/>
      <c r="DW431" s="33"/>
      <c r="DX431" s="33"/>
      <c r="DY431" s="33"/>
      <c r="DZ431" s="33"/>
      <c r="EA431" s="33"/>
      <c r="EB431" s="33"/>
      <c r="EC431" s="33"/>
      <c r="ED431" s="33"/>
      <c r="EE431" s="33"/>
      <c r="EF431" s="33"/>
      <c r="EG431" s="33"/>
      <c r="EH431" s="33"/>
      <c r="EI431" s="33"/>
      <c r="EJ431" s="33"/>
      <c r="EK431" s="33"/>
      <c r="EL431" s="33"/>
      <c r="EM431" s="33"/>
      <c r="EN431" s="33"/>
      <c r="EO431" s="33"/>
      <c r="EP431" s="33"/>
      <c r="EQ431" s="33"/>
      <c r="ER431" s="33"/>
      <c r="ES431" s="33"/>
      <c r="ET431" s="33"/>
      <c r="EU431" s="33"/>
      <c r="EV431" s="33"/>
      <c r="EW431" s="33"/>
      <c r="EX431" s="33"/>
      <c r="EY431" s="33"/>
      <c r="EZ431" s="33"/>
      <c r="FA431" s="33"/>
      <c r="FB431" s="33"/>
      <c r="FC431" s="33"/>
      <c r="FD431" s="33"/>
      <c r="FE431" s="33"/>
      <c r="FF431" s="33"/>
      <c r="FG431" s="33"/>
      <c r="FH431" s="33"/>
      <c r="FI431" s="33"/>
      <c r="FJ431" s="33"/>
      <c r="FK431" s="33"/>
      <c r="FL431" s="33"/>
      <c r="FM431" s="33"/>
      <c r="FN431" s="33"/>
      <c r="FO431" s="33"/>
      <c r="FP431" s="33"/>
      <c r="FQ431" s="33"/>
      <c r="FR431" s="33"/>
      <c r="FS431" s="33"/>
      <c r="FT431" s="33"/>
      <c r="FU431" s="33"/>
      <c r="FV431" s="33"/>
      <c r="FW431" s="33"/>
      <c r="FX431" s="33"/>
      <c r="FY431" s="33">
        <v>5.3843999999999996E-2</v>
      </c>
      <c r="FZ431" s="33"/>
      <c r="GA431" s="33"/>
      <c r="GB431" s="33"/>
      <c r="GC431" s="33"/>
      <c r="GD431" s="33"/>
      <c r="GE431" s="33"/>
      <c r="GF431" s="33"/>
      <c r="GG431" s="33"/>
      <c r="GH431" s="33"/>
      <c r="GI431" s="33"/>
      <c r="GJ431" s="33"/>
      <c r="GK431" s="33"/>
      <c r="GL431" s="33"/>
      <c r="GM431" s="33"/>
      <c r="GN431" s="33"/>
      <c r="GO431" s="33"/>
      <c r="GP431" s="33"/>
      <c r="GQ431" s="33"/>
      <c r="GR431" s="33"/>
      <c r="GS431" s="33"/>
      <c r="GT431" s="33"/>
      <c r="GU431" s="33"/>
      <c r="GV431" s="33"/>
      <c r="GW431" s="33"/>
      <c r="GX431" s="33"/>
      <c r="GY431" s="33"/>
      <c r="GZ431" s="33"/>
      <c r="HA431" s="33"/>
      <c r="HB431" s="33"/>
      <c r="HC431" s="33"/>
      <c r="HD431" s="33"/>
      <c r="HE431" s="33"/>
      <c r="HF431" s="33"/>
      <c r="HG431" s="33"/>
      <c r="HH431" s="33"/>
      <c r="HI431" s="33"/>
      <c r="HJ431" s="33"/>
      <c r="HK431" s="33"/>
      <c r="HL431" s="33"/>
      <c r="HM431" s="33"/>
      <c r="HN431" s="33"/>
      <c r="HO431" s="33"/>
      <c r="HP431" s="33"/>
      <c r="HQ431" s="33"/>
      <c r="HR431" s="33"/>
      <c r="HS431" s="33"/>
      <c r="HT431" s="33"/>
      <c r="HU431" s="33"/>
      <c r="HV431" s="33"/>
      <c r="HW431" s="33"/>
      <c r="HX431" s="33"/>
      <c r="HY431" s="33"/>
      <c r="HZ431" s="33"/>
      <c r="IA431" s="33"/>
      <c r="IB431" s="33"/>
      <c r="IC431" s="33"/>
      <c r="ID431" s="33"/>
      <c r="IE431" s="33"/>
      <c r="IF431" s="33"/>
      <c r="IG431" s="33"/>
      <c r="IH431" s="33"/>
      <c r="II431" s="33"/>
      <c r="IJ431" s="33"/>
      <c r="IK431" s="33"/>
      <c r="IL431" s="33"/>
      <c r="IM431" s="33"/>
      <c r="IN431" s="33"/>
      <c r="IO431" s="33"/>
      <c r="IP431" s="33"/>
      <c r="IQ431" s="33"/>
      <c r="IR431" s="33"/>
      <c r="IS431" s="33"/>
      <c r="IT431" s="33"/>
      <c r="IU431" s="33"/>
      <c r="IV431" s="33"/>
      <c r="IW431" s="33"/>
      <c r="IX431" s="33"/>
      <c r="IY431" s="33"/>
      <c r="IZ431" s="33"/>
      <c r="JA431" s="33"/>
      <c r="JB431" s="33"/>
      <c r="JC431" s="33"/>
      <c r="JD431" s="33"/>
      <c r="JE431" s="33"/>
      <c r="JF431" s="33"/>
      <c r="JG431" s="33"/>
      <c r="JH431" s="33"/>
      <c r="JI431" s="33"/>
      <c r="JJ431" s="33"/>
      <c r="JK431" s="33"/>
      <c r="JL431" s="33"/>
      <c r="JM431" s="33"/>
      <c r="JN431" s="33"/>
      <c r="JO431" s="33"/>
      <c r="JP431" s="33"/>
      <c r="JQ431" s="33"/>
      <c r="JR431" s="33"/>
      <c r="KZ431" s="33"/>
      <c r="LA431" s="33"/>
      <c r="LB431" s="33"/>
      <c r="LC431" s="33"/>
      <c r="LD431" s="33"/>
      <c r="LE431" s="33"/>
      <c r="LF431" s="33"/>
      <c r="LG431" s="33"/>
      <c r="LH431" s="33"/>
      <c r="LI431" s="33"/>
      <c r="LJ431" s="33"/>
      <c r="LK431" s="33"/>
      <c r="LL431" s="33"/>
      <c r="LM431" s="33"/>
      <c r="LN431" s="33"/>
      <c r="LO431" s="33"/>
      <c r="LP431" s="44"/>
      <c r="LQ431" s="44"/>
      <c r="LR431" s="44"/>
      <c r="LS431" s="44"/>
      <c r="LT431" s="44"/>
      <c r="LU431" s="44"/>
      <c r="LV431" s="44"/>
    </row>
    <row r="432" spans="1:334" x14ac:dyDescent="0.2">
      <c r="A432" s="1" t="s">
        <v>9103</v>
      </c>
      <c r="B432" s="1" t="s">
        <v>9097</v>
      </c>
      <c r="D432" s="1" t="s">
        <v>9098</v>
      </c>
      <c r="E432" s="1" t="s">
        <v>7</v>
      </c>
      <c r="F432" s="1" t="s">
        <v>9099</v>
      </c>
      <c r="H432" s="1" t="s">
        <v>9104</v>
      </c>
      <c r="J432" s="1" t="s">
        <v>9101</v>
      </c>
      <c r="K432" s="1">
        <v>2006</v>
      </c>
      <c r="L432" s="1" t="s">
        <v>9102</v>
      </c>
      <c r="M432" s="1" t="s">
        <v>7659</v>
      </c>
      <c r="N432" s="17" t="s">
        <v>7945</v>
      </c>
      <c r="O432" s="33"/>
      <c r="P432" s="33"/>
      <c r="Q432" s="33"/>
      <c r="R432" s="33"/>
      <c r="S432" s="33">
        <v>13.18</v>
      </c>
      <c r="T432" s="33"/>
      <c r="U432" s="33">
        <v>6.25</v>
      </c>
      <c r="V432" s="33"/>
      <c r="W432" s="33"/>
      <c r="X432" s="33"/>
      <c r="Y432" s="33"/>
      <c r="Z432" s="33">
        <v>23.97</v>
      </c>
      <c r="AA432" s="33"/>
      <c r="AB432" s="33"/>
      <c r="AC432" s="33">
        <v>2.48</v>
      </c>
      <c r="AD432" s="33"/>
      <c r="AE432" s="33">
        <v>50.3</v>
      </c>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33"/>
      <c r="BE432" s="33">
        <v>6.69</v>
      </c>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c r="CN432" s="33"/>
      <c r="CO432" s="33">
        <v>3.4</v>
      </c>
      <c r="CP432" s="33"/>
      <c r="CQ432" s="33"/>
      <c r="CR432" s="33"/>
      <c r="CS432" s="33"/>
      <c r="CT432" s="33"/>
      <c r="CU432" s="33"/>
      <c r="CV432" s="33"/>
      <c r="CW432" s="33"/>
      <c r="CX432" s="33"/>
      <c r="CY432" s="33"/>
      <c r="CZ432" s="33"/>
      <c r="DA432" s="33"/>
      <c r="DB432" s="33"/>
      <c r="DC432" s="33"/>
      <c r="DD432" s="33"/>
      <c r="DE432" s="33"/>
      <c r="DF432" s="33"/>
      <c r="DG432" s="33"/>
      <c r="DH432" s="33"/>
      <c r="DI432" s="33"/>
      <c r="DJ432" s="33"/>
      <c r="DK432" s="33"/>
      <c r="DL432" s="33"/>
      <c r="DM432" s="33"/>
      <c r="DN432" s="33"/>
      <c r="DO432" s="33"/>
      <c r="DP432" s="33"/>
      <c r="DQ432" s="33"/>
      <c r="DR432" s="33"/>
      <c r="DS432" s="33"/>
      <c r="DT432" s="33"/>
      <c r="DU432" s="33"/>
      <c r="DV432" s="33"/>
      <c r="DW432" s="33"/>
      <c r="DX432" s="33"/>
      <c r="DY432" s="33"/>
      <c r="DZ432" s="33"/>
      <c r="EA432" s="33"/>
      <c r="EB432" s="33"/>
      <c r="EC432" s="33"/>
      <c r="ED432" s="33"/>
      <c r="EE432" s="33"/>
      <c r="EF432" s="33"/>
      <c r="EG432" s="33"/>
      <c r="EH432" s="33"/>
      <c r="EI432" s="33"/>
      <c r="EJ432" s="33"/>
      <c r="EK432" s="33"/>
      <c r="EL432" s="33"/>
      <c r="EM432" s="33"/>
      <c r="EN432" s="33"/>
      <c r="EO432" s="33"/>
      <c r="EP432" s="33"/>
      <c r="EQ432" s="33"/>
      <c r="ER432" s="33"/>
      <c r="ES432" s="33"/>
      <c r="ET432" s="33"/>
      <c r="EU432" s="33"/>
      <c r="EV432" s="33"/>
      <c r="EW432" s="33"/>
      <c r="EX432" s="33"/>
      <c r="EY432" s="33"/>
      <c r="EZ432" s="33"/>
      <c r="FA432" s="33"/>
      <c r="FB432" s="33"/>
      <c r="FC432" s="33"/>
      <c r="FD432" s="33"/>
      <c r="FE432" s="33"/>
      <c r="FF432" s="33"/>
      <c r="FG432" s="33"/>
      <c r="FH432" s="33"/>
      <c r="FI432" s="33"/>
      <c r="FJ432" s="33"/>
      <c r="FK432" s="33"/>
      <c r="FL432" s="33"/>
      <c r="FM432" s="33"/>
      <c r="FN432" s="33"/>
      <c r="FO432" s="33"/>
      <c r="FP432" s="33"/>
      <c r="FQ432" s="33"/>
      <c r="FR432" s="33"/>
      <c r="FS432" s="33"/>
      <c r="FT432" s="33"/>
      <c r="FU432" s="33"/>
      <c r="FV432" s="33"/>
      <c r="FW432" s="33"/>
      <c r="FX432" s="33"/>
      <c r="FY432" s="33">
        <v>5.2091999999999992E-2</v>
      </c>
      <c r="FZ432" s="33"/>
      <c r="GA432" s="33"/>
      <c r="GB432" s="33"/>
      <c r="GC432" s="33"/>
      <c r="GD432" s="33"/>
      <c r="GE432" s="33"/>
      <c r="GF432" s="33"/>
      <c r="GG432" s="33"/>
      <c r="GH432" s="33"/>
      <c r="GI432" s="33"/>
      <c r="GJ432" s="33"/>
      <c r="GK432" s="33"/>
      <c r="GL432" s="33"/>
      <c r="GM432" s="33"/>
      <c r="GN432" s="33"/>
      <c r="GO432" s="33"/>
      <c r="GP432" s="33"/>
      <c r="GQ432" s="33"/>
      <c r="GR432" s="33"/>
      <c r="GS432" s="33"/>
      <c r="GT432" s="33"/>
      <c r="GU432" s="33"/>
      <c r="GV432" s="33"/>
      <c r="GW432" s="33"/>
      <c r="GX432" s="33"/>
      <c r="GY432" s="33"/>
      <c r="GZ432" s="33"/>
      <c r="HA432" s="33"/>
      <c r="HB432" s="33"/>
      <c r="HC432" s="33"/>
      <c r="HD432" s="33"/>
      <c r="HE432" s="33"/>
      <c r="HF432" s="33"/>
      <c r="HG432" s="33"/>
      <c r="HH432" s="33"/>
      <c r="HI432" s="33"/>
      <c r="HJ432" s="33"/>
      <c r="HK432" s="33"/>
      <c r="HL432" s="33"/>
      <c r="HM432" s="33"/>
      <c r="HN432" s="33"/>
      <c r="HO432" s="33"/>
      <c r="HP432" s="33"/>
      <c r="HQ432" s="33"/>
      <c r="HR432" s="33"/>
      <c r="HS432" s="33"/>
      <c r="HT432" s="33"/>
      <c r="HU432" s="33"/>
      <c r="HV432" s="33"/>
      <c r="HW432" s="33"/>
      <c r="HX432" s="33"/>
      <c r="HY432" s="33"/>
      <c r="HZ432" s="33"/>
      <c r="IA432" s="33"/>
      <c r="IB432" s="33"/>
      <c r="IC432" s="33"/>
      <c r="ID432" s="33"/>
      <c r="IE432" s="33"/>
      <c r="IF432" s="33"/>
      <c r="IG432" s="33"/>
      <c r="IH432" s="33"/>
      <c r="II432" s="33"/>
      <c r="IJ432" s="33"/>
      <c r="IK432" s="33"/>
      <c r="IL432" s="33"/>
      <c r="IM432" s="33"/>
      <c r="IN432" s="33"/>
      <c r="IO432" s="33"/>
      <c r="IP432" s="33"/>
      <c r="IQ432" s="33"/>
      <c r="IR432" s="33"/>
      <c r="IS432" s="33"/>
      <c r="IT432" s="33"/>
      <c r="IU432" s="33"/>
      <c r="IV432" s="33"/>
      <c r="IW432" s="33"/>
      <c r="IX432" s="33"/>
      <c r="IY432" s="33"/>
      <c r="IZ432" s="33"/>
      <c r="JA432" s="33"/>
      <c r="JB432" s="33"/>
      <c r="JC432" s="33"/>
      <c r="JD432" s="33"/>
      <c r="JE432" s="33"/>
      <c r="JF432" s="33"/>
      <c r="JG432" s="33"/>
      <c r="JH432" s="33"/>
      <c r="JI432" s="33"/>
      <c r="JJ432" s="33"/>
      <c r="JK432" s="33"/>
      <c r="JL432" s="33"/>
      <c r="JM432" s="33"/>
      <c r="JN432" s="33"/>
      <c r="JO432" s="33"/>
      <c r="JP432" s="33"/>
      <c r="JQ432" s="33"/>
      <c r="JR432" s="33"/>
      <c r="KZ432" s="33"/>
      <c r="LA432" s="33"/>
      <c r="LB432" s="33"/>
      <c r="LC432" s="33"/>
      <c r="LD432" s="33"/>
      <c r="LE432" s="33"/>
      <c r="LF432" s="33"/>
      <c r="LG432" s="33"/>
      <c r="LH432" s="33"/>
      <c r="LI432" s="33"/>
      <c r="LJ432" s="33"/>
      <c r="LK432" s="33"/>
      <c r="LL432" s="33"/>
      <c r="LM432" s="33"/>
      <c r="LN432" s="33"/>
      <c r="LO432" s="33"/>
      <c r="LP432" s="44"/>
      <c r="LQ432" s="44"/>
      <c r="LR432" s="44"/>
      <c r="LS432" s="44"/>
      <c r="LT432" s="44"/>
      <c r="LU432" s="44"/>
      <c r="LV432" s="44"/>
    </row>
    <row r="433" spans="1:334" x14ac:dyDescent="0.2">
      <c r="A433" s="1" t="s">
        <v>9105</v>
      </c>
      <c r="B433" s="1" t="s">
        <v>9097</v>
      </c>
      <c r="D433" s="1" t="s">
        <v>9106</v>
      </c>
      <c r="E433" s="1" t="s">
        <v>7</v>
      </c>
      <c r="F433" s="1" t="s">
        <v>8752</v>
      </c>
      <c r="H433" s="1" t="s">
        <v>9107</v>
      </c>
      <c r="J433" s="1" t="s">
        <v>9101</v>
      </c>
      <c r="K433" s="1">
        <v>2006</v>
      </c>
      <c r="L433" s="1" t="s">
        <v>9102</v>
      </c>
      <c r="M433" s="1" t="s">
        <v>7659</v>
      </c>
      <c r="N433" s="17" t="s">
        <v>7945</v>
      </c>
      <c r="O433" s="33"/>
      <c r="P433" s="33"/>
      <c r="Q433" s="33"/>
      <c r="R433" s="33"/>
      <c r="S433" s="33">
        <v>14.05</v>
      </c>
      <c r="T433" s="33"/>
      <c r="U433" s="33">
        <v>6.25</v>
      </c>
      <c r="V433" s="33"/>
      <c r="W433" s="33"/>
      <c r="X433" s="33"/>
      <c r="Y433" s="33"/>
      <c r="Z433" s="33">
        <v>24.9</v>
      </c>
      <c r="AA433" s="33"/>
      <c r="AB433" s="33"/>
      <c r="AC433" s="33">
        <v>2.92</v>
      </c>
      <c r="AD433" s="33"/>
      <c r="AE433" s="33">
        <v>50.44</v>
      </c>
      <c r="AF433" s="33"/>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33"/>
      <c r="BC433" s="33"/>
      <c r="BD433" s="33"/>
      <c r="BE433" s="33">
        <v>2.0699999999999998</v>
      </c>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c r="CN433" s="33"/>
      <c r="CO433" s="33">
        <v>5.64</v>
      </c>
      <c r="CP433" s="33"/>
      <c r="CQ433" s="33"/>
      <c r="CR433" s="33"/>
      <c r="CS433" s="33"/>
      <c r="CT433" s="33"/>
      <c r="CU433" s="33"/>
      <c r="CV433" s="33"/>
      <c r="CW433" s="33"/>
      <c r="CX433" s="33"/>
      <c r="CY433" s="33"/>
      <c r="CZ433" s="33"/>
      <c r="DA433" s="33"/>
      <c r="DB433" s="33"/>
      <c r="DC433" s="33"/>
      <c r="DD433" s="33"/>
      <c r="DE433" s="33"/>
      <c r="DF433" s="33"/>
      <c r="DG433" s="33"/>
      <c r="DH433" s="33"/>
      <c r="DI433" s="33"/>
      <c r="DJ433" s="33"/>
      <c r="DK433" s="33"/>
      <c r="DL433" s="33"/>
      <c r="DM433" s="33"/>
      <c r="DN433" s="33"/>
      <c r="DO433" s="33"/>
      <c r="DP433" s="33"/>
      <c r="DQ433" s="33"/>
      <c r="DR433" s="33"/>
      <c r="DS433" s="33"/>
      <c r="DT433" s="33"/>
      <c r="DU433" s="33"/>
      <c r="DV433" s="33"/>
      <c r="DW433" s="33"/>
      <c r="DX433" s="33"/>
      <c r="DY433" s="33"/>
      <c r="DZ433" s="33"/>
      <c r="EA433" s="33"/>
      <c r="EB433" s="33"/>
      <c r="EC433" s="33"/>
      <c r="ED433" s="33"/>
      <c r="EE433" s="33"/>
      <c r="EF433" s="33"/>
      <c r="EG433" s="33"/>
      <c r="EH433" s="33"/>
      <c r="EI433" s="33"/>
      <c r="EJ433" s="33"/>
      <c r="EK433" s="33"/>
      <c r="EL433" s="33"/>
      <c r="EM433" s="33"/>
      <c r="EN433" s="33"/>
      <c r="EO433" s="33"/>
      <c r="EP433" s="33"/>
      <c r="EQ433" s="33"/>
      <c r="ER433" s="33"/>
      <c r="ES433" s="33"/>
      <c r="ET433" s="33"/>
      <c r="EU433" s="33"/>
      <c r="EV433" s="33"/>
      <c r="EW433" s="33"/>
      <c r="EX433" s="33"/>
      <c r="EY433" s="33"/>
      <c r="EZ433" s="33"/>
      <c r="FA433" s="33"/>
      <c r="FB433" s="33"/>
      <c r="FC433" s="33"/>
      <c r="FD433" s="33"/>
      <c r="FE433" s="33"/>
      <c r="FF433" s="33"/>
      <c r="FG433" s="33"/>
      <c r="FH433" s="33"/>
      <c r="FI433" s="33"/>
      <c r="FJ433" s="33"/>
      <c r="FK433" s="33"/>
      <c r="FL433" s="33"/>
      <c r="FM433" s="33"/>
      <c r="FN433" s="33"/>
      <c r="FO433" s="33"/>
      <c r="FP433" s="33"/>
      <c r="FQ433" s="33"/>
      <c r="FR433" s="33"/>
      <c r="FS433" s="33"/>
      <c r="FT433" s="33"/>
      <c r="FU433" s="33"/>
      <c r="FV433" s="33"/>
      <c r="FW433" s="33"/>
      <c r="FX433" s="33"/>
      <c r="FY433" s="33">
        <v>5.1569999999999998E-2</v>
      </c>
      <c r="FZ433" s="33"/>
      <c r="GA433" s="33"/>
      <c r="GB433" s="33"/>
      <c r="GC433" s="33"/>
      <c r="GD433" s="33"/>
      <c r="GE433" s="33"/>
      <c r="GF433" s="33"/>
      <c r="GG433" s="33"/>
      <c r="GH433" s="33"/>
      <c r="GI433" s="33"/>
      <c r="GJ433" s="33"/>
      <c r="GK433" s="33"/>
      <c r="GL433" s="33"/>
      <c r="GM433" s="33"/>
      <c r="GN433" s="33"/>
      <c r="GO433" s="33"/>
      <c r="GP433" s="33"/>
      <c r="GQ433" s="33"/>
      <c r="GR433" s="33"/>
      <c r="GS433" s="33"/>
      <c r="GT433" s="33"/>
      <c r="GU433" s="33"/>
      <c r="GV433" s="33"/>
      <c r="GW433" s="33"/>
      <c r="GX433" s="33"/>
      <c r="GY433" s="33"/>
      <c r="GZ433" s="33"/>
      <c r="HA433" s="33"/>
      <c r="HB433" s="33"/>
      <c r="HC433" s="33"/>
      <c r="HD433" s="33"/>
      <c r="HE433" s="33"/>
      <c r="HF433" s="33"/>
      <c r="HG433" s="33"/>
      <c r="HH433" s="33"/>
      <c r="HI433" s="33"/>
      <c r="HJ433" s="33"/>
      <c r="HK433" s="33"/>
      <c r="HL433" s="33"/>
      <c r="HM433" s="33"/>
      <c r="HN433" s="33"/>
      <c r="HO433" s="33"/>
      <c r="HP433" s="33"/>
      <c r="HQ433" s="33"/>
      <c r="HR433" s="33"/>
      <c r="HS433" s="33"/>
      <c r="HT433" s="33"/>
      <c r="HU433" s="33"/>
      <c r="HV433" s="33"/>
      <c r="HW433" s="33"/>
      <c r="HX433" s="33"/>
      <c r="HY433" s="33"/>
      <c r="HZ433" s="33"/>
      <c r="IA433" s="33"/>
      <c r="IB433" s="33"/>
      <c r="IC433" s="33"/>
      <c r="ID433" s="33"/>
      <c r="IE433" s="33"/>
      <c r="IF433" s="33"/>
      <c r="IG433" s="33"/>
      <c r="IH433" s="33"/>
      <c r="II433" s="33"/>
      <c r="IJ433" s="33"/>
      <c r="IK433" s="33"/>
      <c r="IL433" s="33"/>
      <c r="IM433" s="33"/>
      <c r="IN433" s="33"/>
      <c r="IO433" s="33"/>
      <c r="IP433" s="33"/>
      <c r="IQ433" s="33"/>
      <c r="IR433" s="33"/>
      <c r="IS433" s="33"/>
      <c r="IT433" s="33"/>
      <c r="IU433" s="33"/>
      <c r="IV433" s="33"/>
      <c r="IW433" s="33"/>
      <c r="IX433" s="33"/>
      <c r="IY433" s="33"/>
      <c r="IZ433" s="33"/>
      <c r="JA433" s="33"/>
      <c r="JB433" s="33"/>
      <c r="JC433" s="33"/>
      <c r="JD433" s="33"/>
      <c r="JE433" s="33"/>
      <c r="JF433" s="33"/>
      <c r="JG433" s="33"/>
      <c r="JH433" s="33"/>
      <c r="JI433" s="33"/>
      <c r="JJ433" s="33"/>
      <c r="JK433" s="33"/>
      <c r="JL433" s="33"/>
      <c r="JM433" s="33"/>
      <c r="JN433" s="33"/>
      <c r="JO433" s="33"/>
      <c r="JP433" s="33"/>
      <c r="JQ433" s="33"/>
      <c r="JR433" s="33"/>
      <c r="KZ433" s="33"/>
      <c r="LA433" s="33"/>
      <c r="LB433" s="33"/>
      <c r="LC433" s="33"/>
      <c r="LD433" s="33"/>
      <c r="LE433" s="33"/>
      <c r="LF433" s="33"/>
      <c r="LG433" s="33"/>
      <c r="LH433" s="33"/>
      <c r="LI433" s="33"/>
      <c r="LJ433" s="33"/>
      <c r="LK433" s="33"/>
      <c r="LL433" s="33"/>
      <c r="LM433" s="33"/>
      <c r="LN433" s="33"/>
      <c r="LO433" s="33"/>
      <c r="LP433" s="44"/>
      <c r="LQ433" s="44"/>
      <c r="LR433" s="44"/>
      <c r="LS433" s="44"/>
      <c r="LT433" s="44"/>
      <c r="LU433" s="44"/>
      <c r="LV433" s="44"/>
    </row>
    <row r="434" spans="1:334" x14ac:dyDescent="0.2">
      <c r="A434" s="1" t="s">
        <v>9108</v>
      </c>
      <c r="B434" s="1" t="s">
        <v>9109</v>
      </c>
      <c r="D434" s="1" t="s">
        <v>9110</v>
      </c>
      <c r="E434" s="1" t="s">
        <v>7</v>
      </c>
      <c r="F434" s="1" t="s">
        <v>8021</v>
      </c>
      <c r="J434" s="1" t="s">
        <v>9111</v>
      </c>
      <c r="K434" s="1">
        <v>2013</v>
      </c>
      <c r="L434" s="1" t="s">
        <v>9112</v>
      </c>
      <c r="M434" s="1" t="s">
        <v>7659</v>
      </c>
      <c r="N434" s="17" t="s">
        <v>7945</v>
      </c>
      <c r="O434" s="33">
        <v>1374</v>
      </c>
      <c r="P434" s="33"/>
      <c r="Q434" s="33"/>
      <c r="R434" s="33"/>
      <c r="S434" s="33">
        <v>8.5</v>
      </c>
      <c r="T434" s="33"/>
      <c r="U434" s="33"/>
      <c r="V434" s="33"/>
      <c r="W434" s="33"/>
      <c r="X434" s="33"/>
      <c r="Y434" s="33"/>
      <c r="Z434" s="33">
        <v>20.9</v>
      </c>
      <c r="AA434" s="33"/>
      <c r="AB434" s="33"/>
      <c r="AC434" s="33">
        <v>1.4</v>
      </c>
      <c r="AD434" s="33"/>
      <c r="AE434" s="33">
        <v>58</v>
      </c>
      <c r="AF434" s="33"/>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33"/>
      <c r="BC434" s="33"/>
      <c r="BD434" s="33"/>
      <c r="BE434" s="33">
        <v>7.5</v>
      </c>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c r="CN434" s="33"/>
      <c r="CO434" s="33">
        <v>3.7</v>
      </c>
      <c r="CP434" s="33"/>
      <c r="CQ434" s="33"/>
      <c r="CR434" s="33"/>
      <c r="CS434" s="33"/>
      <c r="CT434" s="33"/>
      <c r="CU434" s="33"/>
      <c r="CV434" s="33"/>
      <c r="CW434" s="33"/>
      <c r="CX434" s="33"/>
      <c r="CY434" s="33"/>
      <c r="CZ434" s="33"/>
      <c r="DA434" s="33"/>
      <c r="DB434" s="33"/>
      <c r="DC434" s="33"/>
      <c r="DD434" s="33"/>
      <c r="DE434" s="33"/>
      <c r="DF434" s="33"/>
      <c r="DG434" s="33"/>
      <c r="DH434" s="33"/>
      <c r="DI434" s="33"/>
      <c r="DJ434" s="33"/>
      <c r="DK434" s="33"/>
      <c r="DL434" s="33"/>
      <c r="DM434" s="33"/>
      <c r="DN434" s="33"/>
      <c r="DO434" s="33"/>
      <c r="DP434" s="33"/>
      <c r="DQ434" s="33"/>
      <c r="DR434" s="33"/>
      <c r="DS434" s="33"/>
      <c r="DT434" s="33"/>
      <c r="DU434" s="33"/>
      <c r="DV434" s="33"/>
      <c r="DW434" s="33"/>
      <c r="DX434" s="33"/>
      <c r="DY434" s="33"/>
      <c r="DZ434" s="33"/>
      <c r="EA434" s="33"/>
      <c r="EB434" s="33"/>
      <c r="EC434" s="33"/>
      <c r="ED434" s="33"/>
      <c r="EE434" s="33"/>
      <c r="EF434" s="33"/>
      <c r="EG434" s="33"/>
      <c r="EH434" s="33"/>
      <c r="EI434" s="33"/>
      <c r="EJ434" s="33"/>
      <c r="EK434" s="33"/>
      <c r="EL434" s="33"/>
      <c r="EM434" s="33"/>
      <c r="EN434" s="33"/>
      <c r="EO434" s="33"/>
      <c r="EP434" s="33"/>
      <c r="EQ434" s="33"/>
      <c r="ER434" s="33"/>
      <c r="ES434" s="33"/>
      <c r="ET434" s="33"/>
      <c r="EU434" s="33"/>
      <c r="EV434" s="33"/>
      <c r="EW434" s="33"/>
      <c r="EX434" s="33"/>
      <c r="EY434" s="33"/>
      <c r="EZ434" s="33"/>
      <c r="FA434" s="33"/>
      <c r="FB434" s="33"/>
      <c r="FC434" s="33"/>
      <c r="FD434" s="33"/>
      <c r="FE434" s="33"/>
      <c r="FF434" s="33"/>
      <c r="FG434" s="33"/>
      <c r="FH434" s="33"/>
      <c r="FI434" s="33"/>
      <c r="FJ434" s="33"/>
      <c r="FK434" s="33"/>
      <c r="FL434" s="33"/>
      <c r="FM434" s="33"/>
      <c r="FN434" s="33"/>
      <c r="FO434" s="33"/>
      <c r="FP434" s="33"/>
      <c r="FQ434" s="33"/>
      <c r="FR434" s="33"/>
      <c r="FS434" s="33"/>
      <c r="FT434" s="33"/>
      <c r="FU434" s="33"/>
      <c r="FV434" s="33"/>
      <c r="FW434" s="33"/>
      <c r="FX434" s="33"/>
      <c r="FY434" s="33"/>
      <c r="FZ434" s="33"/>
      <c r="GA434" s="33"/>
      <c r="GB434" s="33"/>
      <c r="GC434" s="33"/>
      <c r="GD434" s="33"/>
      <c r="GE434" s="33"/>
      <c r="GF434" s="33"/>
      <c r="GG434" s="33"/>
      <c r="GH434" s="33"/>
      <c r="GI434" s="33"/>
      <c r="GJ434" s="33"/>
      <c r="GK434" s="33"/>
      <c r="GL434" s="33"/>
      <c r="GM434" s="33"/>
      <c r="GN434" s="33"/>
      <c r="GO434" s="33"/>
      <c r="GP434" s="33"/>
      <c r="GQ434" s="33"/>
      <c r="GR434" s="33"/>
      <c r="GS434" s="33"/>
      <c r="GT434" s="33"/>
      <c r="GU434" s="33"/>
      <c r="GV434" s="33"/>
      <c r="GW434" s="33"/>
      <c r="GX434" s="33"/>
      <c r="GY434" s="33"/>
      <c r="GZ434" s="33"/>
      <c r="HA434" s="33"/>
      <c r="HB434" s="33"/>
      <c r="HC434" s="33"/>
      <c r="HD434" s="33"/>
      <c r="HE434" s="33"/>
      <c r="HF434" s="33"/>
      <c r="HG434" s="33"/>
      <c r="HH434" s="33"/>
      <c r="HI434" s="33"/>
      <c r="HJ434" s="33"/>
      <c r="HK434" s="33"/>
      <c r="HL434" s="33"/>
      <c r="HM434" s="33"/>
      <c r="HN434" s="33"/>
      <c r="HO434" s="33"/>
      <c r="HP434" s="33"/>
      <c r="HQ434" s="33"/>
      <c r="HR434" s="33"/>
      <c r="HS434" s="33"/>
      <c r="HT434" s="33"/>
      <c r="HU434" s="33"/>
      <c r="HV434" s="33"/>
      <c r="HW434" s="33"/>
      <c r="HX434" s="33"/>
      <c r="HY434" s="33"/>
      <c r="HZ434" s="33"/>
      <c r="IA434" s="33"/>
      <c r="IB434" s="33"/>
      <c r="IC434" s="33"/>
      <c r="ID434" s="33"/>
      <c r="IE434" s="33"/>
      <c r="IF434" s="33"/>
      <c r="IG434" s="33"/>
      <c r="IH434" s="33"/>
      <c r="II434" s="33"/>
      <c r="IJ434" s="33"/>
      <c r="IK434" s="33"/>
      <c r="IL434" s="33"/>
      <c r="IM434" s="33"/>
      <c r="IN434" s="33"/>
      <c r="IO434" s="33"/>
      <c r="IP434" s="33"/>
      <c r="IQ434" s="33"/>
      <c r="IR434" s="33"/>
      <c r="IS434" s="33"/>
      <c r="IT434" s="33"/>
      <c r="IU434" s="33"/>
      <c r="IV434" s="33"/>
      <c r="IW434" s="33"/>
      <c r="IX434" s="33"/>
      <c r="IY434" s="33"/>
      <c r="IZ434" s="33"/>
      <c r="JA434" s="33"/>
      <c r="JB434" s="33"/>
      <c r="JC434" s="33"/>
      <c r="JD434" s="33"/>
      <c r="JE434" s="33"/>
      <c r="JF434" s="33"/>
      <c r="JG434" s="33"/>
      <c r="JH434" s="33"/>
      <c r="JI434" s="33"/>
      <c r="JJ434" s="33"/>
      <c r="JK434" s="33"/>
      <c r="JL434" s="33"/>
      <c r="JM434" s="33"/>
      <c r="JN434" s="33"/>
      <c r="JO434" s="33"/>
      <c r="JP434" s="33"/>
      <c r="JQ434" s="33"/>
      <c r="JR434" s="33"/>
      <c r="KZ434" s="33"/>
      <c r="LA434" s="33"/>
      <c r="LB434" s="33"/>
      <c r="LC434" s="33"/>
      <c r="LD434" s="33"/>
      <c r="LE434" s="33"/>
      <c r="LF434" s="33"/>
      <c r="LG434" s="33"/>
      <c r="LH434" s="33"/>
      <c r="LI434" s="33"/>
      <c r="LJ434" s="33"/>
      <c r="LK434" s="33"/>
      <c r="LL434" s="33"/>
      <c r="LM434" s="33"/>
      <c r="LN434" s="33"/>
      <c r="LO434" s="33"/>
      <c r="LP434" s="44"/>
      <c r="LQ434" s="44"/>
      <c r="LR434" s="44"/>
      <c r="LS434" s="44"/>
      <c r="LT434" s="44"/>
      <c r="LU434" s="44"/>
      <c r="LV434" s="44"/>
    </row>
    <row r="435" spans="1:334" x14ac:dyDescent="0.2">
      <c r="A435" s="1" t="s">
        <v>9113</v>
      </c>
      <c r="B435" s="1" t="s">
        <v>9114</v>
      </c>
      <c r="D435" s="1" t="s">
        <v>9110</v>
      </c>
      <c r="E435" s="1" t="s">
        <v>7</v>
      </c>
      <c r="F435" s="1" t="s">
        <v>8021</v>
      </c>
      <c r="J435" s="1" t="s">
        <v>9111</v>
      </c>
      <c r="K435" s="1">
        <v>2013</v>
      </c>
      <c r="L435" s="1" t="s">
        <v>9112</v>
      </c>
      <c r="M435" s="1" t="s">
        <v>7659</v>
      </c>
      <c r="N435" s="17" t="s">
        <v>7945</v>
      </c>
      <c r="O435" s="33">
        <v>1371</v>
      </c>
      <c r="P435" s="33"/>
      <c r="Q435" s="33"/>
      <c r="R435" s="33"/>
      <c r="S435" s="33">
        <v>9.5</v>
      </c>
      <c r="T435" s="33"/>
      <c r="U435" s="33"/>
      <c r="V435" s="33"/>
      <c r="W435" s="33"/>
      <c r="X435" s="33"/>
      <c r="Y435" s="33"/>
      <c r="Z435" s="33">
        <v>23.7</v>
      </c>
      <c r="AA435" s="33"/>
      <c r="AB435" s="33"/>
      <c r="AC435" s="33">
        <v>1.5</v>
      </c>
      <c r="AD435" s="33"/>
      <c r="AE435" s="33">
        <v>54.8</v>
      </c>
      <c r="AF435" s="33"/>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33"/>
      <c r="BC435" s="33"/>
      <c r="BD435" s="33"/>
      <c r="BE435" s="33">
        <v>7.2</v>
      </c>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c r="CN435" s="33"/>
      <c r="CO435" s="33">
        <v>3.3</v>
      </c>
      <c r="CP435" s="33"/>
      <c r="CQ435" s="33"/>
      <c r="CR435" s="33"/>
      <c r="CS435" s="33"/>
      <c r="CT435" s="33"/>
      <c r="CU435" s="33"/>
      <c r="CV435" s="33"/>
      <c r="CW435" s="33"/>
      <c r="CX435" s="33"/>
      <c r="CY435" s="33"/>
      <c r="CZ435" s="33"/>
      <c r="DA435" s="33"/>
      <c r="DB435" s="33"/>
      <c r="DC435" s="33"/>
      <c r="DD435" s="33"/>
      <c r="DE435" s="33"/>
      <c r="DF435" s="33"/>
      <c r="DG435" s="33"/>
      <c r="DH435" s="33"/>
      <c r="DI435" s="33"/>
      <c r="DJ435" s="33"/>
      <c r="DK435" s="33"/>
      <c r="DL435" s="33"/>
      <c r="DM435" s="33"/>
      <c r="DN435" s="33"/>
      <c r="DO435" s="33"/>
      <c r="DP435" s="33"/>
      <c r="DQ435" s="33"/>
      <c r="DR435" s="33"/>
      <c r="DS435" s="33"/>
      <c r="DT435" s="33"/>
      <c r="DU435" s="33"/>
      <c r="DV435" s="33"/>
      <c r="DW435" s="33"/>
      <c r="DX435" s="33"/>
      <c r="DY435" s="33"/>
      <c r="DZ435" s="33"/>
      <c r="EA435" s="33"/>
      <c r="EB435" s="33"/>
      <c r="EC435" s="33"/>
      <c r="ED435" s="33"/>
      <c r="EE435" s="33"/>
      <c r="EF435" s="33"/>
      <c r="EG435" s="33"/>
      <c r="EH435" s="33"/>
      <c r="EI435" s="33"/>
      <c r="EJ435" s="33"/>
      <c r="EK435" s="33"/>
      <c r="EL435" s="33"/>
      <c r="EM435" s="33"/>
      <c r="EN435" s="33"/>
      <c r="EO435" s="33"/>
      <c r="EP435" s="33"/>
      <c r="EQ435" s="33"/>
      <c r="ER435" s="33"/>
      <c r="ES435" s="33"/>
      <c r="ET435" s="33"/>
      <c r="EU435" s="33"/>
      <c r="EV435" s="33"/>
      <c r="EW435" s="33"/>
      <c r="EX435" s="33"/>
      <c r="EY435" s="33"/>
      <c r="EZ435" s="33"/>
      <c r="FA435" s="33"/>
      <c r="FB435" s="33"/>
      <c r="FC435" s="33"/>
      <c r="FD435" s="33"/>
      <c r="FE435" s="33"/>
      <c r="FF435" s="33"/>
      <c r="FG435" s="33"/>
      <c r="FH435" s="33"/>
      <c r="FI435" s="33"/>
      <c r="FJ435" s="33"/>
      <c r="FK435" s="33"/>
      <c r="FL435" s="33"/>
      <c r="FM435" s="33"/>
      <c r="FN435" s="33"/>
      <c r="FO435" s="33"/>
      <c r="FP435" s="33"/>
      <c r="FQ435" s="33"/>
      <c r="FR435" s="33"/>
      <c r="FS435" s="33"/>
      <c r="FT435" s="33"/>
      <c r="FU435" s="33"/>
      <c r="FV435" s="33"/>
      <c r="FW435" s="33"/>
      <c r="FX435" s="33"/>
      <c r="FY435" s="33"/>
      <c r="FZ435" s="33"/>
      <c r="GA435" s="33"/>
      <c r="GB435" s="33"/>
      <c r="GC435" s="33"/>
      <c r="GD435" s="33"/>
      <c r="GE435" s="33"/>
      <c r="GF435" s="33"/>
      <c r="GG435" s="33"/>
      <c r="GH435" s="33"/>
      <c r="GI435" s="33"/>
      <c r="GJ435" s="33"/>
      <c r="GK435" s="33"/>
      <c r="GL435" s="33"/>
      <c r="GM435" s="33"/>
      <c r="GN435" s="33"/>
      <c r="GO435" s="33"/>
      <c r="GP435" s="33"/>
      <c r="GQ435" s="33"/>
      <c r="GR435" s="33"/>
      <c r="GS435" s="33"/>
      <c r="GT435" s="33"/>
      <c r="GU435" s="33"/>
      <c r="GV435" s="33"/>
      <c r="GW435" s="33"/>
      <c r="GX435" s="33"/>
      <c r="GY435" s="33"/>
      <c r="GZ435" s="33"/>
      <c r="HA435" s="33"/>
      <c r="HB435" s="33"/>
      <c r="HC435" s="33"/>
      <c r="HD435" s="33"/>
      <c r="HE435" s="33"/>
      <c r="HF435" s="33"/>
      <c r="HG435" s="33"/>
      <c r="HH435" s="33"/>
      <c r="HI435" s="33"/>
      <c r="HJ435" s="33"/>
      <c r="HK435" s="33"/>
      <c r="HL435" s="33"/>
      <c r="HM435" s="33"/>
      <c r="HN435" s="33"/>
      <c r="HO435" s="33"/>
      <c r="HP435" s="33"/>
      <c r="HQ435" s="33"/>
      <c r="HR435" s="33"/>
      <c r="HS435" s="33"/>
      <c r="HT435" s="33"/>
      <c r="HU435" s="33"/>
      <c r="HV435" s="33"/>
      <c r="HW435" s="33"/>
      <c r="HX435" s="33"/>
      <c r="HY435" s="33"/>
      <c r="HZ435" s="33"/>
      <c r="IA435" s="33"/>
      <c r="IB435" s="33"/>
      <c r="IC435" s="33"/>
      <c r="ID435" s="33"/>
      <c r="IE435" s="33"/>
      <c r="IF435" s="33"/>
      <c r="IG435" s="33"/>
      <c r="IH435" s="33"/>
      <c r="II435" s="33"/>
      <c r="IJ435" s="33"/>
      <c r="IK435" s="33"/>
      <c r="IL435" s="33"/>
      <c r="IM435" s="33"/>
      <c r="IN435" s="33"/>
      <c r="IO435" s="33"/>
      <c r="IP435" s="33"/>
      <c r="IQ435" s="33"/>
      <c r="IR435" s="33"/>
      <c r="IS435" s="33"/>
      <c r="IT435" s="33"/>
      <c r="IU435" s="33"/>
      <c r="IV435" s="33"/>
      <c r="IW435" s="33"/>
      <c r="IX435" s="33"/>
      <c r="IY435" s="33"/>
      <c r="IZ435" s="33"/>
      <c r="JA435" s="33"/>
      <c r="JB435" s="33"/>
      <c r="JC435" s="33"/>
      <c r="JD435" s="33"/>
      <c r="JE435" s="33"/>
      <c r="JF435" s="33"/>
      <c r="JG435" s="33"/>
      <c r="JH435" s="33"/>
      <c r="JI435" s="33"/>
      <c r="JJ435" s="33"/>
      <c r="JK435" s="33"/>
      <c r="JL435" s="33"/>
      <c r="JM435" s="33"/>
      <c r="JN435" s="33"/>
      <c r="JO435" s="33"/>
      <c r="JP435" s="33"/>
      <c r="JQ435" s="33"/>
      <c r="JR435" s="33"/>
      <c r="KZ435" s="33"/>
      <c r="LA435" s="33"/>
      <c r="LB435" s="33"/>
      <c r="LC435" s="33"/>
      <c r="LD435" s="33"/>
      <c r="LE435" s="33"/>
      <c r="LF435" s="33"/>
      <c r="LG435" s="33"/>
      <c r="LH435" s="33"/>
      <c r="LI435" s="33"/>
      <c r="LJ435" s="33"/>
      <c r="LK435" s="33"/>
      <c r="LL435" s="33"/>
      <c r="LM435" s="33"/>
      <c r="LN435" s="33"/>
      <c r="LO435" s="33"/>
      <c r="LP435" s="44"/>
      <c r="LQ435" s="44"/>
      <c r="LR435" s="44"/>
      <c r="LS435" s="44"/>
      <c r="LT435" s="44"/>
      <c r="LU435" s="44"/>
      <c r="LV435" s="44"/>
    </row>
    <row r="436" spans="1:334" x14ac:dyDescent="0.2">
      <c r="A436" s="1" t="s">
        <v>9115</v>
      </c>
      <c r="B436" s="1" t="s">
        <v>9116</v>
      </c>
      <c r="D436" s="1" t="s">
        <v>9110</v>
      </c>
      <c r="E436" s="1" t="s">
        <v>7</v>
      </c>
      <c r="F436" s="1" t="s">
        <v>8021</v>
      </c>
      <c r="J436" s="1" t="s">
        <v>9111</v>
      </c>
      <c r="K436" s="1">
        <v>2013</v>
      </c>
      <c r="L436" s="1" t="s">
        <v>9112</v>
      </c>
      <c r="M436" s="1" t="s">
        <v>7659</v>
      </c>
      <c r="N436" s="17" t="s">
        <v>7945</v>
      </c>
      <c r="O436" s="33">
        <v>1350</v>
      </c>
      <c r="P436" s="33"/>
      <c r="Q436" s="33"/>
      <c r="R436" s="33"/>
      <c r="S436" s="33">
        <v>9.1</v>
      </c>
      <c r="T436" s="33"/>
      <c r="U436" s="33"/>
      <c r="V436" s="33"/>
      <c r="W436" s="33"/>
      <c r="X436" s="33"/>
      <c r="Y436" s="33"/>
      <c r="Z436" s="33">
        <v>23.4</v>
      </c>
      <c r="AA436" s="33"/>
      <c r="AB436" s="33"/>
      <c r="AC436" s="33">
        <v>1.2</v>
      </c>
      <c r="AD436" s="33"/>
      <c r="AE436" s="33">
        <v>54.5</v>
      </c>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33"/>
      <c r="BE436" s="33">
        <v>8.1</v>
      </c>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c r="CN436" s="33"/>
      <c r="CO436" s="33">
        <v>3.5</v>
      </c>
      <c r="CP436" s="33"/>
      <c r="CQ436" s="33"/>
      <c r="CR436" s="33"/>
      <c r="CS436" s="33"/>
      <c r="CT436" s="33"/>
      <c r="CU436" s="33"/>
      <c r="CV436" s="33"/>
      <c r="CW436" s="33"/>
      <c r="CX436" s="33"/>
      <c r="CY436" s="33"/>
      <c r="CZ436" s="33"/>
      <c r="DA436" s="33"/>
      <c r="DB436" s="33"/>
      <c r="DC436" s="33"/>
      <c r="DD436" s="33"/>
      <c r="DE436" s="33"/>
      <c r="DF436" s="33"/>
      <c r="DG436" s="33"/>
      <c r="DH436" s="33"/>
      <c r="DI436" s="33"/>
      <c r="DJ436" s="33"/>
      <c r="DK436" s="33"/>
      <c r="DL436" s="33"/>
      <c r="DM436" s="33"/>
      <c r="DN436" s="33"/>
      <c r="DO436" s="33"/>
      <c r="DP436" s="33"/>
      <c r="DQ436" s="33"/>
      <c r="DR436" s="33"/>
      <c r="DS436" s="33"/>
      <c r="DT436" s="33"/>
      <c r="DU436" s="33"/>
      <c r="DV436" s="33"/>
      <c r="DW436" s="33"/>
      <c r="DX436" s="33"/>
      <c r="DY436" s="33"/>
      <c r="DZ436" s="33"/>
      <c r="EA436" s="33"/>
      <c r="EB436" s="33"/>
      <c r="EC436" s="33"/>
      <c r="ED436" s="33"/>
      <c r="EE436" s="33"/>
      <c r="EF436" s="33"/>
      <c r="EG436" s="33"/>
      <c r="EH436" s="33"/>
      <c r="EI436" s="33"/>
      <c r="EJ436" s="33"/>
      <c r="EK436" s="33"/>
      <c r="EL436" s="33"/>
      <c r="EM436" s="33"/>
      <c r="EN436" s="33"/>
      <c r="EO436" s="33"/>
      <c r="EP436" s="33"/>
      <c r="EQ436" s="33"/>
      <c r="ER436" s="33"/>
      <c r="ES436" s="33"/>
      <c r="ET436" s="33"/>
      <c r="EU436" s="33"/>
      <c r="EV436" s="33"/>
      <c r="EW436" s="33"/>
      <c r="EX436" s="33"/>
      <c r="EY436" s="33"/>
      <c r="EZ436" s="33"/>
      <c r="FA436" s="33"/>
      <c r="FB436" s="33"/>
      <c r="FC436" s="33"/>
      <c r="FD436" s="33"/>
      <c r="FE436" s="33"/>
      <c r="FF436" s="33"/>
      <c r="FG436" s="33"/>
      <c r="FH436" s="33"/>
      <c r="FI436" s="33"/>
      <c r="FJ436" s="33"/>
      <c r="FK436" s="33"/>
      <c r="FL436" s="33"/>
      <c r="FM436" s="33"/>
      <c r="FN436" s="33"/>
      <c r="FO436" s="33"/>
      <c r="FP436" s="33"/>
      <c r="FQ436" s="33"/>
      <c r="FR436" s="33"/>
      <c r="FS436" s="33"/>
      <c r="FT436" s="33"/>
      <c r="FU436" s="33"/>
      <c r="FV436" s="33"/>
      <c r="FW436" s="33"/>
      <c r="FX436" s="33"/>
      <c r="FY436" s="33"/>
      <c r="FZ436" s="33"/>
      <c r="GA436" s="33"/>
      <c r="GB436" s="33"/>
      <c r="GC436" s="33"/>
      <c r="GD436" s="33"/>
      <c r="GE436" s="33"/>
      <c r="GF436" s="33"/>
      <c r="GG436" s="33"/>
      <c r="GH436" s="33"/>
      <c r="GI436" s="33"/>
      <c r="GJ436" s="33"/>
      <c r="GK436" s="33"/>
      <c r="GL436" s="33"/>
      <c r="GM436" s="33"/>
      <c r="GN436" s="33"/>
      <c r="GO436" s="33"/>
      <c r="GP436" s="33"/>
      <c r="GQ436" s="33"/>
      <c r="GR436" s="33"/>
      <c r="GS436" s="33"/>
      <c r="GT436" s="33"/>
      <c r="GU436" s="33"/>
      <c r="GV436" s="33"/>
      <c r="GW436" s="33"/>
      <c r="GX436" s="33"/>
      <c r="GY436" s="33"/>
      <c r="GZ436" s="33"/>
      <c r="HA436" s="33"/>
      <c r="HB436" s="33"/>
      <c r="HC436" s="33"/>
      <c r="HD436" s="33"/>
      <c r="HE436" s="33"/>
      <c r="HF436" s="33"/>
      <c r="HG436" s="33"/>
      <c r="HH436" s="33"/>
      <c r="HI436" s="33"/>
      <c r="HJ436" s="33"/>
      <c r="HK436" s="33"/>
      <c r="HL436" s="33"/>
      <c r="HM436" s="33"/>
      <c r="HN436" s="33"/>
      <c r="HO436" s="33"/>
      <c r="HP436" s="33"/>
      <c r="HQ436" s="33"/>
      <c r="HR436" s="33"/>
      <c r="HS436" s="33"/>
      <c r="HT436" s="33"/>
      <c r="HU436" s="33"/>
      <c r="HV436" s="33"/>
      <c r="HW436" s="33"/>
      <c r="HX436" s="33"/>
      <c r="HY436" s="33"/>
      <c r="HZ436" s="33"/>
      <c r="IA436" s="33"/>
      <c r="IB436" s="33"/>
      <c r="IC436" s="33"/>
      <c r="ID436" s="33"/>
      <c r="IE436" s="33"/>
      <c r="IF436" s="33"/>
      <c r="IG436" s="33"/>
      <c r="IH436" s="33"/>
      <c r="II436" s="33"/>
      <c r="IJ436" s="33"/>
      <c r="IK436" s="33"/>
      <c r="IL436" s="33"/>
      <c r="IM436" s="33"/>
      <c r="IN436" s="33"/>
      <c r="IO436" s="33"/>
      <c r="IP436" s="33"/>
      <c r="IQ436" s="33"/>
      <c r="IR436" s="33"/>
      <c r="IS436" s="33"/>
      <c r="IT436" s="33"/>
      <c r="IU436" s="33"/>
      <c r="IV436" s="33"/>
      <c r="IW436" s="33"/>
      <c r="IX436" s="33"/>
      <c r="IY436" s="33"/>
      <c r="IZ436" s="33"/>
      <c r="JA436" s="33"/>
      <c r="JB436" s="33"/>
      <c r="JC436" s="33"/>
      <c r="JD436" s="33"/>
      <c r="JE436" s="33"/>
      <c r="JF436" s="33"/>
      <c r="JG436" s="33"/>
      <c r="JH436" s="33"/>
      <c r="JI436" s="33"/>
      <c r="JJ436" s="33"/>
      <c r="JK436" s="33"/>
      <c r="JL436" s="33"/>
      <c r="JM436" s="33"/>
      <c r="JN436" s="33"/>
      <c r="JO436" s="33"/>
      <c r="JP436" s="33"/>
      <c r="JQ436" s="33"/>
      <c r="JR436" s="33"/>
      <c r="KZ436" s="33"/>
      <c r="LA436" s="33"/>
      <c r="LB436" s="33"/>
      <c r="LC436" s="33"/>
      <c r="LD436" s="33"/>
      <c r="LE436" s="33"/>
      <c r="LF436" s="33"/>
      <c r="LG436" s="33"/>
      <c r="LH436" s="33"/>
      <c r="LI436" s="33"/>
      <c r="LJ436" s="33"/>
      <c r="LK436" s="33"/>
      <c r="LL436" s="33"/>
      <c r="LM436" s="33"/>
      <c r="LN436" s="33"/>
      <c r="LO436" s="33"/>
      <c r="LP436" s="44"/>
      <c r="LQ436" s="44"/>
      <c r="LR436" s="44"/>
      <c r="LS436" s="44"/>
      <c r="LT436" s="44"/>
      <c r="LU436" s="44"/>
      <c r="LV436" s="44"/>
    </row>
    <row r="437" spans="1:334" x14ac:dyDescent="0.2">
      <c r="A437" s="1" t="s">
        <v>9117</v>
      </c>
      <c r="B437" s="1" t="s">
        <v>9109</v>
      </c>
      <c r="D437" s="1" t="s">
        <v>9118</v>
      </c>
      <c r="E437" s="1" t="s">
        <v>7</v>
      </c>
      <c r="F437" s="1" t="s">
        <v>6268</v>
      </c>
      <c r="J437" s="1" t="s">
        <v>9111</v>
      </c>
      <c r="K437" s="1">
        <v>2013</v>
      </c>
      <c r="L437" s="1" t="s">
        <v>9112</v>
      </c>
      <c r="M437" s="1" t="s">
        <v>7659</v>
      </c>
      <c r="N437" s="17" t="s">
        <v>7945</v>
      </c>
      <c r="O437" s="33">
        <v>1432</v>
      </c>
      <c r="P437" s="33"/>
      <c r="Q437" s="33"/>
      <c r="R437" s="33"/>
      <c r="S437" s="33">
        <v>8.6</v>
      </c>
      <c r="T437" s="33"/>
      <c r="U437" s="33"/>
      <c r="V437" s="33"/>
      <c r="W437" s="33"/>
      <c r="X437" s="33"/>
      <c r="Y437" s="33"/>
      <c r="Z437" s="33">
        <v>23.4</v>
      </c>
      <c r="AA437" s="33"/>
      <c r="AB437" s="33"/>
      <c r="AC437" s="33">
        <v>1.8</v>
      </c>
      <c r="AD437" s="33"/>
      <c r="AE437" s="33">
        <v>58.1</v>
      </c>
      <c r="AF437" s="33"/>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33"/>
      <c r="BC437" s="33"/>
      <c r="BD437" s="33"/>
      <c r="BE437" s="33">
        <v>4.8</v>
      </c>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c r="CN437" s="33"/>
      <c r="CO437" s="33">
        <v>3.3</v>
      </c>
      <c r="CP437" s="33"/>
      <c r="CQ437" s="33"/>
      <c r="CR437" s="33"/>
      <c r="CS437" s="33"/>
      <c r="CT437" s="33"/>
      <c r="CU437" s="33"/>
      <c r="CV437" s="33"/>
      <c r="CW437" s="33"/>
      <c r="CX437" s="33"/>
      <c r="CY437" s="33"/>
      <c r="CZ437" s="33"/>
      <c r="DA437" s="33"/>
      <c r="DB437" s="33"/>
      <c r="DC437" s="33"/>
      <c r="DD437" s="33"/>
      <c r="DE437" s="33"/>
      <c r="DF437" s="33"/>
      <c r="DG437" s="33"/>
      <c r="DH437" s="33"/>
      <c r="DI437" s="33"/>
      <c r="DJ437" s="33"/>
      <c r="DK437" s="33"/>
      <c r="DL437" s="33"/>
      <c r="DM437" s="33"/>
      <c r="DN437" s="33"/>
      <c r="DO437" s="33"/>
      <c r="DP437" s="33"/>
      <c r="DQ437" s="33"/>
      <c r="DR437" s="33"/>
      <c r="DS437" s="33"/>
      <c r="DT437" s="33"/>
      <c r="DU437" s="33"/>
      <c r="DV437" s="33"/>
      <c r="DW437" s="33"/>
      <c r="DX437" s="33"/>
      <c r="DY437" s="33"/>
      <c r="DZ437" s="33"/>
      <c r="EA437" s="33"/>
      <c r="EB437" s="33"/>
      <c r="EC437" s="33"/>
      <c r="ED437" s="33"/>
      <c r="EE437" s="33"/>
      <c r="EF437" s="33"/>
      <c r="EG437" s="33"/>
      <c r="EH437" s="33"/>
      <c r="EI437" s="33"/>
      <c r="EJ437" s="33"/>
      <c r="EK437" s="33"/>
      <c r="EL437" s="33"/>
      <c r="EM437" s="33"/>
      <c r="EN437" s="33"/>
      <c r="EO437" s="33"/>
      <c r="EP437" s="33"/>
      <c r="EQ437" s="33"/>
      <c r="ER437" s="33"/>
      <c r="ES437" s="33"/>
      <c r="ET437" s="33"/>
      <c r="EU437" s="33"/>
      <c r="EV437" s="33"/>
      <c r="EW437" s="33"/>
      <c r="EX437" s="33"/>
      <c r="EY437" s="33"/>
      <c r="EZ437" s="33"/>
      <c r="FA437" s="33"/>
      <c r="FB437" s="33"/>
      <c r="FC437" s="33"/>
      <c r="FD437" s="33"/>
      <c r="FE437" s="33"/>
      <c r="FF437" s="33"/>
      <c r="FG437" s="33"/>
      <c r="FH437" s="33"/>
      <c r="FI437" s="33"/>
      <c r="FJ437" s="33"/>
      <c r="FK437" s="33"/>
      <c r="FL437" s="33"/>
      <c r="FM437" s="33"/>
      <c r="FN437" s="33"/>
      <c r="FO437" s="33"/>
      <c r="FP437" s="33"/>
      <c r="FQ437" s="33"/>
      <c r="FR437" s="33"/>
      <c r="FS437" s="33"/>
      <c r="FT437" s="33"/>
      <c r="FU437" s="33"/>
      <c r="FV437" s="33"/>
      <c r="FW437" s="33"/>
      <c r="FX437" s="33"/>
      <c r="FY437" s="33"/>
      <c r="FZ437" s="33"/>
      <c r="GA437" s="33"/>
      <c r="GB437" s="33"/>
      <c r="GC437" s="33"/>
      <c r="GD437" s="33"/>
      <c r="GE437" s="33"/>
      <c r="GF437" s="33"/>
      <c r="GG437" s="33"/>
      <c r="GH437" s="33"/>
      <c r="GI437" s="33"/>
      <c r="GJ437" s="33"/>
      <c r="GK437" s="33"/>
      <c r="GL437" s="33"/>
      <c r="GM437" s="33"/>
      <c r="GN437" s="33"/>
      <c r="GO437" s="33"/>
      <c r="GP437" s="33"/>
      <c r="GQ437" s="33"/>
      <c r="GR437" s="33"/>
      <c r="GS437" s="33"/>
      <c r="GT437" s="33"/>
      <c r="GU437" s="33"/>
      <c r="GV437" s="33"/>
      <c r="GW437" s="33"/>
      <c r="GX437" s="33"/>
      <c r="GY437" s="33"/>
      <c r="GZ437" s="33"/>
      <c r="HA437" s="33"/>
      <c r="HB437" s="33"/>
      <c r="HC437" s="33"/>
      <c r="HD437" s="33"/>
      <c r="HE437" s="33"/>
      <c r="HF437" s="33"/>
      <c r="HG437" s="33"/>
      <c r="HH437" s="33"/>
      <c r="HI437" s="33"/>
      <c r="HJ437" s="33"/>
      <c r="HK437" s="33"/>
      <c r="HL437" s="33"/>
      <c r="HM437" s="33"/>
      <c r="HN437" s="33"/>
      <c r="HO437" s="33"/>
      <c r="HP437" s="33"/>
      <c r="HQ437" s="33"/>
      <c r="HR437" s="33"/>
      <c r="HS437" s="33"/>
      <c r="HT437" s="33"/>
      <c r="HU437" s="33"/>
      <c r="HV437" s="33"/>
      <c r="HW437" s="33"/>
      <c r="HX437" s="33"/>
      <c r="HY437" s="33"/>
      <c r="HZ437" s="33"/>
      <c r="IA437" s="33"/>
      <c r="IB437" s="33"/>
      <c r="IC437" s="33"/>
      <c r="ID437" s="33"/>
      <c r="IE437" s="33"/>
      <c r="IF437" s="33"/>
      <c r="IG437" s="33"/>
      <c r="IH437" s="33"/>
      <c r="II437" s="33"/>
      <c r="IJ437" s="33"/>
      <c r="IK437" s="33"/>
      <c r="IL437" s="33"/>
      <c r="IM437" s="33"/>
      <c r="IN437" s="33"/>
      <c r="IO437" s="33"/>
      <c r="IP437" s="33"/>
      <c r="IQ437" s="33"/>
      <c r="IR437" s="33"/>
      <c r="IS437" s="33"/>
      <c r="IT437" s="33"/>
      <c r="IU437" s="33"/>
      <c r="IV437" s="33"/>
      <c r="IW437" s="33"/>
      <c r="IX437" s="33"/>
      <c r="IY437" s="33"/>
      <c r="IZ437" s="33"/>
      <c r="JA437" s="33"/>
      <c r="JB437" s="33"/>
      <c r="JC437" s="33"/>
      <c r="JD437" s="33"/>
      <c r="JE437" s="33"/>
      <c r="JF437" s="33"/>
      <c r="JG437" s="33"/>
      <c r="JH437" s="33"/>
      <c r="JI437" s="33"/>
      <c r="JJ437" s="33"/>
      <c r="JK437" s="33"/>
      <c r="JL437" s="33"/>
      <c r="JM437" s="33"/>
      <c r="JN437" s="33"/>
      <c r="JO437" s="33"/>
      <c r="JP437" s="33"/>
      <c r="JQ437" s="33"/>
      <c r="JR437" s="33"/>
      <c r="KZ437" s="33"/>
      <c r="LA437" s="33"/>
      <c r="LB437" s="33"/>
      <c r="LC437" s="33"/>
      <c r="LD437" s="33"/>
      <c r="LE437" s="33"/>
      <c r="LF437" s="33"/>
      <c r="LG437" s="33"/>
      <c r="LH437" s="33"/>
      <c r="LI437" s="33"/>
      <c r="LJ437" s="33"/>
      <c r="LK437" s="33"/>
      <c r="LL437" s="33"/>
      <c r="LM437" s="33"/>
      <c r="LN437" s="33"/>
      <c r="LO437" s="33"/>
      <c r="LP437" s="44"/>
      <c r="LQ437" s="44"/>
      <c r="LR437" s="44"/>
      <c r="LS437" s="44"/>
      <c r="LT437" s="44"/>
      <c r="LU437" s="44"/>
      <c r="LV437" s="44"/>
    </row>
    <row r="438" spans="1:334" x14ac:dyDescent="0.2">
      <c r="A438" s="1" t="s">
        <v>9119</v>
      </c>
      <c r="B438" s="1" t="s">
        <v>9114</v>
      </c>
      <c r="D438" s="1" t="s">
        <v>9118</v>
      </c>
      <c r="E438" s="1" t="s">
        <v>7</v>
      </c>
      <c r="F438" s="1" t="s">
        <v>6268</v>
      </c>
      <c r="J438" s="1" t="s">
        <v>9111</v>
      </c>
      <c r="K438" s="1">
        <v>2013</v>
      </c>
      <c r="L438" s="1" t="s">
        <v>9112</v>
      </c>
      <c r="M438" s="1" t="s">
        <v>7659</v>
      </c>
      <c r="N438" s="17" t="s">
        <v>7945</v>
      </c>
      <c r="O438" s="33">
        <v>1441</v>
      </c>
      <c r="P438" s="33"/>
      <c r="Q438" s="33"/>
      <c r="R438" s="33"/>
      <c r="S438" s="33">
        <v>8.6999999999999993</v>
      </c>
      <c r="T438" s="33"/>
      <c r="U438" s="33"/>
      <c r="V438" s="33"/>
      <c r="W438" s="33"/>
      <c r="X438" s="33"/>
      <c r="Y438" s="33"/>
      <c r="Z438" s="33">
        <v>23.6</v>
      </c>
      <c r="AA438" s="33"/>
      <c r="AB438" s="33"/>
      <c r="AC438" s="33">
        <v>1.7</v>
      </c>
      <c r="AD438" s="33"/>
      <c r="AE438" s="33">
        <v>58.6</v>
      </c>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33"/>
      <c r="BE438" s="33">
        <v>4.3</v>
      </c>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c r="CN438" s="33"/>
      <c r="CO438" s="33">
        <v>3.1</v>
      </c>
      <c r="CP438" s="33"/>
      <c r="CQ438" s="33"/>
      <c r="CR438" s="33"/>
      <c r="CS438" s="33"/>
      <c r="CT438" s="33"/>
      <c r="CU438" s="33"/>
      <c r="CV438" s="33"/>
      <c r="CW438" s="33"/>
      <c r="CX438" s="33"/>
      <c r="CY438" s="33"/>
      <c r="CZ438" s="33"/>
      <c r="DA438" s="33"/>
      <c r="DB438" s="33"/>
      <c r="DC438" s="33"/>
      <c r="DD438" s="33"/>
      <c r="DE438" s="33"/>
      <c r="DF438" s="33"/>
      <c r="DG438" s="33"/>
      <c r="DH438" s="33"/>
      <c r="DI438" s="33"/>
      <c r="DJ438" s="33"/>
      <c r="DK438" s="33"/>
      <c r="DL438" s="33"/>
      <c r="DM438" s="33"/>
      <c r="DN438" s="33"/>
      <c r="DO438" s="33"/>
      <c r="DP438" s="33"/>
      <c r="DQ438" s="33"/>
      <c r="DR438" s="33"/>
      <c r="DS438" s="33"/>
      <c r="DT438" s="33"/>
      <c r="DU438" s="33"/>
      <c r="DV438" s="33"/>
      <c r="DW438" s="33"/>
      <c r="DX438" s="33"/>
      <c r="DY438" s="33"/>
      <c r="DZ438" s="33"/>
      <c r="EA438" s="33"/>
      <c r="EB438" s="33"/>
      <c r="EC438" s="33"/>
      <c r="ED438" s="33"/>
      <c r="EE438" s="33"/>
      <c r="EF438" s="33"/>
      <c r="EG438" s="33"/>
      <c r="EH438" s="33"/>
      <c r="EI438" s="33"/>
      <c r="EJ438" s="33"/>
      <c r="EK438" s="33"/>
      <c r="EL438" s="33"/>
      <c r="EM438" s="33"/>
      <c r="EN438" s="33"/>
      <c r="EO438" s="33"/>
      <c r="EP438" s="33"/>
      <c r="EQ438" s="33"/>
      <c r="ER438" s="33"/>
      <c r="ES438" s="33"/>
      <c r="ET438" s="33"/>
      <c r="EU438" s="33"/>
      <c r="EV438" s="33"/>
      <c r="EW438" s="33"/>
      <c r="EX438" s="33"/>
      <c r="EY438" s="33"/>
      <c r="EZ438" s="33"/>
      <c r="FA438" s="33"/>
      <c r="FB438" s="33"/>
      <c r="FC438" s="33"/>
      <c r="FD438" s="33"/>
      <c r="FE438" s="33"/>
      <c r="FF438" s="33"/>
      <c r="FG438" s="33"/>
      <c r="FH438" s="33"/>
      <c r="FI438" s="33"/>
      <c r="FJ438" s="33"/>
      <c r="FK438" s="33"/>
      <c r="FL438" s="33"/>
      <c r="FM438" s="33"/>
      <c r="FN438" s="33"/>
      <c r="FO438" s="33"/>
      <c r="FP438" s="33"/>
      <c r="FQ438" s="33"/>
      <c r="FR438" s="33"/>
      <c r="FS438" s="33"/>
      <c r="FT438" s="33"/>
      <c r="FU438" s="33"/>
      <c r="FV438" s="33"/>
      <c r="FW438" s="33"/>
      <c r="FX438" s="33"/>
      <c r="FY438" s="33"/>
      <c r="FZ438" s="33"/>
      <c r="GA438" s="33"/>
      <c r="GB438" s="33"/>
      <c r="GC438" s="33"/>
      <c r="GD438" s="33"/>
      <c r="GE438" s="33"/>
      <c r="GF438" s="33"/>
      <c r="GG438" s="33"/>
      <c r="GH438" s="33"/>
      <c r="GI438" s="33"/>
      <c r="GJ438" s="33"/>
      <c r="GK438" s="33"/>
      <c r="GL438" s="33"/>
      <c r="GM438" s="33"/>
      <c r="GN438" s="33"/>
      <c r="GO438" s="33"/>
      <c r="GP438" s="33"/>
      <c r="GQ438" s="33"/>
      <c r="GR438" s="33"/>
      <c r="GS438" s="33"/>
      <c r="GT438" s="33"/>
      <c r="GU438" s="33"/>
      <c r="GV438" s="33"/>
      <c r="GW438" s="33"/>
      <c r="GX438" s="33"/>
      <c r="GY438" s="33"/>
      <c r="GZ438" s="33"/>
      <c r="HA438" s="33"/>
      <c r="HB438" s="33"/>
      <c r="HC438" s="33"/>
      <c r="HD438" s="33"/>
      <c r="HE438" s="33"/>
      <c r="HF438" s="33"/>
      <c r="HG438" s="33"/>
      <c r="HH438" s="33"/>
      <c r="HI438" s="33"/>
      <c r="HJ438" s="33"/>
      <c r="HK438" s="33"/>
      <c r="HL438" s="33"/>
      <c r="HM438" s="33"/>
      <c r="HN438" s="33"/>
      <c r="HO438" s="33"/>
      <c r="HP438" s="33"/>
      <c r="HQ438" s="33"/>
      <c r="HR438" s="33"/>
      <c r="HS438" s="33"/>
      <c r="HT438" s="33"/>
      <c r="HU438" s="33"/>
      <c r="HV438" s="33"/>
      <c r="HW438" s="33"/>
      <c r="HX438" s="33"/>
      <c r="HY438" s="33"/>
      <c r="HZ438" s="33"/>
      <c r="IA438" s="33"/>
      <c r="IB438" s="33"/>
      <c r="IC438" s="33"/>
      <c r="ID438" s="33"/>
      <c r="IE438" s="33"/>
      <c r="IF438" s="33"/>
      <c r="IG438" s="33"/>
      <c r="IH438" s="33"/>
      <c r="II438" s="33"/>
      <c r="IJ438" s="33"/>
      <c r="IK438" s="33"/>
      <c r="IL438" s="33"/>
      <c r="IM438" s="33"/>
      <c r="IN438" s="33"/>
      <c r="IO438" s="33"/>
      <c r="IP438" s="33"/>
      <c r="IQ438" s="33"/>
      <c r="IR438" s="33"/>
      <c r="IS438" s="33"/>
      <c r="IT438" s="33"/>
      <c r="IU438" s="33"/>
      <c r="IV438" s="33"/>
      <c r="IW438" s="33"/>
      <c r="IX438" s="33"/>
      <c r="IY438" s="33"/>
      <c r="IZ438" s="33"/>
      <c r="JA438" s="33"/>
      <c r="JB438" s="33"/>
      <c r="JC438" s="33"/>
      <c r="JD438" s="33"/>
      <c r="JE438" s="33"/>
      <c r="JF438" s="33"/>
      <c r="JG438" s="33"/>
      <c r="JH438" s="33"/>
      <c r="JI438" s="33"/>
      <c r="JJ438" s="33"/>
      <c r="JK438" s="33"/>
      <c r="JL438" s="33"/>
      <c r="JM438" s="33"/>
      <c r="JN438" s="33"/>
      <c r="JO438" s="33"/>
      <c r="JP438" s="33"/>
      <c r="JQ438" s="33"/>
      <c r="JR438" s="33"/>
      <c r="KZ438" s="33"/>
      <c r="LA438" s="33"/>
      <c r="LB438" s="33"/>
      <c r="LC438" s="33"/>
      <c r="LD438" s="33"/>
      <c r="LE438" s="33"/>
      <c r="LF438" s="33"/>
      <c r="LG438" s="33"/>
      <c r="LH438" s="33"/>
      <c r="LI438" s="33"/>
      <c r="LJ438" s="33"/>
      <c r="LK438" s="33"/>
      <c r="LL438" s="33"/>
      <c r="LM438" s="33"/>
      <c r="LN438" s="33"/>
      <c r="LO438" s="33"/>
      <c r="LP438" s="44"/>
      <c r="LQ438" s="44"/>
      <c r="LR438" s="44"/>
      <c r="LS438" s="44"/>
      <c r="LT438" s="44"/>
      <c r="LU438" s="44"/>
      <c r="LV438" s="44"/>
    </row>
    <row r="439" spans="1:334" x14ac:dyDescent="0.2">
      <c r="A439" s="1" t="s">
        <v>9120</v>
      </c>
      <c r="B439" s="1" t="s">
        <v>9116</v>
      </c>
      <c r="D439" s="1" t="s">
        <v>9118</v>
      </c>
      <c r="E439" s="1" t="s">
        <v>7</v>
      </c>
      <c r="F439" s="1" t="s">
        <v>6268</v>
      </c>
      <c r="J439" s="1" t="s">
        <v>9111</v>
      </c>
      <c r="K439" s="1">
        <v>2013</v>
      </c>
      <c r="L439" s="1" t="s">
        <v>9112</v>
      </c>
      <c r="M439" s="1" t="s">
        <v>7659</v>
      </c>
      <c r="N439" s="17" t="s">
        <v>7945</v>
      </c>
      <c r="O439" s="33">
        <v>1440</v>
      </c>
      <c r="P439" s="33"/>
      <c r="Q439" s="33"/>
      <c r="R439" s="33"/>
      <c r="S439" s="33">
        <v>8.6</v>
      </c>
      <c r="T439" s="33"/>
      <c r="U439" s="33"/>
      <c r="V439" s="33"/>
      <c r="W439" s="33"/>
      <c r="X439" s="33"/>
      <c r="Y439" s="33"/>
      <c r="Z439" s="33">
        <v>23.8</v>
      </c>
      <c r="AA439" s="33"/>
      <c r="AB439" s="33"/>
      <c r="AC439" s="33">
        <v>1.8</v>
      </c>
      <c r="AD439" s="33"/>
      <c r="AE439" s="33">
        <v>58.1</v>
      </c>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33"/>
      <c r="BE439" s="33">
        <v>4.5</v>
      </c>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c r="CN439" s="33"/>
      <c r="CO439" s="33">
        <v>3.2</v>
      </c>
      <c r="CP439" s="33"/>
      <c r="CQ439" s="33"/>
      <c r="CR439" s="33"/>
      <c r="CS439" s="33"/>
      <c r="CT439" s="33"/>
      <c r="CU439" s="33"/>
      <c r="CV439" s="33"/>
      <c r="CW439" s="33"/>
      <c r="CX439" s="33"/>
      <c r="CY439" s="33"/>
      <c r="CZ439" s="33"/>
      <c r="DA439" s="33"/>
      <c r="DB439" s="33"/>
      <c r="DC439" s="33"/>
      <c r="DD439" s="33"/>
      <c r="DE439" s="33"/>
      <c r="DF439" s="33"/>
      <c r="DG439" s="33"/>
      <c r="DH439" s="33"/>
      <c r="DI439" s="33"/>
      <c r="DJ439" s="33"/>
      <c r="DK439" s="33"/>
      <c r="DL439" s="33"/>
      <c r="DM439" s="33"/>
      <c r="DN439" s="33"/>
      <c r="DO439" s="33"/>
      <c r="DP439" s="33"/>
      <c r="DQ439" s="33"/>
      <c r="DR439" s="33"/>
      <c r="DS439" s="33"/>
      <c r="DT439" s="33"/>
      <c r="DU439" s="33"/>
      <c r="DV439" s="33"/>
      <c r="DW439" s="33"/>
      <c r="DX439" s="33"/>
      <c r="DY439" s="33"/>
      <c r="DZ439" s="33"/>
      <c r="EA439" s="33"/>
      <c r="EB439" s="33"/>
      <c r="EC439" s="33"/>
      <c r="ED439" s="33"/>
      <c r="EE439" s="33"/>
      <c r="EF439" s="33"/>
      <c r="EG439" s="33"/>
      <c r="EH439" s="33"/>
      <c r="EI439" s="33"/>
      <c r="EJ439" s="33"/>
      <c r="EK439" s="33"/>
      <c r="EL439" s="33"/>
      <c r="EM439" s="33"/>
      <c r="EN439" s="33"/>
      <c r="EO439" s="33"/>
      <c r="EP439" s="33"/>
      <c r="EQ439" s="33"/>
      <c r="ER439" s="33"/>
      <c r="ES439" s="33"/>
      <c r="ET439" s="33"/>
      <c r="EU439" s="33"/>
      <c r="EV439" s="33"/>
      <c r="EW439" s="33"/>
      <c r="EX439" s="33"/>
      <c r="EY439" s="33"/>
      <c r="EZ439" s="33"/>
      <c r="FA439" s="33"/>
      <c r="FB439" s="33"/>
      <c r="FC439" s="33"/>
      <c r="FD439" s="33"/>
      <c r="FE439" s="33"/>
      <c r="FF439" s="33"/>
      <c r="FG439" s="33"/>
      <c r="FH439" s="33"/>
      <c r="FI439" s="33"/>
      <c r="FJ439" s="33"/>
      <c r="FK439" s="33"/>
      <c r="FL439" s="33"/>
      <c r="FM439" s="33"/>
      <c r="FN439" s="33"/>
      <c r="FO439" s="33"/>
      <c r="FP439" s="33"/>
      <c r="FQ439" s="33"/>
      <c r="FR439" s="33"/>
      <c r="FS439" s="33"/>
      <c r="FT439" s="33"/>
      <c r="FU439" s="33"/>
      <c r="FV439" s="33"/>
      <c r="FW439" s="33"/>
      <c r="FX439" s="33"/>
      <c r="FY439" s="33"/>
      <c r="FZ439" s="33"/>
      <c r="GA439" s="33"/>
      <c r="GB439" s="33"/>
      <c r="GC439" s="33"/>
      <c r="GD439" s="33"/>
      <c r="GE439" s="33"/>
      <c r="GF439" s="33"/>
      <c r="GG439" s="33"/>
      <c r="GH439" s="33"/>
      <c r="GI439" s="33"/>
      <c r="GJ439" s="33"/>
      <c r="GK439" s="33"/>
      <c r="GL439" s="33"/>
      <c r="GM439" s="33"/>
      <c r="GN439" s="33"/>
      <c r="GO439" s="33"/>
      <c r="GP439" s="33"/>
      <c r="GQ439" s="33"/>
      <c r="GR439" s="33"/>
      <c r="GS439" s="33"/>
      <c r="GT439" s="33"/>
      <c r="GU439" s="33"/>
      <c r="GV439" s="33"/>
      <c r="GW439" s="33"/>
      <c r="GX439" s="33"/>
      <c r="GY439" s="33"/>
      <c r="GZ439" s="33"/>
      <c r="HA439" s="33"/>
      <c r="HB439" s="33"/>
      <c r="HC439" s="33"/>
      <c r="HD439" s="33"/>
      <c r="HE439" s="33"/>
      <c r="HF439" s="33"/>
      <c r="HG439" s="33"/>
      <c r="HH439" s="33"/>
      <c r="HI439" s="33"/>
      <c r="HJ439" s="33"/>
      <c r="HK439" s="33"/>
      <c r="HL439" s="33"/>
      <c r="HM439" s="33"/>
      <c r="HN439" s="33"/>
      <c r="HO439" s="33"/>
      <c r="HP439" s="33"/>
      <c r="HQ439" s="33"/>
      <c r="HR439" s="33"/>
      <c r="HS439" s="33"/>
      <c r="HT439" s="33"/>
      <c r="HU439" s="33"/>
      <c r="HV439" s="33"/>
      <c r="HW439" s="33"/>
      <c r="HX439" s="33"/>
      <c r="HY439" s="33"/>
      <c r="HZ439" s="33"/>
      <c r="IA439" s="33"/>
      <c r="IB439" s="33"/>
      <c r="IC439" s="33"/>
      <c r="ID439" s="33"/>
      <c r="IE439" s="33"/>
      <c r="IF439" s="33"/>
      <c r="IG439" s="33"/>
      <c r="IH439" s="33"/>
      <c r="II439" s="33"/>
      <c r="IJ439" s="33"/>
      <c r="IK439" s="33"/>
      <c r="IL439" s="33"/>
      <c r="IM439" s="33"/>
      <c r="IN439" s="33"/>
      <c r="IO439" s="33"/>
      <c r="IP439" s="33"/>
      <c r="IQ439" s="33"/>
      <c r="IR439" s="33"/>
      <c r="IS439" s="33"/>
      <c r="IT439" s="33"/>
      <c r="IU439" s="33"/>
      <c r="IV439" s="33"/>
      <c r="IW439" s="33"/>
      <c r="IX439" s="33"/>
      <c r="IY439" s="33"/>
      <c r="IZ439" s="33"/>
      <c r="JA439" s="33"/>
      <c r="JB439" s="33"/>
      <c r="JC439" s="33"/>
      <c r="JD439" s="33"/>
      <c r="JE439" s="33"/>
      <c r="JF439" s="33"/>
      <c r="JG439" s="33"/>
      <c r="JH439" s="33"/>
      <c r="JI439" s="33"/>
      <c r="JJ439" s="33"/>
      <c r="JK439" s="33"/>
      <c r="JL439" s="33"/>
      <c r="JM439" s="33"/>
      <c r="JN439" s="33"/>
      <c r="JO439" s="33"/>
      <c r="JP439" s="33"/>
      <c r="JQ439" s="33"/>
      <c r="JR439" s="33"/>
      <c r="KZ439" s="33"/>
      <c r="LA439" s="33"/>
      <c r="LB439" s="33"/>
      <c r="LC439" s="33"/>
      <c r="LD439" s="33"/>
      <c r="LE439" s="33"/>
      <c r="LF439" s="33"/>
      <c r="LG439" s="33"/>
      <c r="LH439" s="33"/>
      <c r="LI439" s="33"/>
      <c r="LJ439" s="33"/>
      <c r="LK439" s="33"/>
      <c r="LL439" s="33"/>
      <c r="LM439" s="33"/>
      <c r="LN439" s="33"/>
      <c r="LO439" s="33"/>
      <c r="LP439" s="44"/>
      <c r="LQ439" s="44"/>
      <c r="LR439" s="44"/>
      <c r="LS439" s="44"/>
      <c r="LT439" s="44"/>
      <c r="LU439" s="44"/>
      <c r="LV439" s="44"/>
    </row>
    <row r="440" spans="1:334" x14ac:dyDescent="0.2">
      <c r="A440" s="1" t="s">
        <v>9121</v>
      </c>
      <c r="B440" s="1" t="s">
        <v>9109</v>
      </c>
      <c r="D440" s="1" t="s">
        <v>9122</v>
      </c>
      <c r="E440" s="1" t="s">
        <v>7</v>
      </c>
      <c r="F440" s="1" t="s">
        <v>688</v>
      </c>
      <c r="J440" s="1" t="s">
        <v>9111</v>
      </c>
      <c r="K440" s="1">
        <v>2013</v>
      </c>
      <c r="L440" s="1" t="s">
        <v>9112</v>
      </c>
      <c r="M440" s="1" t="s">
        <v>7659</v>
      </c>
      <c r="N440" s="17" t="s">
        <v>7945</v>
      </c>
      <c r="O440" s="33">
        <v>1403</v>
      </c>
      <c r="P440" s="33"/>
      <c r="Q440" s="33"/>
      <c r="R440" s="33"/>
      <c r="S440" s="33">
        <v>9.3000000000000007</v>
      </c>
      <c r="T440" s="33"/>
      <c r="U440" s="33"/>
      <c r="V440" s="33"/>
      <c r="W440" s="33"/>
      <c r="X440" s="33"/>
      <c r="Y440" s="33"/>
      <c r="Z440" s="33">
        <v>20.2</v>
      </c>
      <c r="AA440" s="33"/>
      <c r="AB440" s="33"/>
      <c r="AC440" s="33">
        <v>1.4</v>
      </c>
      <c r="AD440" s="33"/>
      <c r="AE440" s="33">
        <v>60.4</v>
      </c>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33"/>
      <c r="BE440" s="33">
        <v>5.3</v>
      </c>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c r="CN440" s="33"/>
      <c r="CO440" s="33">
        <v>3.4</v>
      </c>
      <c r="CP440" s="33"/>
      <c r="CQ440" s="33"/>
      <c r="CR440" s="33"/>
      <c r="CS440" s="33"/>
      <c r="CT440" s="33"/>
      <c r="CU440" s="33"/>
      <c r="CV440" s="33"/>
      <c r="CW440" s="33"/>
      <c r="CX440" s="33"/>
      <c r="CY440" s="33"/>
      <c r="CZ440" s="33"/>
      <c r="DA440" s="33"/>
      <c r="DB440" s="33"/>
      <c r="DC440" s="33"/>
      <c r="DD440" s="33"/>
      <c r="DE440" s="33"/>
      <c r="DF440" s="33"/>
      <c r="DG440" s="33"/>
      <c r="DH440" s="33"/>
      <c r="DI440" s="33"/>
      <c r="DJ440" s="33"/>
      <c r="DK440" s="33"/>
      <c r="DL440" s="33"/>
      <c r="DM440" s="33"/>
      <c r="DN440" s="33"/>
      <c r="DO440" s="33"/>
      <c r="DP440" s="33"/>
      <c r="DQ440" s="33"/>
      <c r="DR440" s="33"/>
      <c r="DS440" s="33"/>
      <c r="DT440" s="33"/>
      <c r="DU440" s="33"/>
      <c r="DV440" s="33"/>
      <c r="DW440" s="33"/>
      <c r="DX440" s="33"/>
      <c r="DY440" s="33"/>
      <c r="DZ440" s="33"/>
      <c r="EA440" s="33"/>
      <c r="EB440" s="33"/>
      <c r="EC440" s="33"/>
      <c r="ED440" s="33"/>
      <c r="EE440" s="33"/>
      <c r="EF440" s="33"/>
      <c r="EG440" s="33"/>
      <c r="EH440" s="33"/>
      <c r="EI440" s="33"/>
      <c r="EJ440" s="33"/>
      <c r="EK440" s="33"/>
      <c r="EL440" s="33"/>
      <c r="EM440" s="33"/>
      <c r="EN440" s="33"/>
      <c r="EO440" s="33"/>
      <c r="EP440" s="33"/>
      <c r="EQ440" s="33"/>
      <c r="ER440" s="33"/>
      <c r="ES440" s="33"/>
      <c r="ET440" s="33"/>
      <c r="EU440" s="33"/>
      <c r="EV440" s="33"/>
      <c r="EW440" s="33"/>
      <c r="EX440" s="33"/>
      <c r="EY440" s="33"/>
      <c r="EZ440" s="33"/>
      <c r="FA440" s="33"/>
      <c r="FB440" s="33"/>
      <c r="FC440" s="33"/>
      <c r="FD440" s="33"/>
      <c r="FE440" s="33"/>
      <c r="FF440" s="33"/>
      <c r="FG440" s="33"/>
      <c r="FH440" s="33"/>
      <c r="FI440" s="33"/>
      <c r="FJ440" s="33"/>
      <c r="FK440" s="33"/>
      <c r="FL440" s="33"/>
      <c r="FM440" s="33"/>
      <c r="FN440" s="33"/>
      <c r="FO440" s="33"/>
      <c r="FP440" s="33"/>
      <c r="FQ440" s="33"/>
      <c r="FR440" s="33"/>
      <c r="FS440" s="33"/>
      <c r="FT440" s="33"/>
      <c r="FU440" s="33"/>
      <c r="FV440" s="33"/>
      <c r="FW440" s="33"/>
      <c r="FX440" s="33"/>
      <c r="FY440" s="33"/>
      <c r="FZ440" s="33"/>
      <c r="GA440" s="33"/>
      <c r="GB440" s="33"/>
      <c r="GC440" s="33"/>
      <c r="GD440" s="33"/>
      <c r="GE440" s="33"/>
      <c r="GF440" s="33"/>
      <c r="GG440" s="33"/>
      <c r="GH440" s="33"/>
      <c r="GI440" s="33"/>
      <c r="GJ440" s="33"/>
      <c r="GK440" s="33"/>
      <c r="GL440" s="33"/>
      <c r="GM440" s="33"/>
      <c r="GN440" s="33"/>
      <c r="GO440" s="33"/>
      <c r="GP440" s="33"/>
      <c r="GQ440" s="33"/>
      <c r="GR440" s="33"/>
      <c r="GS440" s="33"/>
      <c r="GT440" s="33"/>
      <c r="GU440" s="33"/>
      <c r="GV440" s="33"/>
      <c r="GW440" s="33"/>
      <c r="GX440" s="33"/>
      <c r="GY440" s="33"/>
      <c r="GZ440" s="33"/>
      <c r="HA440" s="33"/>
      <c r="HB440" s="33"/>
      <c r="HC440" s="33"/>
      <c r="HD440" s="33"/>
      <c r="HE440" s="33"/>
      <c r="HF440" s="33"/>
      <c r="HG440" s="33"/>
      <c r="HH440" s="33"/>
      <c r="HI440" s="33"/>
      <c r="HJ440" s="33"/>
      <c r="HK440" s="33"/>
      <c r="HL440" s="33"/>
      <c r="HM440" s="33"/>
      <c r="HN440" s="33"/>
      <c r="HO440" s="33"/>
      <c r="HP440" s="33"/>
      <c r="HQ440" s="33"/>
      <c r="HR440" s="33"/>
      <c r="HS440" s="33"/>
      <c r="HT440" s="33"/>
      <c r="HU440" s="33"/>
      <c r="HV440" s="33"/>
      <c r="HW440" s="33"/>
      <c r="HX440" s="33"/>
      <c r="HY440" s="33"/>
      <c r="HZ440" s="33"/>
      <c r="IA440" s="33"/>
      <c r="IB440" s="33"/>
      <c r="IC440" s="33"/>
      <c r="ID440" s="33"/>
      <c r="IE440" s="33"/>
      <c r="IF440" s="33"/>
      <c r="IG440" s="33"/>
      <c r="IH440" s="33"/>
      <c r="II440" s="33"/>
      <c r="IJ440" s="33"/>
      <c r="IK440" s="33"/>
      <c r="IL440" s="33"/>
      <c r="IM440" s="33"/>
      <c r="IN440" s="33"/>
      <c r="IO440" s="33"/>
      <c r="IP440" s="33"/>
      <c r="IQ440" s="33"/>
      <c r="IR440" s="33"/>
      <c r="IS440" s="33"/>
      <c r="IT440" s="33"/>
      <c r="IU440" s="33"/>
      <c r="IV440" s="33"/>
      <c r="IW440" s="33"/>
      <c r="IX440" s="33"/>
      <c r="IY440" s="33"/>
      <c r="IZ440" s="33"/>
      <c r="JA440" s="33"/>
      <c r="JB440" s="33"/>
      <c r="JC440" s="33"/>
      <c r="JD440" s="33"/>
      <c r="JE440" s="33"/>
      <c r="JF440" s="33"/>
      <c r="JG440" s="33"/>
      <c r="JH440" s="33"/>
      <c r="JI440" s="33"/>
      <c r="JJ440" s="33"/>
      <c r="JK440" s="33"/>
      <c r="JL440" s="33"/>
      <c r="JM440" s="33"/>
      <c r="JN440" s="33"/>
      <c r="JO440" s="33"/>
      <c r="JP440" s="33"/>
      <c r="JQ440" s="33"/>
      <c r="JR440" s="33"/>
      <c r="KZ440" s="33"/>
      <c r="LA440" s="33"/>
      <c r="LB440" s="33"/>
      <c r="LC440" s="33"/>
      <c r="LD440" s="33"/>
      <c r="LE440" s="33"/>
      <c r="LF440" s="33"/>
      <c r="LG440" s="33"/>
      <c r="LH440" s="33"/>
      <c r="LI440" s="33"/>
      <c r="LJ440" s="33"/>
      <c r="LK440" s="33"/>
      <c r="LL440" s="33"/>
      <c r="LM440" s="33"/>
      <c r="LN440" s="33"/>
      <c r="LO440" s="33"/>
      <c r="LP440" s="44"/>
      <c r="LQ440" s="44"/>
      <c r="LR440" s="44"/>
      <c r="LS440" s="44"/>
      <c r="LT440" s="44"/>
      <c r="LU440" s="44"/>
      <c r="LV440" s="44"/>
    </row>
    <row r="441" spans="1:334" x14ac:dyDescent="0.2">
      <c r="A441" s="1" t="s">
        <v>9123</v>
      </c>
      <c r="B441" s="1" t="s">
        <v>9114</v>
      </c>
      <c r="D441" s="1" t="s">
        <v>9122</v>
      </c>
      <c r="E441" s="1" t="s">
        <v>7</v>
      </c>
      <c r="F441" s="1" t="s">
        <v>688</v>
      </c>
      <c r="J441" s="1" t="s">
        <v>9111</v>
      </c>
      <c r="K441" s="1">
        <v>2013</v>
      </c>
      <c r="L441" s="1" t="s">
        <v>9112</v>
      </c>
      <c r="M441" s="1" t="s">
        <v>7659</v>
      </c>
      <c r="N441" s="17" t="s">
        <v>7945</v>
      </c>
      <c r="O441" s="33">
        <v>1435</v>
      </c>
      <c r="P441" s="33"/>
      <c r="Q441" s="33"/>
      <c r="R441" s="33"/>
      <c r="S441" s="33">
        <v>9.4</v>
      </c>
      <c r="T441" s="33"/>
      <c r="U441" s="33"/>
      <c r="V441" s="33"/>
      <c r="W441" s="33"/>
      <c r="X441" s="33"/>
      <c r="Y441" s="33"/>
      <c r="Z441" s="33">
        <v>24.6</v>
      </c>
      <c r="AA441" s="33"/>
      <c r="AB441" s="33"/>
      <c r="AC441" s="33">
        <v>1.9</v>
      </c>
      <c r="AD441" s="33"/>
      <c r="AE441" s="33">
        <v>56.8</v>
      </c>
      <c r="AF441" s="33"/>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33"/>
      <c r="BC441" s="33"/>
      <c r="BD441" s="33"/>
      <c r="BE441" s="33">
        <v>4.0999999999999996</v>
      </c>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c r="CN441" s="33"/>
      <c r="CO441" s="33">
        <v>3.2</v>
      </c>
      <c r="CP441" s="33"/>
      <c r="CQ441" s="33"/>
      <c r="CR441" s="33"/>
      <c r="CS441" s="33"/>
      <c r="CT441" s="33"/>
      <c r="CU441" s="33"/>
      <c r="CV441" s="33"/>
      <c r="CW441" s="33"/>
      <c r="CX441" s="33"/>
      <c r="CY441" s="33"/>
      <c r="CZ441" s="33"/>
      <c r="DA441" s="33"/>
      <c r="DB441" s="33"/>
      <c r="DC441" s="33"/>
      <c r="DD441" s="33"/>
      <c r="DE441" s="33"/>
      <c r="DF441" s="33"/>
      <c r="DG441" s="33"/>
      <c r="DH441" s="33"/>
      <c r="DI441" s="33"/>
      <c r="DJ441" s="33"/>
      <c r="DK441" s="33"/>
      <c r="DL441" s="33"/>
      <c r="DM441" s="33"/>
      <c r="DN441" s="33"/>
      <c r="DO441" s="33"/>
      <c r="DP441" s="33"/>
      <c r="DQ441" s="33"/>
      <c r="DR441" s="33"/>
      <c r="DS441" s="33"/>
      <c r="DT441" s="33"/>
      <c r="DU441" s="33"/>
      <c r="DV441" s="33"/>
      <c r="DW441" s="33"/>
      <c r="DX441" s="33"/>
      <c r="DY441" s="33"/>
      <c r="DZ441" s="33"/>
      <c r="EA441" s="33"/>
      <c r="EB441" s="33"/>
      <c r="EC441" s="33"/>
      <c r="ED441" s="33"/>
      <c r="EE441" s="33"/>
      <c r="EF441" s="33"/>
      <c r="EG441" s="33"/>
      <c r="EH441" s="33"/>
      <c r="EI441" s="33"/>
      <c r="EJ441" s="33"/>
      <c r="EK441" s="33"/>
      <c r="EL441" s="33"/>
      <c r="EM441" s="33"/>
      <c r="EN441" s="33"/>
      <c r="EO441" s="33"/>
      <c r="EP441" s="33"/>
      <c r="EQ441" s="33"/>
      <c r="ER441" s="33"/>
      <c r="ES441" s="33"/>
      <c r="ET441" s="33"/>
      <c r="EU441" s="33"/>
      <c r="EV441" s="33"/>
      <c r="EW441" s="33"/>
      <c r="EX441" s="33"/>
      <c r="EY441" s="33"/>
      <c r="EZ441" s="33"/>
      <c r="FA441" s="33"/>
      <c r="FB441" s="33"/>
      <c r="FC441" s="33"/>
      <c r="FD441" s="33"/>
      <c r="FE441" s="33"/>
      <c r="FF441" s="33"/>
      <c r="FG441" s="33"/>
      <c r="FH441" s="33"/>
      <c r="FI441" s="33"/>
      <c r="FJ441" s="33"/>
      <c r="FK441" s="33"/>
      <c r="FL441" s="33"/>
      <c r="FM441" s="33"/>
      <c r="FN441" s="33"/>
      <c r="FO441" s="33"/>
      <c r="FP441" s="33"/>
      <c r="FQ441" s="33"/>
      <c r="FR441" s="33"/>
      <c r="FS441" s="33"/>
      <c r="FT441" s="33"/>
      <c r="FU441" s="33"/>
      <c r="FV441" s="33"/>
      <c r="FW441" s="33"/>
      <c r="FX441" s="33"/>
      <c r="FY441" s="33"/>
      <c r="FZ441" s="33"/>
      <c r="GA441" s="33"/>
      <c r="GB441" s="33"/>
      <c r="GC441" s="33"/>
      <c r="GD441" s="33"/>
      <c r="GE441" s="33"/>
      <c r="GF441" s="33"/>
      <c r="GG441" s="33"/>
      <c r="GH441" s="33"/>
      <c r="GI441" s="33"/>
      <c r="GJ441" s="33"/>
      <c r="GK441" s="33"/>
      <c r="GL441" s="33"/>
      <c r="GM441" s="33"/>
      <c r="GN441" s="33"/>
      <c r="GO441" s="33"/>
      <c r="GP441" s="33"/>
      <c r="GQ441" s="33"/>
      <c r="GR441" s="33"/>
      <c r="GS441" s="33"/>
      <c r="GT441" s="33"/>
      <c r="GU441" s="33"/>
      <c r="GV441" s="33"/>
      <c r="GW441" s="33"/>
      <c r="GX441" s="33"/>
      <c r="GY441" s="33"/>
      <c r="GZ441" s="33"/>
      <c r="HA441" s="33"/>
      <c r="HB441" s="33"/>
      <c r="HC441" s="33"/>
      <c r="HD441" s="33"/>
      <c r="HE441" s="33"/>
      <c r="HF441" s="33"/>
      <c r="HG441" s="33"/>
      <c r="HH441" s="33"/>
      <c r="HI441" s="33"/>
      <c r="HJ441" s="33"/>
      <c r="HK441" s="33"/>
      <c r="HL441" s="33"/>
      <c r="HM441" s="33"/>
      <c r="HN441" s="33"/>
      <c r="HO441" s="33"/>
      <c r="HP441" s="33"/>
      <c r="HQ441" s="33"/>
      <c r="HR441" s="33"/>
      <c r="HS441" s="33"/>
      <c r="HT441" s="33"/>
      <c r="HU441" s="33"/>
      <c r="HV441" s="33"/>
      <c r="HW441" s="33"/>
      <c r="HX441" s="33"/>
      <c r="HY441" s="33"/>
      <c r="HZ441" s="33"/>
      <c r="IA441" s="33"/>
      <c r="IB441" s="33"/>
      <c r="IC441" s="33"/>
      <c r="ID441" s="33"/>
      <c r="IE441" s="33"/>
      <c r="IF441" s="33"/>
      <c r="IG441" s="33"/>
      <c r="IH441" s="33"/>
      <c r="II441" s="33"/>
      <c r="IJ441" s="33"/>
      <c r="IK441" s="33"/>
      <c r="IL441" s="33"/>
      <c r="IM441" s="33"/>
      <c r="IN441" s="33"/>
      <c r="IO441" s="33"/>
      <c r="IP441" s="33"/>
      <c r="IQ441" s="33"/>
      <c r="IR441" s="33"/>
      <c r="IS441" s="33"/>
      <c r="IT441" s="33"/>
      <c r="IU441" s="33"/>
      <c r="IV441" s="33"/>
      <c r="IW441" s="33"/>
      <c r="IX441" s="33"/>
      <c r="IY441" s="33"/>
      <c r="IZ441" s="33"/>
      <c r="JA441" s="33"/>
      <c r="JB441" s="33"/>
      <c r="JC441" s="33"/>
      <c r="JD441" s="33"/>
      <c r="JE441" s="33"/>
      <c r="JF441" s="33"/>
      <c r="JG441" s="33"/>
      <c r="JH441" s="33"/>
      <c r="JI441" s="33"/>
      <c r="JJ441" s="33"/>
      <c r="JK441" s="33"/>
      <c r="JL441" s="33"/>
      <c r="JM441" s="33"/>
      <c r="JN441" s="33"/>
      <c r="JO441" s="33"/>
      <c r="JP441" s="33"/>
      <c r="JQ441" s="33"/>
      <c r="JR441" s="33"/>
      <c r="KZ441" s="33"/>
      <c r="LA441" s="33"/>
      <c r="LB441" s="33"/>
      <c r="LC441" s="33"/>
      <c r="LD441" s="33"/>
      <c r="LE441" s="33"/>
      <c r="LF441" s="33"/>
      <c r="LG441" s="33"/>
      <c r="LH441" s="33"/>
      <c r="LI441" s="33"/>
      <c r="LJ441" s="33"/>
      <c r="LK441" s="33"/>
      <c r="LL441" s="33"/>
      <c r="LM441" s="33"/>
      <c r="LN441" s="33"/>
      <c r="LO441" s="33"/>
      <c r="LP441" s="44"/>
      <c r="LQ441" s="44"/>
      <c r="LR441" s="44"/>
      <c r="LS441" s="44"/>
      <c r="LT441" s="44"/>
      <c r="LU441" s="44"/>
      <c r="LV441" s="44"/>
    </row>
    <row r="442" spans="1:334" x14ac:dyDescent="0.2">
      <c r="A442" s="1" t="s">
        <v>9124</v>
      </c>
      <c r="B442" s="1" t="s">
        <v>9116</v>
      </c>
      <c r="D442" s="1" t="s">
        <v>9122</v>
      </c>
      <c r="E442" s="1" t="s">
        <v>7</v>
      </c>
      <c r="F442" s="1" t="s">
        <v>688</v>
      </c>
      <c r="J442" s="1" t="s">
        <v>9111</v>
      </c>
      <c r="K442" s="1">
        <v>2013</v>
      </c>
      <c r="L442" s="1" t="s">
        <v>9112</v>
      </c>
      <c r="M442" s="1" t="s">
        <v>7659</v>
      </c>
      <c r="N442" s="17" t="s">
        <v>7945</v>
      </c>
      <c r="O442" s="33">
        <v>1420</v>
      </c>
      <c r="P442" s="33"/>
      <c r="Q442" s="33"/>
      <c r="R442" s="33"/>
      <c r="S442" s="33">
        <v>9.5</v>
      </c>
      <c r="T442" s="33"/>
      <c r="U442" s="33"/>
      <c r="V442" s="33"/>
      <c r="W442" s="33"/>
      <c r="X442" s="33"/>
      <c r="Y442" s="33"/>
      <c r="Z442" s="33">
        <v>22.8</v>
      </c>
      <c r="AA442" s="33"/>
      <c r="AB442" s="33"/>
      <c r="AC442" s="33">
        <v>1.6</v>
      </c>
      <c r="AD442" s="33"/>
      <c r="AE442" s="33">
        <v>58.8</v>
      </c>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33"/>
      <c r="BE442" s="33">
        <v>4.5</v>
      </c>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c r="CN442" s="33"/>
      <c r="CO442" s="33">
        <v>3.3</v>
      </c>
      <c r="CP442" s="33"/>
      <c r="CQ442" s="33"/>
      <c r="CR442" s="33"/>
      <c r="CS442" s="33"/>
      <c r="CT442" s="33"/>
      <c r="CU442" s="33"/>
      <c r="CV442" s="33"/>
      <c r="CW442" s="33"/>
      <c r="CX442" s="33"/>
      <c r="CY442" s="33"/>
      <c r="CZ442" s="33"/>
      <c r="DA442" s="33"/>
      <c r="DB442" s="33"/>
      <c r="DC442" s="33"/>
      <c r="DD442" s="33"/>
      <c r="DE442" s="33"/>
      <c r="DF442" s="33"/>
      <c r="DG442" s="33"/>
      <c r="DH442" s="33"/>
      <c r="DI442" s="33"/>
      <c r="DJ442" s="33"/>
      <c r="DK442" s="33"/>
      <c r="DL442" s="33"/>
      <c r="DM442" s="33"/>
      <c r="DN442" s="33"/>
      <c r="DO442" s="33"/>
      <c r="DP442" s="33"/>
      <c r="DQ442" s="33"/>
      <c r="DR442" s="33"/>
      <c r="DS442" s="33"/>
      <c r="DT442" s="33"/>
      <c r="DU442" s="33"/>
      <c r="DV442" s="33"/>
      <c r="DW442" s="33"/>
      <c r="DX442" s="33"/>
      <c r="DY442" s="33"/>
      <c r="DZ442" s="33"/>
      <c r="EA442" s="33"/>
      <c r="EB442" s="33"/>
      <c r="EC442" s="33"/>
      <c r="ED442" s="33"/>
      <c r="EE442" s="33"/>
      <c r="EF442" s="33"/>
      <c r="EG442" s="33"/>
      <c r="EH442" s="33"/>
      <c r="EI442" s="33"/>
      <c r="EJ442" s="33"/>
      <c r="EK442" s="33"/>
      <c r="EL442" s="33"/>
      <c r="EM442" s="33"/>
      <c r="EN442" s="33"/>
      <c r="EO442" s="33"/>
      <c r="EP442" s="33"/>
      <c r="EQ442" s="33"/>
      <c r="ER442" s="33"/>
      <c r="ES442" s="33"/>
      <c r="ET442" s="33"/>
      <c r="EU442" s="33"/>
      <c r="EV442" s="33"/>
      <c r="EW442" s="33"/>
      <c r="EX442" s="33"/>
      <c r="EY442" s="33"/>
      <c r="EZ442" s="33"/>
      <c r="FA442" s="33"/>
      <c r="FB442" s="33"/>
      <c r="FC442" s="33"/>
      <c r="FD442" s="33"/>
      <c r="FE442" s="33"/>
      <c r="FF442" s="33"/>
      <c r="FG442" s="33"/>
      <c r="FH442" s="33"/>
      <c r="FI442" s="33"/>
      <c r="FJ442" s="33"/>
      <c r="FK442" s="33"/>
      <c r="FL442" s="33"/>
      <c r="FM442" s="33"/>
      <c r="FN442" s="33"/>
      <c r="FO442" s="33"/>
      <c r="FP442" s="33"/>
      <c r="FQ442" s="33"/>
      <c r="FR442" s="33"/>
      <c r="FS442" s="33"/>
      <c r="FT442" s="33"/>
      <c r="FU442" s="33"/>
      <c r="FV442" s="33"/>
      <c r="FW442" s="33"/>
      <c r="FX442" s="33"/>
      <c r="FY442" s="33"/>
      <c r="FZ442" s="33"/>
      <c r="GA442" s="33"/>
      <c r="GB442" s="33"/>
      <c r="GC442" s="33"/>
      <c r="GD442" s="33"/>
      <c r="GE442" s="33"/>
      <c r="GF442" s="33"/>
      <c r="GG442" s="33"/>
      <c r="GH442" s="33"/>
      <c r="GI442" s="33"/>
      <c r="GJ442" s="33"/>
      <c r="GK442" s="33"/>
      <c r="GL442" s="33"/>
      <c r="GM442" s="33"/>
      <c r="GN442" s="33"/>
      <c r="GO442" s="33"/>
      <c r="GP442" s="33"/>
      <c r="GQ442" s="33"/>
      <c r="GR442" s="33"/>
      <c r="GS442" s="33"/>
      <c r="GT442" s="33"/>
      <c r="GU442" s="33"/>
      <c r="GV442" s="33"/>
      <c r="GW442" s="33"/>
      <c r="GX442" s="33"/>
      <c r="GY442" s="33"/>
      <c r="GZ442" s="33"/>
      <c r="HA442" s="33"/>
      <c r="HB442" s="33"/>
      <c r="HC442" s="33"/>
      <c r="HD442" s="33"/>
      <c r="HE442" s="33"/>
      <c r="HF442" s="33"/>
      <c r="HG442" s="33"/>
      <c r="HH442" s="33"/>
      <c r="HI442" s="33"/>
      <c r="HJ442" s="33"/>
      <c r="HK442" s="33"/>
      <c r="HL442" s="33"/>
      <c r="HM442" s="33"/>
      <c r="HN442" s="33"/>
      <c r="HO442" s="33"/>
      <c r="HP442" s="33"/>
      <c r="HQ442" s="33"/>
      <c r="HR442" s="33"/>
      <c r="HS442" s="33"/>
      <c r="HT442" s="33"/>
      <c r="HU442" s="33"/>
      <c r="HV442" s="33"/>
      <c r="HW442" s="33"/>
      <c r="HX442" s="33"/>
      <c r="HY442" s="33"/>
      <c r="HZ442" s="33"/>
      <c r="IA442" s="33"/>
      <c r="IB442" s="33"/>
      <c r="IC442" s="33"/>
      <c r="ID442" s="33"/>
      <c r="IE442" s="33"/>
      <c r="IF442" s="33"/>
      <c r="IG442" s="33"/>
      <c r="IH442" s="33"/>
      <c r="II442" s="33"/>
      <c r="IJ442" s="33"/>
      <c r="IK442" s="33"/>
      <c r="IL442" s="33"/>
      <c r="IM442" s="33"/>
      <c r="IN442" s="33"/>
      <c r="IO442" s="33"/>
      <c r="IP442" s="33"/>
      <c r="IQ442" s="33"/>
      <c r="IR442" s="33"/>
      <c r="IS442" s="33"/>
      <c r="IT442" s="33"/>
      <c r="IU442" s="33"/>
      <c r="IV442" s="33"/>
      <c r="IW442" s="33"/>
      <c r="IX442" s="33"/>
      <c r="IY442" s="33"/>
      <c r="IZ442" s="33"/>
      <c r="JA442" s="33"/>
      <c r="JB442" s="33"/>
      <c r="JC442" s="33"/>
      <c r="JD442" s="33"/>
      <c r="JE442" s="33"/>
      <c r="JF442" s="33"/>
      <c r="JG442" s="33"/>
      <c r="JH442" s="33"/>
      <c r="JI442" s="33"/>
      <c r="JJ442" s="33"/>
      <c r="JK442" s="33"/>
      <c r="JL442" s="33"/>
      <c r="JM442" s="33"/>
      <c r="JN442" s="33"/>
      <c r="JO442" s="33"/>
      <c r="JP442" s="33"/>
      <c r="JQ442" s="33"/>
      <c r="JR442" s="33"/>
      <c r="KZ442" s="33"/>
      <c r="LA442" s="33"/>
      <c r="LB442" s="33"/>
      <c r="LC442" s="33"/>
      <c r="LD442" s="33"/>
      <c r="LE442" s="33"/>
      <c r="LF442" s="33"/>
      <c r="LG442" s="33"/>
      <c r="LH442" s="33"/>
      <c r="LI442" s="33"/>
      <c r="LJ442" s="33"/>
      <c r="LK442" s="33"/>
      <c r="LL442" s="33"/>
      <c r="LM442" s="33"/>
      <c r="LN442" s="33"/>
      <c r="LO442" s="33"/>
      <c r="LP442" s="44"/>
      <c r="LQ442" s="44"/>
      <c r="LR442" s="44"/>
      <c r="LS442" s="44"/>
      <c r="LT442" s="44"/>
      <c r="LU442" s="44"/>
      <c r="LV442" s="44"/>
    </row>
    <row r="443" spans="1:334" x14ac:dyDescent="0.2">
      <c r="A443" s="1" t="s">
        <v>9125</v>
      </c>
      <c r="B443" s="1" t="s">
        <v>9109</v>
      </c>
      <c r="D443" s="1" t="s">
        <v>9126</v>
      </c>
      <c r="E443" s="1" t="s">
        <v>7</v>
      </c>
      <c r="F443" s="1" t="s">
        <v>8024</v>
      </c>
      <c r="J443" s="1" t="s">
        <v>9111</v>
      </c>
      <c r="K443" s="1">
        <v>2013</v>
      </c>
      <c r="L443" s="1" t="s">
        <v>9112</v>
      </c>
      <c r="M443" s="1" t="s">
        <v>7659</v>
      </c>
      <c r="N443" s="17" t="s">
        <v>7945</v>
      </c>
      <c r="O443" s="33">
        <v>1410</v>
      </c>
      <c r="P443" s="33"/>
      <c r="Q443" s="33"/>
      <c r="R443" s="33"/>
      <c r="S443" s="33">
        <v>9.8000000000000007</v>
      </c>
      <c r="T443" s="33"/>
      <c r="U443" s="33"/>
      <c r="V443" s="33"/>
      <c r="W443" s="33"/>
      <c r="X443" s="33"/>
      <c r="Y443" s="33"/>
      <c r="Z443" s="33">
        <v>23.8</v>
      </c>
      <c r="AA443" s="33"/>
      <c r="AB443" s="33"/>
      <c r="AC443" s="33">
        <v>1.1000000000000001</v>
      </c>
      <c r="AD443" s="33"/>
      <c r="AE443" s="33">
        <v>57.9</v>
      </c>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33"/>
      <c r="BE443" s="33">
        <v>4.5</v>
      </c>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c r="CN443" s="33"/>
      <c r="CO443" s="33">
        <v>2.9</v>
      </c>
      <c r="CP443" s="33"/>
      <c r="CQ443" s="33"/>
      <c r="CR443" s="33"/>
      <c r="CS443" s="33"/>
      <c r="CT443" s="33"/>
      <c r="CU443" s="33"/>
      <c r="CV443" s="33"/>
      <c r="CW443" s="33"/>
      <c r="CX443" s="33"/>
      <c r="CY443" s="33"/>
      <c r="CZ443" s="33"/>
      <c r="DA443" s="33"/>
      <c r="DB443" s="33"/>
      <c r="DC443" s="33"/>
      <c r="DD443" s="33"/>
      <c r="DE443" s="33"/>
      <c r="DF443" s="33"/>
      <c r="DG443" s="33"/>
      <c r="DH443" s="33"/>
      <c r="DI443" s="33"/>
      <c r="DJ443" s="33"/>
      <c r="DK443" s="33"/>
      <c r="DL443" s="33"/>
      <c r="DM443" s="33"/>
      <c r="DN443" s="33"/>
      <c r="DO443" s="33"/>
      <c r="DP443" s="33"/>
      <c r="DQ443" s="33"/>
      <c r="DR443" s="33"/>
      <c r="DS443" s="33"/>
      <c r="DT443" s="33"/>
      <c r="DU443" s="33"/>
      <c r="DV443" s="33"/>
      <c r="DW443" s="33"/>
      <c r="DX443" s="33"/>
      <c r="DY443" s="33"/>
      <c r="DZ443" s="33"/>
      <c r="EA443" s="33"/>
      <c r="EB443" s="33"/>
      <c r="EC443" s="33"/>
      <c r="ED443" s="33"/>
      <c r="EE443" s="33"/>
      <c r="EF443" s="33"/>
      <c r="EG443" s="33"/>
      <c r="EH443" s="33"/>
      <c r="EI443" s="33"/>
      <c r="EJ443" s="33"/>
      <c r="EK443" s="33"/>
      <c r="EL443" s="33"/>
      <c r="EM443" s="33"/>
      <c r="EN443" s="33"/>
      <c r="EO443" s="33"/>
      <c r="EP443" s="33"/>
      <c r="EQ443" s="33"/>
      <c r="ER443" s="33"/>
      <c r="ES443" s="33"/>
      <c r="ET443" s="33"/>
      <c r="EU443" s="33"/>
      <c r="EV443" s="33"/>
      <c r="EW443" s="33"/>
      <c r="EX443" s="33"/>
      <c r="EY443" s="33"/>
      <c r="EZ443" s="33"/>
      <c r="FA443" s="33"/>
      <c r="FB443" s="33"/>
      <c r="FC443" s="33"/>
      <c r="FD443" s="33"/>
      <c r="FE443" s="33"/>
      <c r="FF443" s="33"/>
      <c r="FG443" s="33"/>
      <c r="FH443" s="33"/>
      <c r="FI443" s="33"/>
      <c r="FJ443" s="33"/>
      <c r="FK443" s="33"/>
      <c r="FL443" s="33"/>
      <c r="FM443" s="33"/>
      <c r="FN443" s="33"/>
      <c r="FO443" s="33"/>
      <c r="FP443" s="33"/>
      <c r="FQ443" s="33"/>
      <c r="FR443" s="33"/>
      <c r="FS443" s="33"/>
      <c r="FT443" s="33"/>
      <c r="FU443" s="33"/>
      <c r="FV443" s="33"/>
      <c r="FW443" s="33"/>
      <c r="FX443" s="33"/>
      <c r="FY443" s="33"/>
      <c r="FZ443" s="33"/>
      <c r="GA443" s="33"/>
      <c r="GB443" s="33"/>
      <c r="GC443" s="33"/>
      <c r="GD443" s="33"/>
      <c r="GE443" s="33"/>
      <c r="GF443" s="33"/>
      <c r="GG443" s="33"/>
      <c r="GH443" s="33"/>
      <c r="GI443" s="33"/>
      <c r="GJ443" s="33"/>
      <c r="GK443" s="33"/>
      <c r="GL443" s="33"/>
      <c r="GM443" s="33"/>
      <c r="GN443" s="33"/>
      <c r="GO443" s="33"/>
      <c r="GP443" s="33"/>
      <c r="GQ443" s="33"/>
      <c r="GR443" s="33"/>
      <c r="GS443" s="33"/>
      <c r="GT443" s="33"/>
      <c r="GU443" s="33"/>
      <c r="GV443" s="33"/>
      <c r="GW443" s="33"/>
      <c r="GX443" s="33"/>
      <c r="GY443" s="33"/>
      <c r="GZ443" s="33"/>
      <c r="HA443" s="33"/>
      <c r="HB443" s="33"/>
      <c r="HC443" s="33"/>
      <c r="HD443" s="33"/>
      <c r="HE443" s="33"/>
      <c r="HF443" s="33"/>
      <c r="HG443" s="33"/>
      <c r="HH443" s="33"/>
      <c r="HI443" s="33"/>
      <c r="HJ443" s="33"/>
      <c r="HK443" s="33"/>
      <c r="HL443" s="33"/>
      <c r="HM443" s="33"/>
      <c r="HN443" s="33"/>
      <c r="HO443" s="33"/>
      <c r="HP443" s="33"/>
      <c r="HQ443" s="33"/>
      <c r="HR443" s="33"/>
      <c r="HS443" s="33"/>
      <c r="HT443" s="33"/>
      <c r="HU443" s="33"/>
      <c r="HV443" s="33"/>
      <c r="HW443" s="33"/>
      <c r="HX443" s="33"/>
      <c r="HY443" s="33"/>
      <c r="HZ443" s="33"/>
      <c r="IA443" s="33"/>
      <c r="IB443" s="33"/>
      <c r="IC443" s="33"/>
      <c r="ID443" s="33"/>
      <c r="IE443" s="33"/>
      <c r="IF443" s="33"/>
      <c r="IG443" s="33"/>
      <c r="IH443" s="33"/>
      <c r="II443" s="33"/>
      <c r="IJ443" s="33"/>
      <c r="IK443" s="33"/>
      <c r="IL443" s="33"/>
      <c r="IM443" s="33"/>
      <c r="IN443" s="33"/>
      <c r="IO443" s="33"/>
      <c r="IP443" s="33"/>
      <c r="IQ443" s="33"/>
      <c r="IR443" s="33"/>
      <c r="IS443" s="33"/>
      <c r="IT443" s="33"/>
      <c r="IU443" s="33"/>
      <c r="IV443" s="33"/>
      <c r="IW443" s="33"/>
      <c r="IX443" s="33"/>
      <c r="IY443" s="33"/>
      <c r="IZ443" s="33"/>
      <c r="JA443" s="33"/>
      <c r="JB443" s="33"/>
      <c r="JC443" s="33"/>
      <c r="JD443" s="33"/>
      <c r="JE443" s="33"/>
      <c r="JF443" s="33"/>
      <c r="JG443" s="33"/>
      <c r="JH443" s="33"/>
      <c r="JI443" s="33"/>
      <c r="JJ443" s="33"/>
      <c r="JK443" s="33"/>
      <c r="JL443" s="33"/>
      <c r="JM443" s="33"/>
      <c r="JN443" s="33"/>
      <c r="JO443" s="33"/>
      <c r="JP443" s="33"/>
      <c r="JQ443" s="33"/>
      <c r="JR443" s="33"/>
      <c r="KZ443" s="33"/>
      <c r="LA443" s="33"/>
      <c r="LB443" s="33"/>
      <c r="LC443" s="33"/>
      <c r="LD443" s="33"/>
      <c r="LE443" s="33"/>
      <c r="LF443" s="33"/>
      <c r="LG443" s="33"/>
      <c r="LH443" s="33"/>
      <c r="LI443" s="33"/>
      <c r="LJ443" s="33"/>
      <c r="LK443" s="33"/>
      <c r="LL443" s="33"/>
      <c r="LM443" s="33"/>
      <c r="LN443" s="33"/>
      <c r="LO443" s="33"/>
      <c r="LP443" s="44"/>
      <c r="LQ443" s="44"/>
      <c r="LR443" s="44"/>
      <c r="LS443" s="44"/>
      <c r="LT443" s="44"/>
      <c r="LU443" s="44"/>
      <c r="LV443" s="44"/>
    </row>
    <row r="444" spans="1:334" x14ac:dyDescent="0.2">
      <c r="A444" s="1" t="s">
        <v>9127</v>
      </c>
      <c r="B444" s="1" t="s">
        <v>9114</v>
      </c>
      <c r="D444" s="1" t="s">
        <v>9126</v>
      </c>
      <c r="E444" s="1" t="s">
        <v>7</v>
      </c>
      <c r="F444" s="1" t="s">
        <v>8024</v>
      </c>
      <c r="J444" s="1" t="s">
        <v>9111</v>
      </c>
      <c r="K444" s="1">
        <v>2013</v>
      </c>
      <c r="L444" s="1" t="s">
        <v>9112</v>
      </c>
      <c r="M444" s="1" t="s">
        <v>7659</v>
      </c>
      <c r="N444" s="17" t="s">
        <v>7945</v>
      </c>
      <c r="O444" s="33">
        <v>1410</v>
      </c>
      <c r="P444" s="33"/>
      <c r="Q444" s="33"/>
      <c r="R444" s="33"/>
      <c r="S444" s="33">
        <v>9.5</v>
      </c>
      <c r="T444" s="33"/>
      <c r="U444" s="33"/>
      <c r="V444" s="33"/>
      <c r="W444" s="33"/>
      <c r="X444" s="33"/>
      <c r="Y444" s="33"/>
      <c r="Z444" s="33">
        <v>23.5</v>
      </c>
      <c r="AA444" s="33"/>
      <c r="AB444" s="33"/>
      <c r="AC444" s="33">
        <v>1</v>
      </c>
      <c r="AD444" s="33"/>
      <c r="AE444" s="33">
        <v>58.5</v>
      </c>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33"/>
      <c r="BE444" s="33">
        <v>4.4000000000000004</v>
      </c>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c r="CN444" s="33"/>
      <c r="CO444" s="33">
        <v>3.1</v>
      </c>
      <c r="CP444" s="33"/>
      <c r="CQ444" s="33"/>
      <c r="CR444" s="33"/>
      <c r="CS444" s="33"/>
      <c r="CT444" s="33"/>
      <c r="CU444" s="33"/>
      <c r="CV444" s="33"/>
      <c r="CW444" s="33"/>
      <c r="CX444" s="33"/>
      <c r="CY444" s="33"/>
      <c r="CZ444" s="33"/>
      <c r="DA444" s="33"/>
      <c r="DB444" s="33"/>
      <c r="DC444" s="33"/>
      <c r="DD444" s="33"/>
      <c r="DE444" s="33"/>
      <c r="DF444" s="33"/>
      <c r="DG444" s="33"/>
      <c r="DH444" s="33"/>
      <c r="DI444" s="33"/>
      <c r="DJ444" s="33"/>
      <c r="DK444" s="33"/>
      <c r="DL444" s="33"/>
      <c r="DM444" s="33"/>
      <c r="DN444" s="33"/>
      <c r="DO444" s="33"/>
      <c r="DP444" s="33"/>
      <c r="DQ444" s="33"/>
      <c r="DR444" s="33"/>
      <c r="DS444" s="33"/>
      <c r="DT444" s="33"/>
      <c r="DU444" s="33"/>
      <c r="DV444" s="33"/>
      <c r="DW444" s="33"/>
      <c r="DX444" s="33"/>
      <c r="DY444" s="33"/>
      <c r="DZ444" s="33"/>
      <c r="EA444" s="33"/>
      <c r="EB444" s="33"/>
      <c r="EC444" s="33"/>
      <c r="ED444" s="33"/>
      <c r="EE444" s="33"/>
      <c r="EF444" s="33"/>
      <c r="EG444" s="33"/>
      <c r="EH444" s="33"/>
      <c r="EI444" s="33"/>
      <c r="EJ444" s="33"/>
      <c r="EK444" s="33"/>
      <c r="EL444" s="33"/>
      <c r="EM444" s="33"/>
      <c r="EN444" s="33"/>
      <c r="EO444" s="33"/>
      <c r="EP444" s="33"/>
      <c r="EQ444" s="33"/>
      <c r="ER444" s="33"/>
      <c r="ES444" s="33"/>
      <c r="ET444" s="33"/>
      <c r="EU444" s="33"/>
      <c r="EV444" s="33"/>
      <c r="EW444" s="33"/>
      <c r="EX444" s="33"/>
      <c r="EY444" s="33"/>
      <c r="EZ444" s="33"/>
      <c r="FA444" s="33"/>
      <c r="FB444" s="33"/>
      <c r="FC444" s="33"/>
      <c r="FD444" s="33"/>
      <c r="FE444" s="33"/>
      <c r="FF444" s="33"/>
      <c r="FG444" s="33"/>
      <c r="FH444" s="33"/>
      <c r="FI444" s="33"/>
      <c r="FJ444" s="33"/>
      <c r="FK444" s="33"/>
      <c r="FL444" s="33"/>
      <c r="FM444" s="33"/>
      <c r="FN444" s="33"/>
      <c r="FO444" s="33"/>
      <c r="FP444" s="33"/>
      <c r="FQ444" s="33"/>
      <c r="FR444" s="33"/>
      <c r="FS444" s="33"/>
      <c r="FT444" s="33"/>
      <c r="FU444" s="33"/>
      <c r="FV444" s="33"/>
      <c r="FW444" s="33"/>
      <c r="FX444" s="33"/>
      <c r="FY444" s="33"/>
      <c r="FZ444" s="33"/>
      <c r="GA444" s="33"/>
      <c r="GB444" s="33"/>
      <c r="GC444" s="33"/>
      <c r="GD444" s="33"/>
      <c r="GE444" s="33"/>
      <c r="GF444" s="33"/>
      <c r="GG444" s="33"/>
      <c r="GH444" s="33"/>
      <c r="GI444" s="33"/>
      <c r="GJ444" s="33"/>
      <c r="GK444" s="33"/>
      <c r="GL444" s="33"/>
      <c r="GM444" s="33"/>
      <c r="GN444" s="33"/>
      <c r="GO444" s="33"/>
      <c r="GP444" s="33"/>
      <c r="GQ444" s="33"/>
      <c r="GR444" s="33"/>
      <c r="GS444" s="33"/>
      <c r="GT444" s="33"/>
      <c r="GU444" s="33"/>
      <c r="GV444" s="33"/>
      <c r="GW444" s="33"/>
      <c r="GX444" s="33"/>
      <c r="GY444" s="33"/>
      <c r="GZ444" s="33"/>
      <c r="HA444" s="33"/>
      <c r="HB444" s="33"/>
      <c r="HC444" s="33"/>
      <c r="HD444" s="33"/>
      <c r="HE444" s="33"/>
      <c r="HF444" s="33"/>
      <c r="HG444" s="33"/>
      <c r="HH444" s="33"/>
      <c r="HI444" s="33"/>
      <c r="HJ444" s="33"/>
      <c r="HK444" s="33"/>
      <c r="HL444" s="33"/>
      <c r="HM444" s="33"/>
      <c r="HN444" s="33"/>
      <c r="HO444" s="33"/>
      <c r="HP444" s="33"/>
      <c r="HQ444" s="33"/>
      <c r="HR444" s="33"/>
      <c r="HS444" s="33"/>
      <c r="HT444" s="33"/>
      <c r="HU444" s="33"/>
      <c r="HV444" s="33"/>
      <c r="HW444" s="33"/>
      <c r="HX444" s="33"/>
      <c r="HY444" s="33"/>
      <c r="HZ444" s="33"/>
      <c r="IA444" s="33"/>
      <c r="IB444" s="33"/>
      <c r="IC444" s="33"/>
      <c r="ID444" s="33"/>
      <c r="IE444" s="33"/>
      <c r="IF444" s="33"/>
      <c r="IG444" s="33"/>
      <c r="IH444" s="33"/>
      <c r="II444" s="33"/>
      <c r="IJ444" s="33"/>
      <c r="IK444" s="33"/>
      <c r="IL444" s="33"/>
      <c r="IM444" s="33"/>
      <c r="IN444" s="33"/>
      <c r="IO444" s="33"/>
      <c r="IP444" s="33"/>
      <c r="IQ444" s="33"/>
      <c r="IR444" s="33"/>
      <c r="IS444" s="33"/>
      <c r="IT444" s="33"/>
      <c r="IU444" s="33"/>
      <c r="IV444" s="33"/>
      <c r="IW444" s="33"/>
      <c r="IX444" s="33"/>
      <c r="IY444" s="33"/>
      <c r="IZ444" s="33"/>
      <c r="JA444" s="33"/>
      <c r="JB444" s="33"/>
      <c r="JC444" s="33"/>
      <c r="JD444" s="33"/>
      <c r="JE444" s="33"/>
      <c r="JF444" s="33"/>
      <c r="JG444" s="33"/>
      <c r="JH444" s="33"/>
      <c r="JI444" s="33"/>
      <c r="JJ444" s="33"/>
      <c r="JK444" s="33"/>
      <c r="JL444" s="33"/>
      <c r="JM444" s="33"/>
      <c r="JN444" s="33"/>
      <c r="JO444" s="33"/>
      <c r="JP444" s="33"/>
      <c r="JQ444" s="33"/>
      <c r="JR444" s="33"/>
      <c r="KZ444" s="33"/>
      <c r="LA444" s="33"/>
      <c r="LB444" s="33"/>
      <c r="LC444" s="33"/>
      <c r="LD444" s="33"/>
      <c r="LE444" s="33"/>
      <c r="LF444" s="33"/>
      <c r="LG444" s="33"/>
      <c r="LH444" s="33"/>
      <c r="LI444" s="33"/>
      <c r="LJ444" s="33"/>
      <c r="LK444" s="33"/>
      <c r="LL444" s="33"/>
      <c r="LM444" s="33"/>
      <c r="LN444" s="33"/>
      <c r="LO444" s="33"/>
      <c r="LP444" s="44"/>
      <c r="LQ444" s="44"/>
      <c r="LR444" s="44"/>
      <c r="LS444" s="44"/>
      <c r="LT444" s="44"/>
      <c r="LU444" s="44"/>
      <c r="LV444" s="44"/>
    </row>
    <row r="445" spans="1:334" x14ac:dyDescent="0.2">
      <c r="A445" s="1" t="s">
        <v>9128</v>
      </c>
      <c r="B445" s="1" t="s">
        <v>9116</v>
      </c>
      <c r="D445" s="1" t="s">
        <v>9126</v>
      </c>
      <c r="E445" s="1" t="s">
        <v>7</v>
      </c>
      <c r="F445" s="1" t="s">
        <v>8024</v>
      </c>
      <c r="J445" s="1" t="s">
        <v>9111</v>
      </c>
      <c r="K445" s="1">
        <v>2013</v>
      </c>
      <c r="L445" s="1" t="s">
        <v>9112</v>
      </c>
      <c r="M445" s="1" t="s">
        <v>7659</v>
      </c>
      <c r="N445" s="17" t="s">
        <v>7945</v>
      </c>
      <c r="O445" s="33">
        <v>1400</v>
      </c>
      <c r="P445" s="33"/>
      <c r="Q445" s="33"/>
      <c r="R445" s="33"/>
      <c r="S445" s="33">
        <v>9.6</v>
      </c>
      <c r="T445" s="33"/>
      <c r="U445" s="33"/>
      <c r="V445" s="33"/>
      <c r="W445" s="33"/>
      <c r="X445" s="33"/>
      <c r="Y445" s="33"/>
      <c r="Z445" s="33">
        <v>24.6</v>
      </c>
      <c r="AA445" s="33"/>
      <c r="AB445" s="33"/>
      <c r="AC445" s="33">
        <v>1.1000000000000001</v>
      </c>
      <c r="AD445" s="33"/>
      <c r="AE445" s="33">
        <v>56.2</v>
      </c>
      <c r="AF445" s="33"/>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33"/>
      <c r="BC445" s="33"/>
      <c r="BD445" s="33"/>
      <c r="BE445" s="33">
        <v>5.0999999999999996</v>
      </c>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c r="CN445" s="33"/>
      <c r="CO445" s="33">
        <v>3.4</v>
      </c>
      <c r="CP445" s="33"/>
      <c r="CQ445" s="33"/>
      <c r="CR445" s="33"/>
      <c r="CS445" s="33"/>
      <c r="CT445" s="33"/>
      <c r="CU445" s="33"/>
      <c r="CV445" s="33"/>
      <c r="CW445" s="33"/>
      <c r="CX445" s="33"/>
      <c r="CY445" s="33"/>
      <c r="CZ445" s="33"/>
      <c r="DA445" s="33"/>
      <c r="DB445" s="33"/>
      <c r="DC445" s="33"/>
      <c r="DD445" s="33"/>
      <c r="DE445" s="33"/>
      <c r="DF445" s="33"/>
      <c r="DG445" s="33"/>
      <c r="DH445" s="33"/>
      <c r="DI445" s="33"/>
      <c r="DJ445" s="33"/>
      <c r="DK445" s="33"/>
      <c r="DL445" s="33"/>
      <c r="DM445" s="33"/>
      <c r="DN445" s="33"/>
      <c r="DO445" s="33"/>
      <c r="DP445" s="33"/>
      <c r="DQ445" s="33"/>
      <c r="DR445" s="33"/>
      <c r="DS445" s="33"/>
      <c r="DT445" s="33"/>
      <c r="DU445" s="33"/>
      <c r="DV445" s="33"/>
      <c r="DW445" s="33"/>
      <c r="DX445" s="33"/>
      <c r="DY445" s="33"/>
      <c r="DZ445" s="33"/>
      <c r="EA445" s="33"/>
      <c r="EB445" s="33"/>
      <c r="EC445" s="33"/>
      <c r="ED445" s="33"/>
      <c r="EE445" s="33"/>
      <c r="EF445" s="33"/>
      <c r="EG445" s="33"/>
      <c r="EH445" s="33"/>
      <c r="EI445" s="33"/>
      <c r="EJ445" s="33"/>
      <c r="EK445" s="33"/>
      <c r="EL445" s="33"/>
      <c r="EM445" s="33"/>
      <c r="EN445" s="33"/>
      <c r="EO445" s="33"/>
      <c r="EP445" s="33"/>
      <c r="EQ445" s="33"/>
      <c r="ER445" s="33"/>
      <c r="ES445" s="33"/>
      <c r="ET445" s="33"/>
      <c r="EU445" s="33"/>
      <c r="EV445" s="33"/>
      <c r="EW445" s="33"/>
      <c r="EX445" s="33"/>
      <c r="EY445" s="33"/>
      <c r="EZ445" s="33"/>
      <c r="FA445" s="33"/>
      <c r="FB445" s="33"/>
      <c r="FC445" s="33"/>
      <c r="FD445" s="33"/>
      <c r="FE445" s="33"/>
      <c r="FF445" s="33"/>
      <c r="FG445" s="33"/>
      <c r="FH445" s="33"/>
      <c r="FI445" s="33"/>
      <c r="FJ445" s="33"/>
      <c r="FK445" s="33"/>
      <c r="FL445" s="33"/>
      <c r="FM445" s="33"/>
      <c r="FN445" s="33"/>
      <c r="FO445" s="33"/>
      <c r="FP445" s="33"/>
      <c r="FQ445" s="33"/>
      <c r="FR445" s="33"/>
      <c r="FS445" s="33"/>
      <c r="FT445" s="33"/>
      <c r="FU445" s="33"/>
      <c r="FV445" s="33"/>
      <c r="FW445" s="33"/>
      <c r="FX445" s="33"/>
      <c r="FY445" s="33"/>
      <c r="FZ445" s="33"/>
      <c r="GA445" s="33"/>
      <c r="GB445" s="33"/>
      <c r="GC445" s="33"/>
      <c r="GD445" s="33"/>
      <c r="GE445" s="33"/>
      <c r="GF445" s="33"/>
      <c r="GG445" s="33"/>
      <c r="GH445" s="33"/>
      <c r="GI445" s="33"/>
      <c r="GJ445" s="33"/>
      <c r="GK445" s="33"/>
      <c r="GL445" s="33"/>
      <c r="GM445" s="33"/>
      <c r="GN445" s="33"/>
      <c r="GO445" s="33"/>
      <c r="GP445" s="33"/>
      <c r="GQ445" s="33"/>
      <c r="GR445" s="33"/>
      <c r="GS445" s="33"/>
      <c r="GT445" s="33"/>
      <c r="GU445" s="33"/>
      <c r="GV445" s="33"/>
      <c r="GW445" s="33"/>
      <c r="GX445" s="33"/>
      <c r="GY445" s="33"/>
      <c r="GZ445" s="33"/>
      <c r="HA445" s="33"/>
      <c r="HB445" s="33"/>
      <c r="HC445" s="33"/>
      <c r="HD445" s="33"/>
      <c r="HE445" s="33"/>
      <c r="HF445" s="33"/>
      <c r="HG445" s="33"/>
      <c r="HH445" s="33"/>
      <c r="HI445" s="33"/>
      <c r="HJ445" s="33"/>
      <c r="HK445" s="33"/>
      <c r="HL445" s="33"/>
      <c r="HM445" s="33"/>
      <c r="HN445" s="33"/>
      <c r="HO445" s="33"/>
      <c r="HP445" s="33"/>
      <c r="HQ445" s="33"/>
      <c r="HR445" s="33"/>
      <c r="HS445" s="33"/>
      <c r="HT445" s="33"/>
      <c r="HU445" s="33"/>
      <c r="HV445" s="33"/>
      <c r="HW445" s="33"/>
      <c r="HX445" s="33"/>
      <c r="HY445" s="33"/>
      <c r="HZ445" s="33"/>
      <c r="IA445" s="33"/>
      <c r="IB445" s="33"/>
      <c r="IC445" s="33"/>
      <c r="ID445" s="33"/>
      <c r="IE445" s="33"/>
      <c r="IF445" s="33"/>
      <c r="IG445" s="33"/>
      <c r="IH445" s="33"/>
      <c r="II445" s="33"/>
      <c r="IJ445" s="33"/>
      <c r="IK445" s="33"/>
      <c r="IL445" s="33"/>
      <c r="IM445" s="33"/>
      <c r="IN445" s="33"/>
      <c r="IO445" s="33"/>
      <c r="IP445" s="33"/>
      <c r="IQ445" s="33"/>
      <c r="IR445" s="33"/>
      <c r="IS445" s="33"/>
      <c r="IT445" s="33"/>
      <c r="IU445" s="33"/>
      <c r="IV445" s="33"/>
      <c r="IW445" s="33"/>
      <c r="IX445" s="33"/>
      <c r="IY445" s="33"/>
      <c r="IZ445" s="33"/>
      <c r="JA445" s="33"/>
      <c r="JB445" s="33"/>
      <c r="JC445" s="33"/>
      <c r="JD445" s="33"/>
      <c r="JE445" s="33"/>
      <c r="JF445" s="33"/>
      <c r="JG445" s="33"/>
      <c r="JH445" s="33"/>
      <c r="JI445" s="33"/>
      <c r="JJ445" s="33"/>
      <c r="JK445" s="33"/>
      <c r="JL445" s="33"/>
      <c r="JM445" s="33"/>
      <c r="JN445" s="33"/>
      <c r="JO445" s="33"/>
      <c r="JP445" s="33"/>
      <c r="JQ445" s="33"/>
      <c r="JR445" s="33"/>
      <c r="KZ445" s="33"/>
      <c r="LA445" s="33"/>
      <c r="LB445" s="33"/>
      <c r="LC445" s="33"/>
      <c r="LD445" s="33"/>
      <c r="LE445" s="33"/>
      <c r="LF445" s="33"/>
      <c r="LG445" s="33"/>
      <c r="LH445" s="33"/>
      <c r="LI445" s="33"/>
      <c r="LJ445" s="33"/>
      <c r="LK445" s="33"/>
      <c r="LL445" s="33"/>
      <c r="LM445" s="33"/>
      <c r="LN445" s="33"/>
      <c r="LO445" s="33"/>
      <c r="LP445" s="44"/>
      <c r="LQ445" s="44"/>
      <c r="LR445" s="44"/>
      <c r="LS445" s="44"/>
      <c r="LT445" s="44"/>
      <c r="LU445" s="44"/>
      <c r="LV445" s="44"/>
    </row>
    <row r="446" spans="1:334" x14ac:dyDescent="0.2">
      <c r="A446" s="1" t="s">
        <v>9129</v>
      </c>
      <c r="B446" s="1" t="s">
        <v>9130</v>
      </c>
      <c r="D446" s="1" t="s">
        <v>9131</v>
      </c>
      <c r="E446" s="1" t="s">
        <v>9132</v>
      </c>
      <c r="F446" s="1" t="s">
        <v>688</v>
      </c>
      <c r="H446" s="1" t="s">
        <v>9133</v>
      </c>
      <c r="J446" s="1" t="s">
        <v>9134</v>
      </c>
      <c r="K446" s="1">
        <v>2010</v>
      </c>
      <c r="L446" s="1" t="s">
        <v>9135</v>
      </c>
      <c r="M446" s="1" t="s">
        <v>7659</v>
      </c>
      <c r="N446" s="17" t="s">
        <v>7945</v>
      </c>
      <c r="O446" s="33"/>
      <c r="P446" s="33"/>
      <c r="Q446" s="33"/>
      <c r="R446" s="33"/>
      <c r="S446" s="33">
        <v>7.33</v>
      </c>
      <c r="T446" s="33"/>
      <c r="U446" s="33">
        <v>6.25</v>
      </c>
      <c r="V446" s="33"/>
      <c r="W446" s="33"/>
      <c r="X446" s="33"/>
      <c r="Y446" s="33"/>
      <c r="Z446" s="33">
        <v>20.276195999999999</v>
      </c>
      <c r="AA446" s="33"/>
      <c r="AB446" s="33"/>
      <c r="AC446" s="33"/>
      <c r="AD446" s="33"/>
      <c r="AE446" s="33"/>
      <c r="AF446" s="33"/>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v>2.585493</v>
      </c>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c r="CN446" s="33"/>
      <c r="CO446" s="33">
        <v>2.353818</v>
      </c>
      <c r="CP446" s="33">
        <v>119.82231000000002</v>
      </c>
      <c r="CQ446" s="33"/>
      <c r="CR446" s="33"/>
      <c r="CS446" s="33">
        <v>4.1516160000000006</v>
      </c>
      <c r="CT446" s="33"/>
      <c r="CU446" s="33">
        <v>1002.4855259999999</v>
      </c>
      <c r="CV446" s="33">
        <v>68.242187999999999</v>
      </c>
      <c r="CW446" s="33"/>
      <c r="CX446" s="33"/>
      <c r="CY446" s="33">
        <v>306.99717599999997</v>
      </c>
      <c r="CZ446" s="33"/>
      <c r="DA446" s="33">
        <v>2.2611479999999999</v>
      </c>
      <c r="DB446" s="33"/>
      <c r="DC446" s="33"/>
      <c r="DD446" s="33"/>
      <c r="DE446" s="33"/>
      <c r="DF446" s="33"/>
      <c r="DG446" s="33"/>
      <c r="DH446" s="33"/>
      <c r="DI446" s="33"/>
      <c r="DJ446" s="33"/>
      <c r="DK446" s="33"/>
      <c r="DL446" s="33"/>
      <c r="DM446" s="33"/>
      <c r="DN446" s="33"/>
      <c r="DO446" s="33"/>
      <c r="DP446" s="33"/>
      <c r="DQ446" s="33"/>
      <c r="DR446" s="33"/>
      <c r="DS446" s="33"/>
      <c r="DT446" s="33"/>
      <c r="DU446" s="33"/>
      <c r="DV446" s="33"/>
      <c r="DW446" s="33"/>
      <c r="DX446" s="33"/>
      <c r="DY446" s="33"/>
      <c r="DZ446" s="33"/>
      <c r="EA446" s="33"/>
      <c r="EB446" s="33"/>
      <c r="EC446" s="33"/>
      <c r="ED446" s="33"/>
      <c r="EE446" s="33"/>
      <c r="EF446" s="33"/>
      <c r="EG446" s="33"/>
      <c r="EH446" s="33"/>
      <c r="EI446" s="33"/>
      <c r="EJ446" s="33"/>
      <c r="EK446" s="33"/>
      <c r="EL446" s="33"/>
      <c r="EM446" s="33"/>
      <c r="EN446" s="33"/>
      <c r="EO446" s="33"/>
      <c r="EP446" s="33"/>
      <c r="EQ446" s="33"/>
      <c r="ER446" s="33"/>
      <c r="ES446" s="33"/>
      <c r="ET446" s="33"/>
      <c r="EU446" s="33"/>
      <c r="EV446" s="33"/>
      <c r="EW446" s="33"/>
      <c r="EX446" s="33"/>
      <c r="EY446" s="33"/>
      <c r="EZ446" s="33"/>
      <c r="FA446" s="33"/>
      <c r="FB446" s="33"/>
      <c r="FC446" s="33"/>
      <c r="FD446" s="33"/>
      <c r="FE446" s="33"/>
      <c r="FF446" s="33"/>
      <c r="FG446" s="33"/>
      <c r="FH446" s="33"/>
      <c r="FI446" s="33"/>
      <c r="FJ446" s="33"/>
      <c r="FK446" s="33"/>
      <c r="FL446" s="33"/>
      <c r="FM446" s="33"/>
      <c r="FN446" s="33"/>
      <c r="FO446" s="33"/>
      <c r="FP446" s="33"/>
      <c r="FQ446" s="33"/>
      <c r="FR446" s="33"/>
      <c r="FS446" s="33"/>
      <c r="FT446" s="33"/>
      <c r="FU446" s="33"/>
      <c r="FV446" s="33"/>
      <c r="FW446" s="33"/>
      <c r="FX446" s="33"/>
      <c r="FY446" s="33"/>
      <c r="FZ446" s="33"/>
      <c r="GA446" s="33"/>
      <c r="GB446" s="33"/>
      <c r="GC446" s="33"/>
      <c r="GD446" s="33"/>
      <c r="GE446" s="33"/>
      <c r="GF446" s="33"/>
      <c r="GG446" s="33"/>
      <c r="GH446" s="33"/>
      <c r="GI446" s="33"/>
      <c r="GJ446" s="33"/>
      <c r="GK446" s="33"/>
      <c r="GL446" s="33"/>
      <c r="GM446" s="33"/>
      <c r="GN446" s="33"/>
      <c r="GO446" s="33"/>
      <c r="GP446" s="33"/>
      <c r="GQ446" s="33"/>
      <c r="GR446" s="33"/>
      <c r="GS446" s="33"/>
      <c r="GT446" s="33"/>
      <c r="GU446" s="33"/>
      <c r="GV446" s="33"/>
      <c r="GW446" s="33"/>
      <c r="GX446" s="33"/>
      <c r="GY446" s="33"/>
      <c r="GZ446" s="33"/>
      <c r="HA446" s="33"/>
      <c r="HB446" s="33"/>
      <c r="HC446" s="33"/>
      <c r="HD446" s="33"/>
      <c r="HE446" s="33"/>
      <c r="HF446" s="33"/>
      <c r="HG446" s="33"/>
      <c r="HH446" s="33"/>
      <c r="HI446" s="33"/>
      <c r="HJ446" s="33"/>
      <c r="HK446" s="33"/>
      <c r="HL446" s="33"/>
      <c r="HM446" s="33"/>
      <c r="HN446" s="33"/>
      <c r="HO446" s="33"/>
      <c r="HP446" s="33"/>
      <c r="HQ446" s="33"/>
      <c r="HR446" s="33"/>
      <c r="HS446" s="33"/>
      <c r="HT446" s="33"/>
      <c r="HU446" s="33"/>
      <c r="HV446" s="33"/>
      <c r="HW446" s="33"/>
      <c r="HX446" s="33"/>
      <c r="HY446" s="33"/>
      <c r="HZ446" s="33"/>
      <c r="IA446" s="33"/>
      <c r="IB446" s="33"/>
      <c r="IC446" s="33"/>
      <c r="ID446" s="33"/>
      <c r="IE446" s="33"/>
      <c r="IF446" s="33"/>
      <c r="IG446" s="33"/>
      <c r="IH446" s="33"/>
      <c r="II446" s="33"/>
      <c r="IJ446" s="33"/>
      <c r="IK446" s="33"/>
      <c r="IL446" s="33"/>
      <c r="IM446" s="33"/>
      <c r="IN446" s="33"/>
      <c r="IO446" s="33"/>
      <c r="IP446" s="33"/>
      <c r="IQ446" s="33"/>
      <c r="IR446" s="33"/>
      <c r="IS446" s="33"/>
      <c r="IT446" s="33"/>
      <c r="IU446" s="33"/>
      <c r="IV446" s="33"/>
      <c r="IW446" s="33"/>
      <c r="IX446" s="33"/>
      <c r="IY446" s="33"/>
      <c r="IZ446" s="33"/>
      <c r="JA446" s="33"/>
      <c r="JB446" s="33"/>
      <c r="JC446" s="33"/>
      <c r="JD446" s="33"/>
      <c r="JE446" s="33"/>
      <c r="JF446" s="33"/>
      <c r="JG446" s="33"/>
      <c r="JH446" s="33"/>
      <c r="JI446" s="33"/>
      <c r="JJ446" s="33"/>
      <c r="JK446" s="33"/>
      <c r="JL446" s="33"/>
      <c r="JM446" s="33"/>
      <c r="JN446" s="33"/>
      <c r="JO446" s="33"/>
      <c r="JP446" s="33"/>
      <c r="JQ446" s="33"/>
      <c r="JR446" s="33"/>
      <c r="KZ446" s="33"/>
      <c r="LA446" s="33"/>
      <c r="LB446" s="33"/>
      <c r="LC446" s="33"/>
      <c r="LD446" s="33"/>
      <c r="LE446" s="33"/>
      <c r="LF446" s="33"/>
      <c r="LG446" s="33"/>
      <c r="LH446" s="33"/>
      <c r="LI446" s="33"/>
      <c r="LJ446" s="33"/>
      <c r="LK446" s="33"/>
      <c r="LL446" s="33"/>
      <c r="LM446" s="33"/>
      <c r="LN446" s="33"/>
      <c r="LO446" s="33"/>
      <c r="LP446" s="44"/>
      <c r="LQ446" s="44"/>
      <c r="LR446" s="44"/>
      <c r="LS446" s="44"/>
      <c r="LT446" s="44"/>
      <c r="LU446" s="44"/>
      <c r="LV446" s="44"/>
    </row>
    <row r="447" spans="1:334" x14ac:dyDescent="0.2">
      <c r="A447" s="1" t="s">
        <v>9136</v>
      </c>
      <c r="B447" s="1" t="s">
        <v>9130</v>
      </c>
      <c r="D447" s="1" t="s">
        <v>9137</v>
      </c>
      <c r="E447" s="1" t="s">
        <v>8037</v>
      </c>
      <c r="F447" s="1" t="s">
        <v>688</v>
      </c>
      <c r="H447" s="1" t="s">
        <v>9138</v>
      </c>
      <c r="J447" s="1" t="s">
        <v>9134</v>
      </c>
      <c r="K447" s="1">
        <v>2010</v>
      </c>
      <c r="L447" s="1" t="s">
        <v>9139</v>
      </c>
      <c r="M447" s="1" t="s">
        <v>7659</v>
      </c>
      <c r="N447" s="17" t="s">
        <v>7945</v>
      </c>
      <c r="O447" s="33"/>
      <c r="P447" s="33"/>
      <c r="Q447" s="33"/>
      <c r="R447" s="33"/>
      <c r="S447" s="33">
        <v>8.64</v>
      </c>
      <c r="T447" s="33"/>
      <c r="U447" s="33">
        <v>6.25</v>
      </c>
      <c r="V447" s="33"/>
      <c r="W447" s="33"/>
      <c r="X447" s="33"/>
      <c r="Y447" s="33"/>
      <c r="Z447" s="33">
        <v>18.783615999999999</v>
      </c>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c r="CN447" s="33"/>
      <c r="CO447" s="33">
        <v>2.165232</v>
      </c>
      <c r="CP447" s="33">
        <v>97.307535999999999</v>
      </c>
      <c r="CQ447" s="33"/>
      <c r="CR447" s="33"/>
      <c r="CS447" s="33">
        <v>3.6452640000000001</v>
      </c>
      <c r="CT447" s="33"/>
      <c r="CU447" s="33">
        <v>754.65187200000003</v>
      </c>
      <c r="CV447" s="33">
        <v>57.648159999999997</v>
      </c>
      <c r="CW447" s="33"/>
      <c r="CX447" s="33"/>
      <c r="CY447" s="33">
        <v>289.71169600000002</v>
      </c>
      <c r="CZ447" s="33"/>
      <c r="DA447" s="33">
        <v>1.955104</v>
      </c>
      <c r="DB447" s="33"/>
      <c r="DC447" s="33"/>
      <c r="DD447" s="33"/>
      <c r="DE447" s="33"/>
      <c r="DF447" s="33"/>
      <c r="DG447" s="33"/>
      <c r="DH447" s="33"/>
      <c r="DI447" s="33"/>
      <c r="DJ447" s="33"/>
      <c r="DK447" s="33"/>
      <c r="DL447" s="33"/>
      <c r="DM447" s="33"/>
      <c r="DN447" s="33"/>
      <c r="DO447" s="33"/>
      <c r="DP447" s="33"/>
      <c r="DQ447" s="33"/>
      <c r="DR447" s="33"/>
      <c r="DS447" s="33"/>
      <c r="DT447" s="33"/>
      <c r="DU447" s="33"/>
      <c r="DV447" s="33"/>
      <c r="DW447" s="33"/>
      <c r="DX447" s="33"/>
      <c r="DY447" s="33"/>
      <c r="DZ447" s="33"/>
      <c r="EA447" s="33"/>
      <c r="EB447" s="33"/>
      <c r="EC447" s="33"/>
      <c r="ED447" s="33"/>
      <c r="EE447" s="33"/>
      <c r="EF447" s="33"/>
      <c r="EG447" s="33"/>
      <c r="EH447" s="33"/>
      <c r="EI447" s="33"/>
      <c r="EJ447" s="33"/>
      <c r="EK447" s="33"/>
      <c r="EL447" s="33"/>
      <c r="EM447" s="33"/>
      <c r="EN447" s="33"/>
      <c r="EO447" s="33"/>
      <c r="EP447" s="33"/>
      <c r="EQ447" s="33"/>
      <c r="ER447" s="33"/>
      <c r="ES447" s="33"/>
      <c r="ET447" s="33"/>
      <c r="EU447" s="33"/>
      <c r="EV447" s="33"/>
      <c r="EW447" s="33"/>
      <c r="EX447" s="33"/>
      <c r="EY447" s="33"/>
      <c r="EZ447" s="33"/>
      <c r="FA447" s="33"/>
      <c r="FB447" s="33"/>
      <c r="FC447" s="33"/>
      <c r="FD447" s="33"/>
      <c r="FE447" s="33"/>
      <c r="FF447" s="33"/>
      <c r="FG447" s="33"/>
      <c r="FH447" s="33"/>
      <c r="FI447" s="33"/>
      <c r="FJ447" s="33"/>
      <c r="FK447" s="33"/>
      <c r="FL447" s="33"/>
      <c r="FM447" s="33"/>
      <c r="FN447" s="33"/>
      <c r="FO447" s="33"/>
      <c r="FP447" s="33"/>
      <c r="FQ447" s="33"/>
      <c r="FR447" s="33"/>
      <c r="FS447" s="33"/>
      <c r="FT447" s="33"/>
      <c r="FU447" s="33"/>
      <c r="FV447" s="33"/>
      <c r="FW447" s="33"/>
      <c r="FX447" s="33"/>
      <c r="FY447" s="33"/>
      <c r="FZ447" s="33"/>
      <c r="GA447" s="33"/>
      <c r="GB447" s="33"/>
      <c r="GC447" s="33"/>
      <c r="GD447" s="33"/>
      <c r="GE447" s="33"/>
      <c r="GF447" s="33"/>
      <c r="GG447" s="33"/>
      <c r="GH447" s="33"/>
      <c r="GI447" s="33"/>
      <c r="GJ447" s="33"/>
      <c r="GK447" s="33"/>
      <c r="GL447" s="33"/>
      <c r="GM447" s="33"/>
      <c r="GN447" s="33"/>
      <c r="GO447" s="33"/>
      <c r="GP447" s="33"/>
      <c r="GQ447" s="33"/>
      <c r="GR447" s="33"/>
      <c r="GS447" s="33"/>
      <c r="GT447" s="33"/>
      <c r="GU447" s="33"/>
      <c r="GV447" s="33"/>
      <c r="GW447" s="33"/>
      <c r="GX447" s="33"/>
      <c r="GY447" s="33"/>
      <c r="GZ447" s="33"/>
      <c r="HA447" s="33"/>
      <c r="HB447" s="33"/>
      <c r="HC447" s="33"/>
      <c r="HD447" s="33"/>
      <c r="HE447" s="33"/>
      <c r="HF447" s="33"/>
      <c r="HG447" s="33"/>
      <c r="HH447" s="33"/>
      <c r="HI447" s="33"/>
      <c r="HJ447" s="33"/>
      <c r="HK447" s="33"/>
      <c r="HL447" s="33"/>
      <c r="HM447" s="33"/>
      <c r="HN447" s="33"/>
      <c r="HO447" s="33"/>
      <c r="HP447" s="33"/>
      <c r="HQ447" s="33"/>
      <c r="HR447" s="33"/>
      <c r="HS447" s="33"/>
      <c r="HT447" s="33"/>
      <c r="HU447" s="33"/>
      <c r="HV447" s="33"/>
      <c r="HW447" s="33"/>
      <c r="HX447" s="33"/>
      <c r="HY447" s="33"/>
      <c r="HZ447" s="33"/>
      <c r="IA447" s="33"/>
      <c r="IB447" s="33"/>
      <c r="IC447" s="33"/>
      <c r="ID447" s="33"/>
      <c r="IE447" s="33"/>
      <c r="IF447" s="33"/>
      <c r="IG447" s="33"/>
      <c r="IH447" s="33"/>
      <c r="II447" s="33"/>
      <c r="IJ447" s="33"/>
      <c r="IK447" s="33"/>
      <c r="IL447" s="33"/>
      <c r="IM447" s="33"/>
      <c r="IN447" s="33"/>
      <c r="IO447" s="33"/>
      <c r="IP447" s="33"/>
      <c r="IQ447" s="33"/>
      <c r="IR447" s="33"/>
      <c r="IS447" s="33"/>
      <c r="IT447" s="33"/>
      <c r="IU447" s="33"/>
      <c r="IV447" s="33"/>
      <c r="IW447" s="33"/>
      <c r="IX447" s="33"/>
      <c r="IY447" s="33"/>
      <c r="IZ447" s="33"/>
      <c r="JA447" s="33"/>
      <c r="JB447" s="33"/>
      <c r="JC447" s="33"/>
      <c r="JD447" s="33"/>
      <c r="JE447" s="33"/>
      <c r="JF447" s="33"/>
      <c r="JG447" s="33"/>
      <c r="JH447" s="33"/>
      <c r="JI447" s="33"/>
      <c r="JJ447" s="33"/>
      <c r="JK447" s="33"/>
      <c r="JL447" s="33"/>
      <c r="JM447" s="33"/>
      <c r="JN447" s="33"/>
      <c r="JO447" s="33"/>
      <c r="JP447" s="33"/>
      <c r="JQ447" s="33"/>
      <c r="JR447" s="33"/>
      <c r="KZ447" s="33"/>
      <c r="LA447" s="33"/>
      <c r="LB447" s="33"/>
      <c r="LC447" s="33"/>
      <c r="LD447" s="33"/>
      <c r="LE447" s="33"/>
      <c r="LF447" s="33"/>
      <c r="LG447" s="33"/>
      <c r="LH447" s="33"/>
      <c r="LI447" s="33"/>
      <c r="LJ447" s="33"/>
      <c r="LK447" s="33"/>
      <c r="LL447" s="33"/>
      <c r="LM447" s="33"/>
      <c r="LN447" s="33"/>
      <c r="LO447" s="33"/>
      <c r="LP447" s="44"/>
      <c r="LQ447" s="44"/>
      <c r="LR447" s="44"/>
      <c r="LS447" s="44"/>
      <c r="LT447" s="44"/>
      <c r="LU447" s="44"/>
      <c r="LV447" s="44"/>
    </row>
    <row r="448" spans="1:334" x14ac:dyDescent="0.2">
      <c r="A448" s="1" t="s">
        <v>9140</v>
      </c>
      <c r="B448" s="1" t="s">
        <v>9141</v>
      </c>
      <c r="D448" s="1" t="s">
        <v>9122</v>
      </c>
      <c r="E448" s="1" t="s">
        <v>7</v>
      </c>
      <c r="F448" s="1" t="s">
        <v>688</v>
      </c>
      <c r="I448" s="1">
        <v>2</v>
      </c>
      <c r="J448" s="1" t="s">
        <v>9142</v>
      </c>
      <c r="K448" s="1">
        <v>2010</v>
      </c>
      <c r="L448" s="1" t="s">
        <v>9143</v>
      </c>
      <c r="M448" s="1" t="s">
        <v>7659</v>
      </c>
      <c r="N448" s="17" t="s">
        <v>7945</v>
      </c>
      <c r="O448" s="33"/>
      <c r="P448" s="33"/>
      <c r="Q448" s="33"/>
      <c r="R448" s="33"/>
      <c r="S448" s="33"/>
      <c r="T448" s="33">
        <v>90</v>
      </c>
      <c r="U448" s="33"/>
      <c r="V448" s="33"/>
      <c r="W448" s="33"/>
      <c r="X448" s="33"/>
      <c r="Y448" s="33"/>
      <c r="Z448" s="33"/>
      <c r="AA448" s="33"/>
      <c r="AB448" s="33"/>
      <c r="AC448" s="33"/>
      <c r="AD448" s="33"/>
      <c r="AE448" s="33"/>
      <c r="AF448" s="33"/>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c r="CN448" s="33"/>
      <c r="CO448" s="33"/>
      <c r="CP448" s="33"/>
      <c r="CQ448" s="33"/>
      <c r="CR448" s="33"/>
      <c r="CS448" s="33"/>
      <c r="CT448" s="33"/>
      <c r="CU448" s="33"/>
      <c r="CV448" s="33"/>
      <c r="CW448" s="33"/>
      <c r="CX448" s="33"/>
      <c r="CY448" s="33"/>
      <c r="CZ448" s="33"/>
      <c r="DA448" s="33"/>
      <c r="DB448" s="33"/>
      <c r="DC448" s="33"/>
      <c r="DD448" s="33"/>
      <c r="DE448" s="33"/>
      <c r="DF448" s="33"/>
      <c r="DG448" s="33"/>
      <c r="DH448" s="33"/>
      <c r="DI448" s="33"/>
      <c r="DJ448" s="33"/>
      <c r="DK448" s="33"/>
      <c r="DL448" s="33"/>
      <c r="DM448" s="33"/>
      <c r="DN448" s="33"/>
      <c r="DO448" s="33"/>
      <c r="DP448" s="33"/>
      <c r="DQ448" s="33"/>
      <c r="DR448" s="33"/>
      <c r="DS448" s="33"/>
      <c r="DT448" s="33"/>
      <c r="DU448" s="33"/>
      <c r="DV448" s="33"/>
      <c r="DW448" s="33"/>
      <c r="DX448" s="33"/>
      <c r="DY448" s="33"/>
      <c r="DZ448" s="33"/>
      <c r="EA448" s="33"/>
      <c r="EB448" s="33"/>
      <c r="EC448" s="33"/>
      <c r="ED448" s="33"/>
      <c r="EE448" s="33"/>
      <c r="EF448" s="33"/>
      <c r="EG448" s="33"/>
      <c r="EH448" s="33"/>
      <c r="EI448" s="33">
        <v>148</v>
      </c>
      <c r="EJ448" s="33"/>
      <c r="EK448" s="33"/>
      <c r="EL448" s="33"/>
      <c r="EM448" s="33"/>
      <c r="EN448" s="33"/>
      <c r="EO448" s="33">
        <v>16</v>
      </c>
      <c r="EP448" s="33">
        <v>17</v>
      </c>
      <c r="EQ448" s="33">
        <v>120</v>
      </c>
      <c r="ER448" s="33"/>
      <c r="ES448" s="33"/>
      <c r="ET448" s="33"/>
      <c r="EU448" s="33"/>
      <c r="EV448" s="33"/>
      <c r="EW448" s="33"/>
      <c r="EX448" s="33"/>
      <c r="EY448" s="33"/>
      <c r="EZ448" s="33"/>
      <c r="FA448" s="33"/>
      <c r="FB448" s="33"/>
      <c r="FC448" s="33"/>
      <c r="FD448" s="33"/>
      <c r="FE448" s="33"/>
      <c r="FF448" s="33"/>
      <c r="FG448" s="33"/>
      <c r="FH448" s="33"/>
      <c r="FI448" s="33"/>
      <c r="FJ448" s="33"/>
      <c r="FK448" s="33"/>
      <c r="FL448" s="33"/>
      <c r="FM448" s="33"/>
      <c r="FN448" s="33"/>
      <c r="FO448" s="33"/>
      <c r="FP448" s="33"/>
      <c r="FQ448" s="33"/>
      <c r="FR448" s="33"/>
      <c r="FS448" s="33"/>
      <c r="FT448" s="33"/>
      <c r="FU448" s="33"/>
      <c r="FV448" s="33"/>
      <c r="FW448" s="33"/>
      <c r="FX448" s="33"/>
      <c r="FY448" s="33"/>
      <c r="FZ448" s="33"/>
      <c r="GA448" s="33"/>
      <c r="GB448" s="33"/>
      <c r="GC448" s="33"/>
      <c r="GD448" s="33"/>
      <c r="GE448" s="33"/>
      <c r="GF448" s="33"/>
      <c r="GG448" s="33"/>
      <c r="GH448" s="33"/>
      <c r="GI448" s="33"/>
      <c r="GJ448" s="33"/>
      <c r="GK448" s="33"/>
      <c r="GL448" s="33"/>
      <c r="GM448" s="33"/>
      <c r="GN448" s="33"/>
      <c r="GO448" s="33"/>
      <c r="GP448" s="33"/>
      <c r="GQ448" s="33"/>
      <c r="GR448" s="33"/>
      <c r="GS448" s="33"/>
      <c r="GT448" s="33"/>
      <c r="GU448" s="33"/>
      <c r="GV448" s="33"/>
      <c r="GW448" s="33"/>
      <c r="GX448" s="33"/>
      <c r="GY448" s="33"/>
      <c r="GZ448" s="33"/>
      <c r="HA448" s="33"/>
      <c r="HB448" s="33"/>
      <c r="HC448" s="33"/>
      <c r="HD448" s="33"/>
      <c r="HE448" s="33"/>
      <c r="HF448" s="33"/>
      <c r="HG448" s="33"/>
      <c r="HH448" s="33"/>
      <c r="HI448" s="33"/>
      <c r="HJ448" s="33"/>
      <c r="HK448" s="33"/>
      <c r="HL448" s="33"/>
      <c r="HM448" s="33"/>
      <c r="HN448" s="33"/>
      <c r="HO448" s="33"/>
      <c r="HP448" s="33"/>
      <c r="HQ448" s="33"/>
      <c r="HR448" s="33"/>
      <c r="HS448" s="33"/>
      <c r="HT448" s="33"/>
      <c r="HU448" s="33"/>
      <c r="HV448" s="33"/>
      <c r="HW448" s="33"/>
      <c r="HX448" s="33"/>
      <c r="HY448" s="33"/>
      <c r="HZ448" s="33"/>
      <c r="IA448" s="33"/>
      <c r="IB448" s="33"/>
      <c r="IC448" s="33"/>
      <c r="ID448" s="33"/>
      <c r="IE448" s="33"/>
      <c r="IF448" s="33"/>
      <c r="IG448" s="33"/>
      <c r="IH448" s="33"/>
      <c r="II448" s="33"/>
      <c r="IJ448" s="33"/>
      <c r="IK448" s="33"/>
      <c r="IL448" s="33"/>
      <c r="IM448" s="33"/>
      <c r="IN448" s="33"/>
      <c r="IO448" s="33"/>
      <c r="IP448" s="33"/>
      <c r="IQ448" s="33"/>
      <c r="IR448" s="33"/>
      <c r="IS448" s="33"/>
      <c r="IT448" s="33"/>
      <c r="IU448" s="33"/>
      <c r="IV448" s="33"/>
      <c r="IW448" s="33"/>
      <c r="IX448" s="33"/>
      <c r="IY448" s="33"/>
      <c r="IZ448" s="33"/>
      <c r="JA448" s="33"/>
      <c r="JB448" s="33"/>
      <c r="JC448" s="33"/>
      <c r="JD448" s="33"/>
      <c r="JE448" s="33"/>
      <c r="JF448" s="33"/>
      <c r="JG448" s="33"/>
      <c r="JH448" s="33"/>
      <c r="JI448" s="33"/>
      <c r="JJ448" s="33"/>
      <c r="JK448" s="33"/>
      <c r="JL448" s="33"/>
      <c r="JM448" s="33"/>
      <c r="JN448" s="33"/>
      <c r="JO448" s="33"/>
      <c r="JP448" s="33"/>
      <c r="JQ448" s="33"/>
      <c r="JR448" s="33"/>
      <c r="KZ448" s="33"/>
      <c r="LA448" s="33"/>
      <c r="LB448" s="33"/>
      <c r="LC448" s="33"/>
      <c r="LD448" s="33"/>
      <c r="LE448" s="33"/>
      <c r="LF448" s="33"/>
      <c r="LG448" s="33"/>
      <c r="LH448" s="33"/>
      <c r="LI448" s="33"/>
      <c r="LJ448" s="33"/>
      <c r="LK448" s="33"/>
      <c r="LL448" s="33"/>
      <c r="LM448" s="33"/>
      <c r="LN448" s="33"/>
      <c r="LO448" s="33"/>
      <c r="LP448" s="44"/>
      <c r="LQ448" s="44"/>
      <c r="LR448" s="44"/>
      <c r="LS448" s="44"/>
      <c r="LT448" s="44"/>
      <c r="LU448" s="44"/>
      <c r="LV448" s="44"/>
    </row>
    <row r="449" spans="1:334" x14ac:dyDescent="0.2">
      <c r="A449" s="1" t="s">
        <v>9144</v>
      </c>
      <c r="B449" s="1" t="s">
        <v>9141</v>
      </c>
      <c r="D449" s="1" t="s">
        <v>9118</v>
      </c>
      <c r="E449" s="1" t="s">
        <v>7</v>
      </c>
      <c r="F449" s="1" t="s">
        <v>6268</v>
      </c>
      <c r="I449" s="1">
        <v>2</v>
      </c>
      <c r="J449" s="1" t="s">
        <v>9142</v>
      </c>
      <c r="K449" s="1">
        <v>2010</v>
      </c>
      <c r="L449" s="1" t="s">
        <v>9143</v>
      </c>
      <c r="M449" s="1" t="s">
        <v>7659</v>
      </c>
      <c r="N449" s="17" t="s">
        <v>7945</v>
      </c>
      <c r="O449" s="33"/>
      <c r="P449" s="33"/>
      <c r="Q449" s="33"/>
      <c r="R449" s="33"/>
      <c r="S449" s="33"/>
      <c r="T449" s="33">
        <v>87</v>
      </c>
      <c r="U449" s="33"/>
      <c r="V449" s="33"/>
      <c r="W449" s="33"/>
      <c r="X449" s="33"/>
      <c r="Y449" s="33"/>
      <c r="Z449" s="33"/>
      <c r="AA449" s="33"/>
      <c r="AB449" s="33"/>
      <c r="AC449" s="33"/>
      <c r="AD449" s="33"/>
      <c r="AE449" s="33"/>
      <c r="AF449" s="33"/>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c r="CN449" s="33"/>
      <c r="CO449" s="33"/>
      <c r="CP449" s="33"/>
      <c r="CQ449" s="33"/>
      <c r="CR449" s="33"/>
      <c r="CS449" s="33"/>
      <c r="CT449" s="33"/>
      <c r="CU449" s="33"/>
      <c r="CV449" s="33"/>
      <c r="CW449" s="33"/>
      <c r="CX449" s="33"/>
      <c r="CY449" s="33"/>
      <c r="CZ449" s="33"/>
      <c r="DA449" s="33"/>
      <c r="DB449" s="33"/>
      <c r="DC449" s="33"/>
      <c r="DD449" s="33"/>
      <c r="DE449" s="33"/>
      <c r="DF449" s="33"/>
      <c r="DG449" s="33"/>
      <c r="DH449" s="33"/>
      <c r="DI449" s="33"/>
      <c r="DJ449" s="33"/>
      <c r="DK449" s="33"/>
      <c r="DL449" s="33"/>
      <c r="DM449" s="33"/>
      <c r="DN449" s="33"/>
      <c r="DO449" s="33"/>
      <c r="DP449" s="33"/>
      <c r="DQ449" s="33"/>
      <c r="DR449" s="33"/>
      <c r="DS449" s="33"/>
      <c r="DT449" s="33"/>
      <c r="DU449" s="33"/>
      <c r="DV449" s="33"/>
      <c r="DW449" s="33"/>
      <c r="DX449" s="33"/>
      <c r="DY449" s="33"/>
      <c r="DZ449" s="33"/>
      <c r="EA449" s="33"/>
      <c r="EB449" s="33"/>
      <c r="EC449" s="33"/>
      <c r="ED449" s="33"/>
      <c r="EE449" s="33"/>
      <c r="EF449" s="33"/>
      <c r="EG449" s="33"/>
      <c r="EH449" s="33"/>
      <c r="EI449" s="33">
        <v>103</v>
      </c>
      <c r="EJ449" s="33"/>
      <c r="EK449" s="33"/>
      <c r="EL449" s="33"/>
      <c r="EM449" s="33"/>
      <c r="EN449" s="33"/>
      <c r="EO449" s="33">
        <v>40</v>
      </c>
      <c r="EP449" s="33">
        <v>16</v>
      </c>
      <c r="EQ449" s="33">
        <v>51</v>
      </c>
      <c r="ER449" s="33"/>
      <c r="ES449" s="33"/>
      <c r="ET449" s="33"/>
      <c r="EU449" s="33"/>
      <c r="EV449" s="33"/>
      <c r="EW449" s="33"/>
      <c r="EX449" s="33"/>
      <c r="EY449" s="33"/>
      <c r="EZ449" s="33"/>
      <c r="FA449" s="33"/>
      <c r="FB449" s="33"/>
      <c r="FC449" s="33"/>
      <c r="FD449" s="33"/>
      <c r="FE449" s="33"/>
      <c r="FF449" s="33"/>
      <c r="FG449" s="33"/>
      <c r="FH449" s="33"/>
      <c r="FI449" s="33"/>
      <c r="FJ449" s="33"/>
      <c r="FK449" s="33"/>
      <c r="FL449" s="33"/>
      <c r="FM449" s="33"/>
      <c r="FN449" s="33"/>
      <c r="FO449" s="33"/>
      <c r="FP449" s="33"/>
      <c r="FQ449" s="33"/>
      <c r="FR449" s="33"/>
      <c r="FS449" s="33"/>
      <c r="FT449" s="33"/>
      <c r="FU449" s="33"/>
      <c r="FV449" s="33"/>
      <c r="FW449" s="33"/>
      <c r="FX449" s="33"/>
      <c r="FY449" s="33"/>
      <c r="FZ449" s="33"/>
      <c r="GA449" s="33"/>
      <c r="GB449" s="33"/>
      <c r="GC449" s="33"/>
      <c r="GD449" s="33"/>
      <c r="GE449" s="33"/>
      <c r="GF449" s="33"/>
      <c r="GG449" s="33"/>
      <c r="GH449" s="33"/>
      <c r="GI449" s="33"/>
      <c r="GJ449" s="33"/>
      <c r="GK449" s="33"/>
      <c r="GL449" s="33"/>
      <c r="GM449" s="33"/>
      <c r="GN449" s="33"/>
      <c r="GO449" s="33"/>
      <c r="GP449" s="33"/>
      <c r="GQ449" s="33"/>
      <c r="GR449" s="33"/>
      <c r="GS449" s="33"/>
      <c r="GT449" s="33"/>
      <c r="GU449" s="33"/>
      <c r="GV449" s="33"/>
      <c r="GW449" s="33"/>
      <c r="GX449" s="33"/>
      <c r="GY449" s="33"/>
      <c r="GZ449" s="33"/>
      <c r="HA449" s="33"/>
      <c r="HB449" s="33"/>
      <c r="HC449" s="33"/>
      <c r="HD449" s="33"/>
      <c r="HE449" s="33"/>
      <c r="HF449" s="33"/>
      <c r="HG449" s="33"/>
      <c r="HH449" s="33"/>
      <c r="HI449" s="33"/>
      <c r="HJ449" s="33"/>
      <c r="HK449" s="33"/>
      <c r="HL449" s="33"/>
      <c r="HM449" s="33"/>
      <c r="HN449" s="33"/>
      <c r="HO449" s="33"/>
      <c r="HP449" s="33"/>
      <c r="HQ449" s="33"/>
      <c r="HR449" s="33"/>
      <c r="HS449" s="33"/>
      <c r="HT449" s="33"/>
      <c r="HU449" s="33"/>
      <c r="HV449" s="33"/>
      <c r="HW449" s="33"/>
      <c r="HX449" s="33"/>
      <c r="HY449" s="33"/>
      <c r="HZ449" s="33"/>
      <c r="IA449" s="33"/>
      <c r="IB449" s="33"/>
      <c r="IC449" s="33"/>
      <c r="ID449" s="33"/>
      <c r="IE449" s="33"/>
      <c r="IF449" s="33"/>
      <c r="IG449" s="33"/>
      <c r="IH449" s="33"/>
      <c r="II449" s="33"/>
      <c r="IJ449" s="33"/>
      <c r="IK449" s="33"/>
      <c r="IL449" s="33"/>
      <c r="IM449" s="33"/>
      <c r="IN449" s="33"/>
      <c r="IO449" s="33"/>
      <c r="IP449" s="33"/>
      <c r="IQ449" s="33"/>
      <c r="IR449" s="33"/>
      <c r="IS449" s="33"/>
      <c r="IT449" s="33"/>
      <c r="IU449" s="33"/>
      <c r="IV449" s="33"/>
      <c r="IW449" s="33"/>
      <c r="IX449" s="33"/>
      <c r="IY449" s="33"/>
      <c r="IZ449" s="33"/>
      <c r="JA449" s="33"/>
      <c r="JB449" s="33"/>
      <c r="JC449" s="33"/>
      <c r="JD449" s="33"/>
      <c r="JE449" s="33"/>
      <c r="JF449" s="33"/>
      <c r="JG449" s="33"/>
      <c r="JH449" s="33"/>
      <c r="JI449" s="33"/>
      <c r="JJ449" s="33"/>
      <c r="JK449" s="33"/>
      <c r="JL449" s="33"/>
      <c r="JM449" s="33"/>
      <c r="JN449" s="33"/>
      <c r="JO449" s="33"/>
      <c r="JP449" s="33"/>
      <c r="JQ449" s="33"/>
      <c r="JR449" s="33"/>
      <c r="KZ449" s="33"/>
      <c r="LA449" s="33"/>
      <c r="LB449" s="33"/>
      <c r="LC449" s="33"/>
      <c r="LD449" s="33"/>
      <c r="LE449" s="33"/>
      <c r="LF449" s="33"/>
      <c r="LG449" s="33"/>
      <c r="LH449" s="33"/>
      <c r="LI449" s="33"/>
      <c r="LJ449" s="33"/>
      <c r="LK449" s="33"/>
      <c r="LL449" s="33"/>
      <c r="LM449" s="33"/>
      <c r="LN449" s="33"/>
      <c r="LO449" s="33"/>
      <c r="LP449" s="44"/>
      <c r="LQ449" s="44"/>
      <c r="LR449" s="44"/>
      <c r="LS449" s="44"/>
      <c r="LT449" s="44"/>
      <c r="LU449" s="44"/>
      <c r="LV449" s="44"/>
    </row>
    <row r="450" spans="1:334" x14ac:dyDescent="0.2">
      <c r="A450" s="1" t="s">
        <v>9145</v>
      </c>
      <c r="B450" s="1" t="s">
        <v>9141</v>
      </c>
      <c r="D450" s="1" t="s">
        <v>9146</v>
      </c>
      <c r="E450" s="1" t="s">
        <v>7</v>
      </c>
      <c r="F450" s="1" t="s">
        <v>6263</v>
      </c>
      <c r="I450" s="1">
        <v>2</v>
      </c>
      <c r="J450" s="1" t="s">
        <v>9142</v>
      </c>
      <c r="K450" s="1">
        <v>2010</v>
      </c>
      <c r="L450" s="1" t="s">
        <v>9143</v>
      </c>
      <c r="M450" s="1" t="s">
        <v>7659</v>
      </c>
      <c r="N450" s="17" t="s">
        <v>7945</v>
      </c>
      <c r="O450" s="33"/>
      <c r="P450" s="33"/>
      <c r="Q450" s="33"/>
      <c r="R450" s="33"/>
      <c r="S450" s="33"/>
      <c r="T450" s="33">
        <v>88</v>
      </c>
      <c r="U450" s="33"/>
      <c r="V450" s="33"/>
      <c r="W450" s="33"/>
      <c r="X450" s="33"/>
      <c r="Y450" s="33"/>
      <c r="Z450" s="33"/>
      <c r="AA450" s="33"/>
      <c r="AB450" s="33"/>
      <c r="AC450" s="33"/>
      <c r="AD450" s="33"/>
      <c r="AE450" s="33"/>
      <c r="AF450" s="33"/>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c r="CA450" s="33"/>
      <c r="CB450" s="33"/>
      <c r="CC450" s="33"/>
      <c r="CD450" s="33"/>
      <c r="CE450" s="33"/>
      <c r="CF450" s="33"/>
      <c r="CG450" s="33"/>
      <c r="CH450" s="33"/>
      <c r="CI450" s="33"/>
      <c r="CJ450" s="33"/>
      <c r="CK450" s="33"/>
      <c r="CL450" s="33"/>
      <c r="CM450" s="33"/>
      <c r="CN450" s="33"/>
      <c r="CO450" s="33"/>
      <c r="CP450" s="33"/>
      <c r="CQ450" s="33"/>
      <c r="CR450" s="33"/>
      <c r="CS450" s="33"/>
      <c r="CT450" s="33"/>
      <c r="CU450" s="33"/>
      <c r="CV450" s="33"/>
      <c r="CW450" s="33"/>
      <c r="CX450" s="33"/>
      <c r="CY450" s="33"/>
      <c r="CZ450" s="33"/>
      <c r="DA450" s="33"/>
      <c r="DB450" s="33"/>
      <c r="DC450" s="33"/>
      <c r="DD450" s="33"/>
      <c r="DE450" s="33"/>
      <c r="DF450" s="33"/>
      <c r="DG450" s="33"/>
      <c r="DH450" s="33"/>
      <c r="DI450" s="33"/>
      <c r="DJ450" s="33"/>
      <c r="DK450" s="33"/>
      <c r="DL450" s="33"/>
      <c r="DM450" s="33"/>
      <c r="DN450" s="33"/>
      <c r="DO450" s="33"/>
      <c r="DP450" s="33"/>
      <c r="DQ450" s="33"/>
      <c r="DR450" s="33"/>
      <c r="DS450" s="33"/>
      <c r="DT450" s="33"/>
      <c r="DU450" s="33"/>
      <c r="DV450" s="33"/>
      <c r="DW450" s="33"/>
      <c r="DX450" s="33"/>
      <c r="DY450" s="33"/>
      <c r="DZ450" s="33"/>
      <c r="EA450" s="33"/>
      <c r="EB450" s="33"/>
      <c r="EC450" s="33"/>
      <c r="ED450" s="33"/>
      <c r="EE450" s="33"/>
      <c r="EF450" s="33"/>
      <c r="EG450" s="33"/>
      <c r="EH450" s="33"/>
      <c r="EI450" s="33">
        <v>96</v>
      </c>
      <c r="EJ450" s="33"/>
      <c r="EK450" s="33"/>
      <c r="EL450" s="33"/>
      <c r="EM450" s="33"/>
      <c r="EN450" s="33"/>
      <c r="EO450" s="33" t="s">
        <v>17</v>
      </c>
      <c r="EP450" s="33">
        <v>24</v>
      </c>
      <c r="EQ450" s="33">
        <v>75</v>
      </c>
      <c r="ER450" s="33"/>
      <c r="ES450" s="33"/>
      <c r="ET450" s="33"/>
      <c r="EU450" s="33"/>
      <c r="EV450" s="33"/>
      <c r="EW450" s="33"/>
      <c r="EX450" s="33"/>
      <c r="EY450" s="33"/>
      <c r="EZ450" s="33"/>
      <c r="FA450" s="33"/>
      <c r="FB450" s="33"/>
      <c r="FC450" s="33"/>
      <c r="FD450" s="33"/>
      <c r="FE450" s="33"/>
      <c r="FF450" s="33"/>
      <c r="FG450" s="33"/>
      <c r="FH450" s="33"/>
      <c r="FI450" s="33"/>
      <c r="FJ450" s="33"/>
      <c r="FK450" s="33"/>
      <c r="FL450" s="33"/>
      <c r="FM450" s="33"/>
      <c r="FN450" s="33"/>
      <c r="FO450" s="33"/>
      <c r="FP450" s="33"/>
      <c r="FQ450" s="33"/>
      <c r="FR450" s="33"/>
      <c r="FS450" s="33"/>
      <c r="FT450" s="33"/>
      <c r="FU450" s="33"/>
      <c r="FV450" s="33"/>
      <c r="FW450" s="33"/>
      <c r="FX450" s="33"/>
      <c r="FY450" s="33"/>
      <c r="FZ450" s="33"/>
      <c r="GA450" s="33"/>
      <c r="GB450" s="33"/>
      <c r="GC450" s="33"/>
      <c r="GD450" s="33"/>
      <c r="GE450" s="33"/>
      <c r="GF450" s="33"/>
      <c r="GG450" s="33"/>
      <c r="GH450" s="33"/>
      <c r="GI450" s="33"/>
      <c r="GJ450" s="33"/>
      <c r="GK450" s="33"/>
      <c r="GL450" s="33"/>
      <c r="GM450" s="33"/>
      <c r="GN450" s="33"/>
      <c r="GO450" s="33"/>
      <c r="GP450" s="33"/>
      <c r="GQ450" s="33"/>
      <c r="GR450" s="33"/>
      <c r="GS450" s="33"/>
      <c r="GT450" s="33"/>
      <c r="GU450" s="33"/>
      <c r="GV450" s="33"/>
      <c r="GW450" s="33"/>
      <c r="GX450" s="33"/>
      <c r="GY450" s="33"/>
      <c r="GZ450" s="33"/>
      <c r="HA450" s="33"/>
      <c r="HB450" s="33"/>
      <c r="HC450" s="33"/>
      <c r="HD450" s="33"/>
      <c r="HE450" s="33"/>
      <c r="HF450" s="33"/>
      <c r="HG450" s="33"/>
      <c r="HH450" s="33"/>
      <c r="HI450" s="33"/>
      <c r="HJ450" s="33"/>
      <c r="HK450" s="33"/>
      <c r="HL450" s="33"/>
      <c r="HM450" s="33"/>
      <c r="HN450" s="33"/>
      <c r="HO450" s="33"/>
      <c r="HP450" s="33"/>
      <c r="HQ450" s="33"/>
      <c r="HR450" s="33"/>
      <c r="HS450" s="33"/>
      <c r="HT450" s="33"/>
      <c r="HU450" s="33"/>
      <c r="HV450" s="33"/>
      <c r="HW450" s="33"/>
      <c r="HX450" s="33"/>
      <c r="HY450" s="33"/>
      <c r="HZ450" s="33"/>
      <c r="IA450" s="33"/>
      <c r="IB450" s="33"/>
      <c r="IC450" s="33"/>
      <c r="ID450" s="33"/>
      <c r="IE450" s="33"/>
      <c r="IF450" s="33"/>
      <c r="IG450" s="33"/>
      <c r="IH450" s="33"/>
      <c r="II450" s="33"/>
      <c r="IJ450" s="33"/>
      <c r="IK450" s="33"/>
      <c r="IL450" s="33"/>
      <c r="IM450" s="33"/>
      <c r="IN450" s="33"/>
      <c r="IO450" s="33"/>
      <c r="IP450" s="33"/>
      <c r="IQ450" s="33"/>
      <c r="IR450" s="33"/>
      <c r="IS450" s="33"/>
      <c r="IT450" s="33"/>
      <c r="IU450" s="33"/>
      <c r="IV450" s="33"/>
      <c r="IW450" s="33"/>
      <c r="IX450" s="33"/>
      <c r="IY450" s="33"/>
      <c r="IZ450" s="33"/>
      <c r="JA450" s="33"/>
      <c r="JB450" s="33"/>
      <c r="JC450" s="33"/>
      <c r="JD450" s="33"/>
      <c r="JE450" s="33"/>
      <c r="JF450" s="33"/>
      <c r="JG450" s="33"/>
      <c r="JH450" s="33"/>
      <c r="JI450" s="33"/>
      <c r="JJ450" s="33"/>
      <c r="JK450" s="33"/>
      <c r="JL450" s="33"/>
      <c r="JM450" s="33"/>
      <c r="JN450" s="33"/>
      <c r="JO450" s="33"/>
      <c r="JP450" s="33"/>
      <c r="JQ450" s="33"/>
      <c r="JR450" s="33"/>
      <c r="KZ450" s="33"/>
      <c r="LA450" s="33"/>
      <c r="LB450" s="33"/>
      <c r="LC450" s="33"/>
      <c r="LD450" s="33"/>
      <c r="LE450" s="33"/>
      <c r="LF450" s="33"/>
      <c r="LG450" s="33"/>
      <c r="LH450" s="33"/>
      <c r="LI450" s="33"/>
      <c r="LJ450" s="33"/>
      <c r="LK450" s="33"/>
      <c r="LL450" s="33"/>
      <c r="LM450" s="33"/>
      <c r="LN450" s="33"/>
      <c r="LO450" s="33"/>
      <c r="LP450" s="44"/>
      <c r="LQ450" s="44"/>
      <c r="LR450" s="44"/>
      <c r="LS450" s="44"/>
      <c r="LT450" s="44"/>
      <c r="LU450" s="44"/>
      <c r="LV450" s="44"/>
    </row>
    <row r="451" spans="1:334" x14ac:dyDescent="0.2">
      <c r="A451" s="1" t="s">
        <v>9147</v>
      </c>
      <c r="B451" s="1" t="s">
        <v>9141</v>
      </c>
      <c r="D451" s="1" t="s">
        <v>9110</v>
      </c>
      <c r="E451" s="1" t="s">
        <v>7</v>
      </c>
      <c r="F451" s="1" t="s">
        <v>8021</v>
      </c>
      <c r="I451" s="1">
        <v>2</v>
      </c>
      <c r="J451" s="1" t="s">
        <v>9142</v>
      </c>
      <c r="K451" s="1">
        <v>2010</v>
      </c>
      <c r="L451" s="1" t="s">
        <v>9143</v>
      </c>
      <c r="M451" s="1" t="s">
        <v>7659</v>
      </c>
      <c r="N451" s="17" t="s">
        <v>7945</v>
      </c>
      <c r="O451" s="33"/>
      <c r="P451" s="33"/>
      <c r="Q451" s="33"/>
      <c r="R451" s="33"/>
      <c r="S451" s="33"/>
      <c r="T451" s="33">
        <v>87</v>
      </c>
      <c r="U451" s="33"/>
      <c r="V451" s="33"/>
      <c r="W451" s="33"/>
      <c r="X451" s="33"/>
      <c r="Y451" s="33"/>
      <c r="Z451" s="33"/>
      <c r="AA451" s="33"/>
      <c r="AB451" s="33"/>
      <c r="AC451" s="33"/>
      <c r="AD451" s="33"/>
      <c r="AE451" s="33"/>
      <c r="AF451" s="33"/>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c r="CA451" s="33"/>
      <c r="CB451" s="33"/>
      <c r="CC451" s="33"/>
      <c r="CD451" s="33"/>
      <c r="CE451" s="33"/>
      <c r="CF451" s="33"/>
      <c r="CG451" s="33"/>
      <c r="CH451" s="33"/>
      <c r="CI451" s="33"/>
      <c r="CJ451" s="33"/>
      <c r="CK451" s="33"/>
      <c r="CL451" s="33"/>
      <c r="CM451" s="33"/>
      <c r="CN451" s="33"/>
      <c r="CO451" s="33"/>
      <c r="CP451" s="33"/>
      <c r="CQ451" s="33"/>
      <c r="CR451" s="33"/>
      <c r="CS451" s="33"/>
      <c r="CT451" s="33"/>
      <c r="CU451" s="33"/>
      <c r="CV451" s="33"/>
      <c r="CW451" s="33"/>
      <c r="CX451" s="33"/>
      <c r="CY451" s="33"/>
      <c r="CZ451" s="33"/>
      <c r="DA451" s="33"/>
      <c r="DB451" s="33"/>
      <c r="DC451" s="33"/>
      <c r="DD451" s="33"/>
      <c r="DE451" s="33"/>
      <c r="DF451" s="33"/>
      <c r="DG451" s="33"/>
      <c r="DH451" s="33"/>
      <c r="DI451" s="33"/>
      <c r="DJ451" s="33"/>
      <c r="DK451" s="33"/>
      <c r="DL451" s="33"/>
      <c r="DM451" s="33"/>
      <c r="DN451" s="33"/>
      <c r="DO451" s="33"/>
      <c r="DP451" s="33"/>
      <c r="DQ451" s="33"/>
      <c r="DR451" s="33"/>
      <c r="DS451" s="33"/>
      <c r="DT451" s="33"/>
      <c r="DU451" s="33"/>
      <c r="DV451" s="33"/>
      <c r="DW451" s="33"/>
      <c r="DX451" s="33"/>
      <c r="DY451" s="33"/>
      <c r="DZ451" s="33"/>
      <c r="EA451" s="33"/>
      <c r="EB451" s="33"/>
      <c r="EC451" s="33"/>
      <c r="ED451" s="33"/>
      <c r="EE451" s="33"/>
      <c r="EF451" s="33"/>
      <c r="EG451" s="33"/>
      <c r="EH451" s="33"/>
      <c r="EI451" s="33">
        <v>96</v>
      </c>
      <c r="EJ451" s="33"/>
      <c r="EK451" s="33"/>
      <c r="EL451" s="33"/>
      <c r="EM451" s="33"/>
      <c r="EN451" s="33"/>
      <c r="EO451" s="33">
        <v>10</v>
      </c>
      <c r="EP451" s="33">
        <v>16</v>
      </c>
      <c r="EQ451" s="33">
        <v>73</v>
      </c>
      <c r="ER451" s="33"/>
      <c r="ES451" s="33"/>
      <c r="ET451" s="33"/>
      <c r="EU451" s="33"/>
      <c r="EV451" s="33"/>
      <c r="EW451" s="33"/>
      <c r="EX451" s="33"/>
      <c r="EY451" s="33"/>
      <c r="EZ451" s="33"/>
      <c r="FA451" s="33"/>
      <c r="FB451" s="33"/>
      <c r="FC451" s="33"/>
      <c r="FD451" s="33"/>
      <c r="FE451" s="33"/>
      <c r="FF451" s="33"/>
      <c r="FG451" s="33"/>
      <c r="FH451" s="33"/>
      <c r="FI451" s="33"/>
      <c r="FJ451" s="33"/>
      <c r="FK451" s="33"/>
      <c r="FL451" s="33"/>
      <c r="FM451" s="33"/>
      <c r="FN451" s="33"/>
      <c r="FO451" s="33"/>
      <c r="FP451" s="33"/>
      <c r="FQ451" s="33"/>
      <c r="FR451" s="33"/>
      <c r="FS451" s="33"/>
      <c r="FT451" s="33"/>
      <c r="FU451" s="33"/>
      <c r="FV451" s="33"/>
      <c r="FW451" s="33"/>
      <c r="FX451" s="33"/>
      <c r="FY451" s="33"/>
      <c r="FZ451" s="33"/>
      <c r="GA451" s="33"/>
      <c r="GB451" s="33"/>
      <c r="GC451" s="33"/>
      <c r="GD451" s="33"/>
      <c r="GE451" s="33"/>
      <c r="GF451" s="33"/>
      <c r="GG451" s="33"/>
      <c r="GH451" s="33"/>
      <c r="GI451" s="33"/>
      <c r="GJ451" s="33"/>
      <c r="GK451" s="33"/>
      <c r="GL451" s="33"/>
      <c r="GM451" s="33"/>
      <c r="GN451" s="33"/>
      <c r="GO451" s="33"/>
      <c r="GP451" s="33"/>
      <c r="GQ451" s="33"/>
      <c r="GR451" s="33"/>
      <c r="GS451" s="33"/>
      <c r="GT451" s="33"/>
      <c r="GU451" s="33"/>
      <c r="GV451" s="33"/>
      <c r="GW451" s="33"/>
      <c r="GX451" s="33"/>
      <c r="GY451" s="33"/>
      <c r="GZ451" s="33"/>
      <c r="HA451" s="33"/>
      <c r="HB451" s="33"/>
      <c r="HC451" s="33"/>
      <c r="HD451" s="33"/>
      <c r="HE451" s="33"/>
      <c r="HF451" s="33"/>
      <c r="HG451" s="33"/>
      <c r="HH451" s="33"/>
      <c r="HI451" s="33"/>
      <c r="HJ451" s="33"/>
      <c r="HK451" s="33"/>
      <c r="HL451" s="33"/>
      <c r="HM451" s="33"/>
      <c r="HN451" s="33"/>
      <c r="HO451" s="33"/>
      <c r="HP451" s="33"/>
      <c r="HQ451" s="33"/>
      <c r="HR451" s="33"/>
      <c r="HS451" s="33"/>
      <c r="HT451" s="33"/>
      <c r="HU451" s="33"/>
      <c r="HV451" s="33"/>
      <c r="HW451" s="33"/>
      <c r="HX451" s="33"/>
      <c r="HY451" s="33"/>
      <c r="HZ451" s="33"/>
      <c r="IA451" s="33"/>
      <c r="IB451" s="33"/>
      <c r="IC451" s="33"/>
      <c r="ID451" s="33"/>
      <c r="IE451" s="33"/>
      <c r="IF451" s="33"/>
      <c r="IG451" s="33"/>
      <c r="IH451" s="33"/>
      <c r="II451" s="33"/>
      <c r="IJ451" s="33"/>
      <c r="IK451" s="33"/>
      <c r="IL451" s="33"/>
      <c r="IM451" s="33"/>
      <c r="IN451" s="33"/>
      <c r="IO451" s="33"/>
      <c r="IP451" s="33"/>
      <c r="IQ451" s="33"/>
      <c r="IR451" s="33"/>
      <c r="IS451" s="33"/>
      <c r="IT451" s="33"/>
      <c r="IU451" s="33"/>
      <c r="IV451" s="33"/>
      <c r="IW451" s="33"/>
      <c r="IX451" s="33"/>
      <c r="IY451" s="33"/>
      <c r="IZ451" s="33"/>
      <c r="JA451" s="33"/>
      <c r="JB451" s="33"/>
      <c r="JC451" s="33"/>
      <c r="JD451" s="33"/>
      <c r="JE451" s="33"/>
      <c r="JF451" s="33"/>
      <c r="JG451" s="33"/>
      <c r="JH451" s="33"/>
      <c r="JI451" s="33"/>
      <c r="JJ451" s="33"/>
      <c r="JK451" s="33"/>
      <c r="JL451" s="33"/>
      <c r="JM451" s="33"/>
      <c r="JN451" s="33"/>
      <c r="JO451" s="33"/>
      <c r="JP451" s="33"/>
      <c r="JQ451" s="33"/>
      <c r="JR451" s="33"/>
      <c r="KZ451" s="33"/>
      <c r="LA451" s="33"/>
      <c r="LB451" s="33"/>
      <c r="LC451" s="33"/>
      <c r="LD451" s="33"/>
      <c r="LE451" s="33"/>
      <c r="LF451" s="33"/>
      <c r="LG451" s="33"/>
      <c r="LH451" s="33"/>
      <c r="LI451" s="33"/>
      <c r="LJ451" s="33"/>
      <c r="LK451" s="33"/>
      <c r="LL451" s="33"/>
      <c r="LM451" s="33"/>
      <c r="LN451" s="33"/>
      <c r="LO451" s="33"/>
      <c r="LP451" s="44"/>
      <c r="LQ451" s="44"/>
      <c r="LR451" s="44"/>
      <c r="LS451" s="44"/>
      <c r="LT451" s="44"/>
      <c r="LU451" s="44"/>
      <c r="LV451" s="44"/>
    </row>
    <row r="452" spans="1:334" x14ac:dyDescent="0.2">
      <c r="A452" s="1" t="s">
        <v>9148</v>
      </c>
      <c r="B452" s="1" t="s">
        <v>9141</v>
      </c>
      <c r="D452" s="1" t="s">
        <v>9149</v>
      </c>
      <c r="E452" s="1" t="s">
        <v>11</v>
      </c>
      <c r="F452" s="1" t="s">
        <v>8021</v>
      </c>
      <c r="I452" s="1">
        <v>2</v>
      </c>
      <c r="J452" s="1" t="s">
        <v>9142</v>
      </c>
      <c r="K452" s="1">
        <v>2010</v>
      </c>
      <c r="L452" s="1" t="s">
        <v>9143</v>
      </c>
      <c r="M452" s="1" t="s">
        <v>7659</v>
      </c>
      <c r="N452" s="17" t="s">
        <v>7945</v>
      </c>
      <c r="O452" s="33"/>
      <c r="P452" s="33"/>
      <c r="Q452" s="33"/>
      <c r="R452" s="33"/>
      <c r="S452" s="33"/>
      <c r="T452" s="33">
        <v>18</v>
      </c>
      <c r="U452" s="33"/>
      <c r="V452" s="33"/>
      <c r="W452" s="33"/>
      <c r="X452" s="33"/>
      <c r="Y452" s="33"/>
      <c r="Z452" s="33"/>
      <c r="AA452" s="33"/>
      <c r="AB452" s="33"/>
      <c r="AC452" s="33"/>
      <c r="AD452" s="33"/>
      <c r="AE452" s="33"/>
      <c r="AF452" s="33"/>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c r="CA452" s="33"/>
      <c r="CB452" s="33"/>
      <c r="CC452" s="33"/>
      <c r="CD452" s="33"/>
      <c r="CE452" s="33"/>
      <c r="CF452" s="33"/>
      <c r="CG452" s="33"/>
      <c r="CH452" s="33"/>
      <c r="CI452" s="33"/>
      <c r="CJ452" s="33"/>
      <c r="CK452" s="33"/>
      <c r="CL452" s="33"/>
      <c r="CM452" s="33"/>
      <c r="CN452" s="33"/>
      <c r="CO452" s="33"/>
      <c r="CP452" s="33"/>
      <c r="CQ452" s="33"/>
      <c r="CR452" s="33"/>
      <c r="CS452" s="33"/>
      <c r="CT452" s="33"/>
      <c r="CU452" s="33"/>
      <c r="CV452" s="33"/>
      <c r="CW452" s="33"/>
      <c r="CX452" s="33"/>
      <c r="CY452" s="33"/>
      <c r="CZ452" s="33"/>
      <c r="DA452" s="33"/>
      <c r="DB452" s="33"/>
      <c r="DC452" s="33"/>
      <c r="DD452" s="33"/>
      <c r="DE452" s="33"/>
      <c r="DF452" s="33"/>
      <c r="DG452" s="33"/>
      <c r="DH452" s="33"/>
      <c r="DI452" s="33"/>
      <c r="DJ452" s="33"/>
      <c r="DK452" s="33"/>
      <c r="DL452" s="33"/>
      <c r="DM452" s="33"/>
      <c r="DN452" s="33"/>
      <c r="DO452" s="33"/>
      <c r="DP452" s="33"/>
      <c r="DQ452" s="33"/>
      <c r="DR452" s="33"/>
      <c r="DS452" s="33"/>
      <c r="DT452" s="33"/>
      <c r="DU452" s="33"/>
      <c r="DV452" s="33"/>
      <c r="DW452" s="33"/>
      <c r="DX452" s="33"/>
      <c r="DY452" s="33"/>
      <c r="DZ452" s="33"/>
      <c r="EA452" s="33"/>
      <c r="EB452" s="33"/>
      <c r="EC452" s="33"/>
      <c r="ED452" s="33"/>
      <c r="EE452" s="33"/>
      <c r="EF452" s="33"/>
      <c r="EG452" s="33"/>
      <c r="EH452" s="33"/>
      <c r="EI452" s="33">
        <v>18</v>
      </c>
      <c r="EJ452" s="33"/>
      <c r="EK452" s="33"/>
      <c r="EL452" s="33"/>
      <c r="EM452" s="33"/>
      <c r="EN452" s="33"/>
      <c r="EO452" s="33">
        <v>2</v>
      </c>
      <c r="EP452" s="33">
        <v>1</v>
      </c>
      <c r="EQ452" s="33">
        <v>16</v>
      </c>
      <c r="ER452" s="33"/>
      <c r="ES452" s="33"/>
      <c r="ET452" s="33"/>
      <c r="EU452" s="33"/>
      <c r="EV452" s="33"/>
      <c r="EW452" s="33"/>
      <c r="EX452" s="33"/>
      <c r="EY452" s="33"/>
      <c r="EZ452" s="33"/>
      <c r="FA452" s="33"/>
      <c r="FB452" s="33"/>
      <c r="FC452" s="33"/>
      <c r="FD452" s="33"/>
      <c r="FE452" s="33"/>
      <c r="FF452" s="33"/>
      <c r="FG452" s="33"/>
      <c r="FH452" s="33"/>
      <c r="FI452" s="33"/>
      <c r="FJ452" s="33"/>
      <c r="FK452" s="33"/>
      <c r="FL452" s="33"/>
      <c r="FM452" s="33"/>
      <c r="FN452" s="33"/>
      <c r="FO452" s="33"/>
      <c r="FP452" s="33"/>
      <c r="FQ452" s="33"/>
      <c r="FR452" s="33"/>
      <c r="FS452" s="33"/>
      <c r="FT452" s="33"/>
      <c r="FU452" s="33"/>
      <c r="FV452" s="33"/>
      <c r="FW452" s="33"/>
      <c r="FX452" s="33"/>
      <c r="FY452" s="33"/>
      <c r="FZ452" s="33"/>
      <c r="GA452" s="33"/>
      <c r="GB452" s="33"/>
      <c r="GC452" s="33"/>
      <c r="GD452" s="33"/>
      <c r="GE452" s="33"/>
      <c r="GF452" s="33"/>
      <c r="GG452" s="33"/>
      <c r="GH452" s="33"/>
      <c r="GI452" s="33"/>
      <c r="GJ452" s="33"/>
      <c r="GK452" s="33"/>
      <c r="GL452" s="33"/>
      <c r="GM452" s="33"/>
      <c r="GN452" s="33"/>
      <c r="GO452" s="33"/>
      <c r="GP452" s="33"/>
      <c r="GQ452" s="33"/>
      <c r="GR452" s="33"/>
      <c r="GS452" s="33"/>
      <c r="GT452" s="33"/>
      <c r="GU452" s="33"/>
      <c r="GV452" s="33"/>
      <c r="GW452" s="33"/>
      <c r="GX452" s="33"/>
      <c r="GY452" s="33"/>
      <c r="GZ452" s="33"/>
      <c r="HA452" s="33"/>
      <c r="HB452" s="33"/>
      <c r="HC452" s="33"/>
      <c r="HD452" s="33"/>
      <c r="HE452" s="33"/>
      <c r="HF452" s="33"/>
      <c r="HG452" s="33"/>
      <c r="HH452" s="33"/>
      <c r="HI452" s="33"/>
      <c r="HJ452" s="33"/>
      <c r="HK452" s="33"/>
      <c r="HL452" s="33"/>
      <c r="HM452" s="33"/>
      <c r="HN452" s="33"/>
      <c r="HO452" s="33"/>
      <c r="HP452" s="33"/>
      <c r="HQ452" s="33"/>
      <c r="HR452" s="33"/>
      <c r="HS452" s="33"/>
      <c r="HT452" s="33"/>
      <c r="HU452" s="33"/>
      <c r="HV452" s="33"/>
      <c r="HW452" s="33"/>
      <c r="HX452" s="33"/>
      <c r="HY452" s="33"/>
      <c r="HZ452" s="33"/>
      <c r="IA452" s="33"/>
      <c r="IB452" s="33"/>
      <c r="IC452" s="33"/>
      <c r="ID452" s="33"/>
      <c r="IE452" s="33"/>
      <c r="IF452" s="33"/>
      <c r="IG452" s="33"/>
      <c r="IH452" s="33"/>
      <c r="II452" s="33"/>
      <c r="IJ452" s="33"/>
      <c r="IK452" s="33"/>
      <c r="IL452" s="33"/>
      <c r="IM452" s="33"/>
      <c r="IN452" s="33"/>
      <c r="IO452" s="33"/>
      <c r="IP452" s="33"/>
      <c r="IQ452" s="33"/>
      <c r="IR452" s="33"/>
      <c r="IS452" s="33"/>
      <c r="IT452" s="33"/>
      <c r="IU452" s="33"/>
      <c r="IV452" s="33"/>
      <c r="IW452" s="33"/>
      <c r="IX452" s="33"/>
      <c r="IY452" s="33"/>
      <c r="IZ452" s="33"/>
      <c r="JA452" s="33"/>
      <c r="JB452" s="33"/>
      <c r="JC452" s="33"/>
      <c r="JD452" s="33"/>
      <c r="JE452" s="33"/>
      <c r="JF452" s="33"/>
      <c r="JG452" s="33"/>
      <c r="JH452" s="33"/>
      <c r="JI452" s="33"/>
      <c r="JJ452" s="33"/>
      <c r="JK452" s="33"/>
      <c r="JL452" s="33"/>
      <c r="JM452" s="33"/>
      <c r="JN452" s="33"/>
      <c r="JO452" s="33"/>
      <c r="JP452" s="33"/>
      <c r="JQ452" s="33"/>
      <c r="JR452" s="33"/>
      <c r="KZ452" s="33"/>
      <c r="LA452" s="33"/>
      <c r="LB452" s="33"/>
      <c r="LC452" s="33"/>
      <c r="LD452" s="33"/>
      <c r="LE452" s="33"/>
      <c r="LF452" s="33"/>
      <c r="LG452" s="33"/>
      <c r="LH452" s="33"/>
      <c r="LI452" s="33"/>
      <c r="LJ452" s="33"/>
      <c r="LK452" s="33"/>
      <c r="LL452" s="33"/>
      <c r="LM452" s="33"/>
      <c r="LN452" s="33"/>
      <c r="LO452" s="33"/>
      <c r="LP452" s="44"/>
      <c r="LQ452" s="44"/>
      <c r="LR452" s="44"/>
      <c r="LS452" s="44"/>
      <c r="LT452" s="44"/>
      <c r="LU452" s="44"/>
      <c r="LV452" s="44"/>
    </row>
    <row r="453" spans="1:334" x14ac:dyDescent="0.2">
      <c r="A453" s="1" t="s">
        <v>9150</v>
      </c>
      <c r="B453" s="1" t="s">
        <v>9151</v>
      </c>
      <c r="D453" s="1" t="s">
        <v>9122</v>
      </c>
      <c r="E453" s="1" t="s">
        <v>7</v>
      </c>
      <c r="F453" s="1" t="s">
        <v>8586</v>
      </c>
      <c r="I453" s="1">
        <v>3</v>
      </c>
      <c r="J453" s="1" t="s">
        <v>9152</v>
      </c>
      <c r="K453" s="1">
        <v>2006</v>
      </c>
      <c r="L453" s="1" t="s">
        <v>9153</v>
      </c>
      <c r="M453" s="1" t="s">
        <v>7659</v>
      </c>
      <c r="N453" s="17" t="s">
        <v>7945</v>
      </c>
      <c r="O453" s="33"/>
      <c r="P453" s="33"/>
      <c r="Q453" s="33"/>
      <c r="R453" s="33"/>
      <c r="S453" s="33">
        <v>10.35</v>
      </c>
      <c r="T453" s="33"/>
      <c r="U453" s="33">
        <v>6.25</v>
      </c>
      <c r="V453" s="33"/>
      <c r="W453" s="33"/>
      <c r="X453" s="33"/>
      <c r="Y453" s="33"/>
      <c r="Z453" s="33">
        <v>21.193259999999999</v>
      </c>
      <c r="AA453" s="33"/>
      <c r="AB453" s="33"/>
      <c r="AC453" s="33">
        <v>5.8093200000000014</v>
      </c>
      <c r="AD453" s="33"/>
      <c r="AE453" s="33"/>
      <c r="AF453" s="33"/>
      <c r="AG453" s="33"/>
      <c r="AH453" s="33"/>
      <c r="AI453" s="33"/>
      <c r="AJ453" s="33"/>
      <c r="AK453" s="33"/>
      <c r="AL453" s="33"/>
      <c r="AM453" s="33"/>
      <c r="AN453" s="33"/>
      <c r="AO453" s="33"/>
      <c r="AP453" s="33">
        <v>33.089815000000002</v>
      </c>
      <c r="AQ453" s="33"/>
      <c r="AR453" s="33"/>
      <c r="AS453" s="33"/>
      <c r="AT453" s="33"/>
      <c r="AU453" s="33"/>
      <c r="AV453" s="33"/>
      <c r="AW453" s="33"/>
      <c r="AX453" s="33">
        <v>0.86960499999999996</v>
      </c>
      <c r="AY453" s="33"/>
      <c r="AZ453" s="33"/>
      <c r="BA453" s="33"/>
      <c r="BB453" s="33"/>
      <c r="BC453" s="33"/>
      <c r="BD453" s="33"/>
      <c r="BE453" s="33">
        <v>3.4246300000000001</v>
      </c>
      <c r="BF453" s="33"/>
      <c r="BG453" s="33"/>
      <c r="BH453" s="33"/>
      <c r="BI453" s="33"/>
      <c r="BJ453" s="33"/>
      <c r="BK453" s="33"/>
      <c r="BL453" s="33"/>
      <c r="BM453" s="33"/>
      <c r="BN453" s="33"/>
      <c r="BO453" s="33"/>
      <c r="BP453" s="33"/>
      <c r="BQ453" s="33"/>
      <c r="BR453" s="33"/>
      <c r="BS453" s="33"/>
      <c r="BT453" s="33"/>
      <c r="BU453" s="33"/>
      <c r="BV453" s="33"/>
      <c r="BW453" s="33"/>
      <c r="BX453" s="33">
        <v>1.299925</v>
      </c>
      <c r="BY453" s="33">
        <v>1.694385</v>
      </c>
      <c r="BZ453" s="33">
        <v>0.17033500000000001</v>
      </c>
      <c r="CA453" s="33"/>
      <c r="CB453" s="33"/>
      <c r="CC453" s="33"/>
      <c r="CD453" s="33"/>
      <c r="CE453" s="33"/>
      <c r="CF453" s="33"/>
      <c r="CG453" s="33"/>
      <c r="CH453" s="33"/>
      <c r="CI453" s="33"/>
      <c r="CJ453" s="33"/>
      <c r="CK453" s="33"/>
      <c r="CL453" s="33"/>
      <c r="CM453" s="33"/>
      <c r="CN453" s="33"/>
      <c r="CO453" s="33">
        <v>3.3349800000000003</v>
      </c>
      <c r="CP453" s="33">
        <v>157.78400000000002</v>
      </c>
      <c r="CQ453" s="33"/>
      <c r="CR453" s="33">
        <v>0.98615000000000008</v>
      </c>
      <c r="CS453" s="33">
        <v>6.920980000000001</v>
      </c>
      <c r="CT453" s="33"/>
      <c r="CU453" s="33">
        <v>779.95500000000004</v>
      </c>
      <c r="CV453" s="33">
        <v>157.78400000000002</v>
      </c>
      <c r="CW453" s="33">
        <v>1.8916149999999998</v>
      </c>
      <c r="CX453" s="33" t="s">
        <v>9372</v>
      </c>
      <c r="CY453" s="33">
        <v>202.60900000000001</v>
      </c>
      <c r="CZ453" s="33"/>
      <c r="DA453" s="33">
        <v>3.8728800000000008</v>
      </c>
      <c r="DB453" s="33"/>
      <c r="DC453" s="33"/>
      <c r="DD453" s="33"/>
      <c r="DE453" s="33"/>
      <c r="DF453" s="33"/>
      <c r="DG453" s="33"/>
      <c r="DH453" s="33"/>
      <c r="DI453" s="33"/>
      <c r="DJ453" s="33"/>
      <c r="DK453" s="33"/>
      <c r="DL453" s="33"/>
      <c r="DM453" s="33"/>
      <c r="DN453" s="33"/>
      <c r="DO453" s="33"/>
      <c r="DP453" s="33">
        <v>0.40641034500000001</v>
      </c>
      <c r="DQ453" s="33"/>
      <c r="DR453" s="33">
        <v>0.15539034500000004</v>
      </c>
      <c r="DS453" s="33"/>
      <c r="DT453" s="33"/>
      <c r="DU453" s="33"/>
      <c r="DV453" s="33">
        <v>1.4367936550000002</v>
      </c>
      <c r="DW453" s="33"/>
      <c r="DX453" s="33"/>
      <c r="DY453" s="33"/>
      <c r="DZ453" s="33"/>
      <c r="EA453" s="33"/>
      <c r="EB453" s="33">
        <v>0.41806484500000002</v>
      </c>
      <c r="EC453" s="33"/>
      <c r="ED453" s="33"/>
      <c r="EE453" s="33"/>
      <c r="EF453" s="33"/>
      <c r="EG453" s="33"/>
      <c r="EH453" s="33"/>
      <c r="EI453" s="33"/>
      <c r="EJ453" s="33"/>
      <c r="EK453" s="33"/>
      <c r="EL453" s="33"/>
      <c r="EM453" s="33"/>
      <c r="EN453" s="33"/>
      <c r="EO453" s="33"/>
      <c r="EP453" s="33"/>
      <c r="EQ453" s="33"/>
      <c r="ER453" s="33"/>
      <c r="ES453" s="33"/>
      <c r="ET453" s="33"/>
      <c r="EU453" s="33"/>
      <c r="EV453" s="33"/>
      <c r="EW453" s="33"/>
      <c r="EX453" s="33"/>
      <c r="EY453" s="33"/>
      <c r="EZ453" s="33"/>
      <c r="FA453" s="33"/>
      <c r="FB453" s="33"/>
      <c r="FC453" s="33"/>
      <c r="FD453" s="33"/>
      <c r="FE453" s="33"/>
      <c r="FF453" s="33"/>
      <c r="FG453" s="33"/>
      <c r="FH453" s="33"/>
      <c r="FI453" s="33"/>
      <c r="FJ453" s="33"/>
      <c r="FK453" s="33"/>
      <c r="FL453" s="33"/>
      <c r="FM453" s="33"/>
      <c r="FN453" s="33"/>
      <c r="FO453" s="33"/>
      <c r="FP453" s="33"/>
      <c r="FQ453" s="33"/>
      <c r="FR453" s="33"/>
      <c r="FS453" s="33"/>
      <c r="FT453" s="33"/>
      <c r="FU453" s="33"/>
      <c r="FV453" s="33"/>
      <c r="FW453" s="33"/>
      <c r="FX453" s="33"/>
      <c r="FY453" s="33"/>
      <c r="FZ453" s="33"/>
      <c r="GA453" s="33"/>
      <c r="GB453" s="33"/>
      <c r="GC453" s="33"/>
      <c r="GD453" s="33"/>
      <c r="GE453" s="33"/>
      <c r="GF453" s="33"/>
      <c r="GG453" s="33"/>
      <c r="GH453" s="33"/>
      <c r="GI453" s="33"/>
      <c r="GJ453" s="33"/>
      <c r="GK453" s="33"/>
      <c r="GL453" s="33"/>
      <c r="GM453" s="33"/>
      <c r="GN453" s="33"/>
      <c r="GO453" s="33"/>
      <c r="GP453" s="33"/>
      <c r="GQ453" s="33"/>
      <c r="GR453" s="33"/>
      <c r="GS453" s="33"/>
      <c r="GT453" s="33"/>
      <c r="GU453" s="33"/>
      <c r="GV453" s="33"/>
      <c r="GW453" s="33"/>
      <c r="GX453" s="33"/>
      <c r="GY453" s="33"/>
      <c r="GZ453" s="33"/>
      <c r="HA453" s="33"/>
      <c r="HB453" s="33"/>
      <c r="HC453" s="33"/>
      <c r="HD453" s="33"/>
      <c r="HE453" s="33"/>
      <c r="HF453" s="33"/>
      <c r="HG453" s="33"/>
      <c r="HH453" s="33"/>
      <c r="HI453" s="33"/>
      <c r="HJ453" s="33"/>
      <c r="HK453" s="33"/>
      <c r="HL453" s="33"/>
      <c r="HM453" s="33"/>
      <c r="HN453" s="33"/>
      <c r="HO453" s="33"/>
      <c r="HP453" s="33"/>
      <c r="HQ453" s="33"/>
      <c r="HR453" s="33"/>
      <c r="HS453" s="33"/>
      <c r="HT453" s="33"/>
      <c r="HU453" s="33"/>
      <c r="HV453" s="33"/>
      <c r="HW453" s="33"/>
      <c r="HX453" s="33"/>
      <c r="HY453" s="33"/>
      <c r="HZ453" s="33"/>
      <c r="IA453" s="33"/>
      <c r="IB453" s="33"/>
      <c r="IC453" s="33"/>
      <c r="ID453" s="33"/>
      <c r="IE453" s="33"/>
      <c r="IF453" s="33"/>
      <c r="IG453" s="33"/>
      <c r="IH453" s="33"/>
      <c r="II453" s="33"/>
      <c r="IJ453" s="33"/>
      <c r="IK453" s="33"/>
      <c r="IL453" s="33"/>
      <c r="IM453" s="33"/>
      <c r="IN453" s="33"/>
      <c r="IO453" s="33"/>
      <c r="IP453" s="33"/>
      <c r="IQ453" s="33"/>
      <c r="IR453" s="33"/>
      <c r="IS453" s="33"/>
      <c r="IT453" s="33"/>
      <c r="IU453" s="33"/>
      <c r="IV453" s="33"/>
      <c r="IW453" s="33"/>
      <c r="IX453" s="33"/>
      <c r="IY453" s="33"/>
      <c r="IZ453" s="33"/>
      <c r="JA453" s="33"/>
      <c r="JB453" s="33"/>
      <c r="JC453" s="33"/>
      <c r="JD453" s="33"/>
      <c r="JE453" s="33"/>
      <c r="JF453" s="33"/>
      <c r="JG453" s="33"/>
      <c r="JH453" s="33"/>
      <c r="JI453" s="33"/>
      <c r="JJ453" s="33"/>
      <c r="JK453" s="33"/>
      <c r="JL453" s="33"/>
      <c r="JM453" s="33"/>
      <c r="JN453" s="33"/>
      <c r="JO453" s="33"/>
      <c r="JP453" s="33"/>
      <c r="JQ453" s="33"/>
      <c r="JR453" s="33"/>
      <c r="JU453" s="42">
        <v>932.50343999999996</v>
      </c>
      <c r="JV453" s="42">
        <v>2182.90578</v>
      </c>
      <c r="JX453" s="42">
        <v>2416.0316400000002</v>
      </c>
      <c r="JY453" s="42">
        <v>275.51238000000001</v>
      </c>
      <c r="KB453" s="42">
        <v>3666.4339799999998</v>
      </c>
      <c r="KC453" s="42">
        <v>868.92365999999981</v>
      </c>
      <c r="KD453" s="42">
        <v>720.57083999999998</v>
      </c>
      <c r="KE453" s="42">
        <v>868.92365999999981</v>
      </c>
      <c r="KF453" s="42">
        <v>1483.5281999999997</v>
      </c>
      <c r="KG453" s="42">
        <v>1631.8810199999998</v>
      </c>
      <c r="KH453" s="42">
        <v>339.09216000000004</v>
      </c>
      <c r="KJ453" s="42">
        <v>1250.4023399999999</v>
      </c>
      <c r="KK453" s="42">
        <v>974.88995999999986</v>
      </c>
      <c r="KL453" s="42">
        <v>1038.46974</v>
      </c>
      <c r="KN453" s="42">
        <v>762.95735999999988</v>
      </c>
      <c r="KO453" s="42">
        <v>233.12585999999999</v>
      </c>
      <c r="KP453" s="42">
        <v>784.15061999999989</v>
      </c>
      <c r="KQ453" s="42">
        <v>762.95735999999988</v>
      </c>
      <c r="KZ453" s="33">
        <v>108.4765</v>
      </c>
      <c r="LA453" s="33"/>
      <c r="LB453" s="33"/>
      <c r="LC453" s="33"/>
      <c r="LD453" s="33"/>
      <c r="LE453" s="33"/>
      <c r="LF453" s="33"/>
      <c r="LG453" s="33"/>
      <c r="LH453" s="33"/>
      <c r="LI453" s="33"/>
      <c r="LJ453" s="33"/>
      <c r="LK453" s="33"/>
      <c r="LL453" s="33"/>
      <c r="LM453" s="33"/>
      <c r="LN453" s="33"/>
      <c r="LO453" s="33"/>
      <c r="LP453" s="44">
        <v>434.80250000000001</v>
      </c>
      <c r="LQ453" s="44"/>
      <c r="LR453" s="44"/>
      <c r="LS453" s="44"/>
      <c r="LT453" s="44"/>
      <c r="LU453" s="44"/>
      <c r="LV453" s="44">
        <v>81.581500000000005</v>
      </c>
    </row>
    <row r="454" spans="1:334" x14ac:dyDescent="0.2">
      <c r="A454" s="1" t="s">
        <v>9154</v>
      </c>
      <c r="B454" s="1" t="s">
        <v>9151</v>
      </c>
      <c r="D454" s="1" t="s">
        <v>9155</v>
      </c>
      <c r="E454" s="1" t="s">
        <v>8037</v>
      </c>
      <c r="F454" s="1" t="s">
        <v>8586</v>
      </c>
      <c r="H454" s="1" t="s">
        <v>9156</v>
      </c>
      <c r="I454" s="1">
        <v>3</v>
      </c>
      <c r="J454" s="1" t="s">
        <v>9152</v>
      </c>
      <c r="K454" s="1">
        <v>2006</v>
      </c>
      <c r="L454" s="1" t="s">
        <v>9153</v>
      </c>
      <c r="M454" s="1" t="s">
        <v>7659</v>
      </c>
      <c r="N454" s="17" t="s">
        <v>7945</v>
      </c>
      <c r="O454" s="33"/>
      <c r="P454" s="33"/>
      <c r="Q454" s="33"/>
      <c r="R454" s="33"/>
      <c r="S454" s="33">
        <v>10.55</v>
      </c>
      <c r="T454" s="33"/>
      <c r="U454" s="33">
        <v>6.25</v>
      </c>
      <c r="V454" s="33"/>
      <c r="W454" s="33"/>
      <c r="X454" s="33"/>
      <c r="Y454" s="33"/>
      <c r="Z454" s="33">
        <v>20.761345000000002</v>
      </c>
      <c r="AA454" s="33"/>
      <c r="AB454" s="33"/>
      <c r="AC454" s="33">
        <v>5.56379</v>
      </c>
      <c r="AD454" s="33"/>
      <c r="AE454" s="33"/>
      <c r="AF454" s="33"/>
      <c r="AG454" s="33"/>
      <c r="AH454" s="33"/>
      <c r="AI454" s="33"/>
      <c r="AJ454" s="33"/>
      <c r="AK454" s="33"/>
      <c r="AL454" s="33"/>
      <c r="AM454" s="33"/>
      <c r="AN454" s="33"/>
      <c r="AO454" s="33"/>
      <c r="AP454" s="33">
        <v>32.658194999999999</v>
      </c>
      <c r="AQ454" s="33"/>
      <c r="AR454" s="33"/>
      <c r="AS454" s="33"/>
      <c r="AT454" s="33"/>
      <c r="AU454" s="33"/>
      <c r="AV454" s="33"/>
      <c r="AW454" s="33"/>
      <c r="AX454" s="33">
        <v>0.53670000000000007</v>
      </c>
      <c r="AY454" s="33"/>
      <c r="AZ454" s="33"/>
      <c r="BA454" s="33"/>
      <c r="BB454" s="33"/>
      <c r="BC454" s="33"/>
      <c r="BD454" s="33"/>
      <c r="BE454" s="33">
        <v>4.1325900000000004</v>
      </c>
      <c r="BF454" s="33"/>
      <c r="BG454" s="33"/>
      <c r="BH454" s="33"/>
      <c r="BI454" s="33"/>
      <c r="BJ454" s="33"/>
      <c r="BK454" s="33"/>
      <c r="BL454" s="33"/>
      <c r="BM454" s="33"/>
      <c r="BN454" s="33"/>
      <c r="BO454" s="33"/>
      <c r="BP454" s="33"/>
      <c r="BQ454" s="33"/>
      <c r="BR454" s="33"/>
      <c r="BS454" s="33"/>
      <c r="BT454" s="33"/>
      <c r="BU454" s="33"/>
      <c r="BV454" s="33"/>
      <c r="BW454" s="33"/>
      <c r="BX454" s="33">
        <v>0.67981999999999998</v>
      </c>
      <c r="BY454" s="33">
        <v>1.1002350000000001</v>
      </c>
      <c r="BZ454" s="33">
        <v>0</v>
      </c>
      <c r="CA454" s="33"/>
      <c r="CB454" s="33"/>
      <c r="CC454" s="33"/>
      <c r="CD454" s="33"/>
      <c r="CE454" s="33"/>
      <c r="CF454" s="33"/>
      <c r="CG454" s="33"/>
      <c r="CH454" s="33"/>
      <c r="CI454" s="33"/>
      <c r="CJ454" s="33"/>
      <c r="CK454" s="33"/>
      <c r="CL454" s="33"/>
      <c r="CM454" s="33"/>
      <c r="CN454" s="33"/>
      <c r="CO454" s="33">
        <v>3.1486400000000003</v>
      </c>
      <c r="CP454" s="33">
        <v>110.91800000000001</v>
      </c>
      <c r="CQ454" s="33"/>
      <c r="CR454" s="33">
        <v>0.65298500000000004</v>
      </c>
      <c r="CS454" s="33">
        <v>6.091545</v>
      </c>
      <c r="CT454" s="33"/>
      <c r="CU454" s="33">
        <v>305.02449999999999</v>
      </c>
      <c r="CV454" s="33">
        <v>147.5925</v>
      </c>
      <c r="CW454" s="33">
        <v>1.6101000000000001</v>
      </c>
      <c r="CX454" s="33" t="s">
        <v>9373</v>
      </c>
      <c r="CY454" s="33">
        <v>174.42750000000001</v>
      </c>
      <c r="CZ454" s="33"/>
      <c r="DA454" s="33">
        <v>3.0591899999999996</v>
      </c>
      <c r="DB454" s="33"/>
      <c r="DC454" s="33"/>
      <c r="DD454" s="33"/>
      <c r="DE454" s="33"/>
      <c r="DF454" s="33"/>
      <c r="DG454" s="33"/>
      <c r="DH454" s="33"/>
      <c r="DI454" s="33"/>
      <c r="DJ454" s="33"/>
      <c r="DK454" s="33"/>
      <c r="DL454" s="33"/>
      <c r="DM454" s="33"/>
      <c r="DN454" s="33"/>
      <c r="DO454" s="33"/>
      <c r="DP454" s="33">
        <v>0.13715368500000003</v>
      </c>
      <c r="DQ454" s="33"/>
      <c r="DR454" s="33">
        <v>7.513800000000001E-2</v>
      </c>
      <c r="DS454" s="33"/>
      <c r="DT454" s="33"/>
      <c r="DU454" s="33"/>
      <c r="DV454" s="33">
        <v>6.2015685000000008E-2</v>
      </c>
      <c r="DW454" s="33"/>
      <c r="DX454" s="33"/>
      <c r="DY454" s="33"/>
      <c r="DZ454" s="33"/>
      <c r="EA454" s="33"/>
      <c r="EB454" s="33">
        <v>0.23853631500000003</v>
      </c>
      <c r="EC454" s="33"/>
      <c r="ED454" s="33"/>
      <c r="EE454" s="33"/>
      <c r="EF454" s="33"/>
      <c r="EG454" s="33"/>
      <c r="EH454" s="33"/>
      <c r="EI454" s="33"/>
      <c r="EJ454" s="33"/>
      <c r="EK454" s="33"/>
      <c r="EL454" s="33"/>
      <c r="EM454" s="33"/>
      <c r="EN454" s="33"/>
      <c r="EO454" s="33"/>
      <c r="EP454" s="33"/>
      <c r="EQ454" s="33"/>
      <c r="ER454" s="33"/>
      <c r="ES454" s="33"/>
      <c r="ET454" s="33"/>
      <c r="EU454" s="33"/>
      <c r="EV454" s="33"/>
      <c r="EW454" s="33"/>
      <c r="EX454" s="33"/>
      <c r="EY454" s="33"/>
      <c r="EZ454" s="33"/>
      <c r="FA454" s="33"/>
      <c r="FB454" s="33"/>
      <c r="FC454" s="33"/>
      <c r="FD454" s="33"/>
      <c r="FE454" s="33"/>
      <c r="FF454" s="33"/>
      <c r="FG454" s="33"/>
      <c r="FH454" s="33"/>
      <c r="FI454" s="33"/>
      <c r="FJ454" s="33"/>
      <c r="FK454" s="33"/>
      <c r="FL454" s="33"/>
      <c r="FM454" s="33"/>
      <c r="FN454" s="33"/>
      <c r="FO454" s="33"/>
      <c r="FP454" s="33"/>
      <c r="FQ454" s="33"/>
      <c r="FR454" s="33"/>
      <c r="FS454" s="33"/>
      <c r="FT454" s="33"/>
      <c r="FU454" s="33"/>
      <c r="FV454" s="33"/>
      <c r="FW454" s="33"/>
      <c r="FX454" s="33"/>
      <c r="FY454" s="33"/>
      <c r="FZ454" s="33"/>
      <c r="GA454" s="33"/>
      <c r="GB454" s="33"/>
      <c r="GC454" s="33"/>
      <c r="GD454" s="33"/>
      <c r="GE454" s="33"/>
      <c r="GF454" s="33"/>
      <c r="GG454" s="33"/>
      <c r="GH454" s="33"/>
      <c r="GI454" s="33"/>
      <c r="GJ454" s="33"/>
      <c r="GK454" s="33"/>
      <c r="GL454" s="33"/>
      <c r="GM454" s="33"/>
      <c r="GN454" s="33"/>
      <c r="GO454" s="33"/>
      <c r="GP454" s="33"/>
      <c r="GQ454" s="33"/>
      <c r="GR454" s="33"/>
      <c r="GS454" s="33"/>
      <c r="GT454" s="33"/>
      <c r="GU454" s="33"/>
      <c r="GV454" s="33"/>
      <c r="GW454" s="33"/>
      <c r="GX454" s="33"/>
      <c r="GY454" s="33"/>
      <c r="GZ454" s="33"/>
      <c r="HA454" s="33"/>
      <c r="HB454" s="33"/>
      <c r="HC454" s="33"/>
      <c r="HD454" s="33"/>
      <c r="HE454" s="33"/>
      <c r="HF454" s="33"/>
      <c r="HG454" s="33"/>
      <c r="HH454" s="33"/>
      <c r="HI454" s="33"/>
      <c r="HJ454" s="33"/>
      <c r="HK454" s="33"/>
      <c r="HL454" s="33"/>
      <c r="HM454" s="33"/>
      <c r="HN454" s="33"/>
      <c r="HO454" s="33"/>
      <c r="HP454" s="33"/>
      <c r="HQ454" s="33"/>
      <c r="HR454" s="33"/>
      <c r="HS454" s="33"/>
      <c r="HT454" s="33"/>
      <c r="HU454" s="33"/>
      <c r="HV454" s="33"/>
      <c r="HW454" s="33"/>
      <c r="HX454" s="33"/>
      <c r="HY454" s="33"/>
      <c r="HZ454" s="33"/>
      <c r="IA454" s="33"/>
      <c r="IB454" s="33"/>
      <c r="IC454" s="33"/>
      <c r="ID454" s="33"/>
      <c r="IE454" s="33"/>
      <c r="IF454" s="33"/>
      <c r="IG454" s="33"/>
      <c r="IH454" s="33"/>
      <c r="II454" s="33"/>
      <c r="IJ454" s="33"/>
      <c r="IK454" s="33"/>
      <c r="IL454" s="33"/>
      <c r="IM454" s="33"/>
      <c r="IN454" s="33"/>
      <c r="IO454" s="33"/>
      <c r="IP454" s="33"/>
      <c r="IQ454" s="33"/>
      <c r="IR454" s="33"/>
      <c r="IS454" s="33"/>
      <c r="IT454" s="33"/>
      <c r="IU454" s="33"/>
      <c r="IV454" s="33"/>
      <c r="IW454" s="33"/>
      <c r="IX454" s="33"/>
      <c r="IY454" s="33"/>
      <c r="IZ454" s="33"/>
      <c r="JA454" s="33"/>
      <c r="JB454" s="33"/>
      <c r="JC454" s="33"/>
      <c r="JD454" s="33"/>
      <c r="JE454" s="33"/>
      <c r="JF454" s="33"/>
      <c r="JG454" s="33"/>
      <c r="JH454" s="33"/>
      <c r="JI454" s="33"/>
      <c r="JJ454" s="33"/>
      <c r="JK454" s="33"/>
      <c r="JL454" s="33"/>
      <c r="JM454" s="33"/>
      <c r="JN454" s="33"/>
      <c r="JO454" s="33"/>
      <c r="JP454" s="33"/>
      <c r="JQ454" s="33"/>
      <c r="JR454" s="33"/>
      <c r="JU454" s="42">
        <v>809.692455</v>
      </c>
      <c r="JV454" s="42">
        <v>2096.895845</v>
      </c>
      <c r="JX454" s="42">
        <v>2325.2706399999997</v>
      </c>
      <c r="JY454" s="42">
        <v>228.37479500000003</v>
      </c>
      <c r="KB454" s="42">
        <v>3840.8488250000005</v>
      </c>
      <c r="KC454" s="42">
        <v>934.26052500000014</v>
      </c>
      <c r="KD454" s="42">
        <v>664.36304000000007</v>
      </c>
      <c r="KE454" s="42">
        <v>851.21514500000001</v>
      </c>
      <c r="KF454" s="42">
        <v>1536.3395300000002</v>
      </c>
      <c r="KG454" s="42">
        <v>1557.1008750000001</v>
      </c>
      <c r="KH454" s="42">
        <v>290.65882999999997</v>
      </c>
      <c r="KJ454" s="42">
        <v>1204.1580100000001</v>
      </c>
      <c r="KK454" s="42">
        <v>892.73783500000002</v>
      </c>
      <c r="KL454" s="42">
        <v>934.26052500000014</v>
      </c>
      <c r="KN454" s="42">
        <v>892.73783500000002</v>
      </c>
      <c r="KO454" s="42">
        <v>207.61345000000003</v>
      </c>
      <c r="KP454" s="42">
        <v>747.40842000000021</v>
      </c>
      <c r="KQ454" s="42">
        <v>747.40842000000021</v>
      </c>
      <c r="KZ454" s="33">
        <v>76.927000000000007</v>
      </c>
      <c r="LA454" s="33"/>
      <c r="LB454" s="33"/>
      <c r="LC454" s="33"/>
      <c r="LD454" s="33"/>
      <c r="LE454" s="33"/>
      <c r="LF454" s="33"/>
      <c r="LG454" s="33"/>
      <c r="LH454" s="33"/>
      <c r="LI454" s="33"/>
      <c r="LJ454" s="33"/>
      <c r="LK454" s="33"/>
      <c r="LL454" s="33"/>
      <c r="LM454" s="33"/>
      <c r="LN454" s="33"/>
      <c r="LO454" s="33"/>
      <c r="LP454" s="44">
        <v>225.41400000000002</v>
      </c>
      <c r="LQ454" s="44"/>
      <c r="LR454" s="44"/>
      <c r="LS454" s="44"/>
      <c r="LT454" s="44"/>
      <c r="LU454" s="44"/>
      <c r="LV454" s="44">
        <v>39.358000000000004</v>
      </c>
    </row>
    <row r="455" spans="1:334" x14ac:dyDescent="0.2">
      <c r="A455" s="1" t="s">
        <v>9157</v>
      </c>
      <c r="B455" s="1" t="s">
        <v>9151</v>
      </c>
      <c r="D455" s="1" t="s">
        <v>9158</v>
      </c>
      <c r="E455" s="1" t="s">
        <v>8037</v>
      </c>
      <c r="F455" s="1" t="s">
        <v>8586</v>
      </c>
      <c r="H455" s="1" t="s">
        <v>9159</v>
      </c>
      <c r="I455" s="1">
        <v>3</v>
      </c>
      <c r="J455" s="1" t="s">
        <v>9152</v>
      </c>
      <c r="K455" s="1">
        <v>2006</v>
      </c>
      <c r="L455" s="1" t="s">
        <v>9153</v>
      </c>
      <c r="M455" s="1" t="s">
        <v>7659</v>
      </c>
      <c r="N455" s="17" t="s">
        <v>7945</v>
      </c>
      <c r="O455" s="33"/>
      <c r="P455" s="33"/>
      <c r="Q455" s="33"/>
      <c r="R455" s="33"/>
      <c r="S455" s="33">
        <v>10.48</v>
      </c>
      <c r="T455" s="33"/>
      <c r="U455" s="33">
        <v>6.25</v>
      </c>
      <c r="V455" s="33"/>
      <c r="W455" s="33"/>
      <c r="X455" s="33"/>
      <c r="Y455" s="33"/>
      <c r="Z455" s="33">
        <v>20.723879999999998</v>
      </c>
      <c r="AA455" s="33"/>
      <c r="AB455" s="33"/>
      <c r="AC455" s="33">
        <v>5.5233840000000001</v>
      </c>
      <c r="AD455" s="33"/>
      <c r="AE455" s="33"/>
      <c r="AF455" s="33"/>
      <c r="AG455" s="33"/>
      <c r="AH455" s="33"/>
      <c r="AI455" s="33"/>
      <c r="AJ455" s="33"/>
      <c r="AK455" s="33"/>
      <c r="AL455" s="33"/>
      <c r="AM455" s="33"/>
      <c r="AN455" s="33"/>
      <c r="AO455" s="33"/>
      <c r="AP455" s="33">
        <v>32.844887999999997</v>
      </c>
      <c r="AQ455" s="33"/>
      <c r="AR455" s="33"/>
      <c r="AS455" s="33"/>
      <c r="AT455" s="33"/>
      <c r="AU455" s="33"/>
      <c r="AV455" s="33"/>
      <c r="AW455" s="33"/>
      <c r="AX455" s="33">
        <v>0.56397599999999992</v>
      </c>
      <c r="AY455" s="33"/>
      <c r="AZ455" s="33"/>
      <c r="BA455" s="33"/>
      <c r="BB455" s="33"/>
      <c r="BC455" s="33"/>
      <c r="BD455" s="33"/>
      <c r="BE455" s="33">
        <v>4.4401919999999997</v>
      </c>
      <c r="BF455" s="33"/>
      <c r="BG455" s="33"/>
      <c r="BH455" s="33"/>
      <c r="BI455" s="33"/>
      <c r="BJ455" s="33"/>
      <c r="BK455" s="33"/>
      <c r="BL455" s="33"/>
      <c r="BM455" s="33"/>
      <c r="BN455" s="33"/>
      <c r="BO455" s="33"/>
      <c r="BP455" s="33"/>
      <c r="BQ455" s="33"/>
      <c r="BR455" s="33"/>
      <c r="BS455" s="33"/>
      <c r="BT455" s="33"/>
      <c r="BU455" s="33"/>
      <c r="BV455" s="33"/>
      <c r="BW455" s="33"/>
      <c r="BX455" s="33">
        <v>0.72511199999999998</v>
      </c>
      <c r="BY455" s="33">
        <v>1.0652879999999998</v>
      </c>
      <c r="BZ455" s="33">
        <v>0</v>
      </c>
      <c r="CA455" s="33"/>
      <c r="CB455" s="33"/>
      <c r="CC455" s="33"/>
      <c r="CD455" s="33"/>
      <c r="CE455" s="33"/>
      <c r="CF455" s="33"/>
      <c r="CG455" s="33"/>
      <c r="CH455" s="33"/>
      <c r="CI455" s="33"/>
      <c r="CJ455" s="33"/>
      <c r="CK455" s="33"/>
      <c r="CL455" s="33"/>
      <c r="CM455" s="33"/>
      <c r="CN455" s="33"/>
      <c r="CO455" s="33">
        <v>3.186912</v>
      </c>
      <c r="CP455" s="33">
        <v>117.27119999999999</v>
      </c>
      <c r="CQ455" s="33"/>
      <c r="CR455" s="33">
        <v>0.72511199999999998</v>
      </c>
      <c r="CS455" s="33">
        <v>6.3559200000000002</v>
      </c>
      <c r="CT455" s="33"/>
      <c r="CU455" s="33">
        <v>364.34640000000002</v>
      </c>
      <c r="CV455" s="33">
        <v>153.07920000000001</v>
      </c>
      <c r="CW455" s="33">
        <v>1.7008799999999999</v>
      </c>
      <c r="CX455" s="33" t="s">
        <v>9374</v>
      </c>
      <c r="CY455" s="33">
        <v>186.20159999999998</v>
      </c>
      <c r="CZ455" s="33"/>
      <c r="DA455" s="33">
        <v>3.4823279999999999</v>
      </c>
      <c r="DB455" s="33"/>
      <c r="DC455" s="33"/>
      <c r="DD455" s="33"/>
      <c r="DE455" s="33"/>
      <c r="DF455" s="33"/>
      <c r="DG455" s="33"/>
      <c r="DH455" s="33"/>
      <c r="DI455" s="33"/>
      <c r="DJ455" s="33"/>
      <c r="DK455" s="33"/>
      <c r="DL455" s="33"/>
      <c r="DM455" s="33"/>
      <c r="DN455" s="33"/>
      <c r="DO455" s="33"/>
      <c r="DP455" s="33">
        <v>0.14412719999999998</v>
      </c>
      <c r="DQ455" s="33"/>
      <c r="DR455" s="33">
        <v>8.0863416000000007E-2</v>
      </c>
      <c r="DS455" s="33"/>
      <c r="DT455" s="33"/>
      <c r="DU455" s="33"/>
      <c r="DV455" s="33">
        <v>7.3701815999999989E-2</v>
      </c>
      <c r="DW455" s="33"/>
      <c r="DX455" s="33"/>
      <c r="DY455" s="33"/>
      <c r="DZ455" s="33"/>
      <c r="EA455" s="33"/>
      <c r="EB455" s="33">
        <v>0.27422661599999998</v>
      </c>
      <c r="EC455" s="33"/>
      <c r="ED455" s="33"/>
      <c r="EE455" s="33"/>
      <c r="EF455" s="33"/>
      <c r="EG455" s="33"/>
      <c r="EH455" s="33"/>
      <c r="EI455" s="33"/>
      <c r="EJ455" s="33"/>
      <c r="EK455" s="33"/>
      <c r="EL455" s="33"/>
      <c r="EM455" s="33"/>
      <c r="EN455" s="33"/>
      <c r="EO455" s="33"/>
      <c r="EP455" s="33"/>
      <c r="EQ455" s="33"/>
      <c r="ER455" s="33"/>
      <c r="ES455" s="33"/>
      <c r="ET455" s="33"/>
      <c r="EU455" s="33"/>
      <c r="EV455" s="33"/>
      <c r="EW455" s="33"/>
      <c r="EX455" s="33"/>
      <c r="EY455" s="33"/>
      <c r="EZ455" s="33"/>
      <c r="FA455" s="33"/>
      <c r="FB455" s="33"/>
      <c r="FC455" s="33"/>
      <c r="FD455" s="33"/>
      <c r="FE455" s="33"/>
      <c r="FF455" s="33"/>
      <c r="FG455" s="33"/>
      <c r="FH455" s="33"/>
      <c r="FI455" s="33"/>
      <c r="FJ455" s="33"/>
      <c r="FK455" s="33"/>
      <c r="FL455" s="33"/>
      <c r="FM455" s="33"/>
      <c r="FN455" s="33"/>
      <c r="FO455" s="33"/>
      <c r="FP455" s="33"/>
      <c r="FQ455" s="33"/>
      <c r="FR455" s="33"/>
      <c r="FS455" s="33"/>
      <c r="FT455" s="33"/>
      <c r="FU455" s="33"/>
      <c r="FV455" s="33"/>
      <c r="FW455" s="33"/>
      <c r="FX455" s="33"/>
      <c r="FY455" s="33"/>
      <c r="FZ455" s="33"/>
      <c r="GA455" s="33"/>
      <c r="GB455" s="33"/>
      <c r="GC455" s="33"/>
      <c r="GD455" s="33"/>
      <c r="GE455" s="33"/>
      <c r="GF455" s="33"/>
      <c r="GG455" s="33"/>
      <c r="GH455" s="33"/>
      <c r="GI455" s="33"/>
      <c r="GJ455" s="33"/>
      <c r="GK455" s="33"/>
      <c r="GL455" s="33"/>
      <c r="GM455" s="33"/>
      <c r="GN455" s="33"/>
      <c r="GO455" s="33"/>
      <c r="GP455" s="33"/>
      <c r="GQ455" s="33"/>
      <c r="GR455" s="33"/>
      <c r="GS455" s="33"/>
      <c r="GT455" s="33"/>
      <c r="GU455" s="33"/>
      <c r="GV455" s="33"/>
      <c r="GW455" s="33"/>
      <c r="GX455" s="33"/>
      <c r="GY455" s="33"/>
      <c r="GZ455" s="33"/>
      <c r="HA455" s="33"/>
      <c r="HB455" s="33"/>
      <c r="HC455" s="33"/>
      <c r="HD455" s="33"/>
      <c r="HE455" s="33"/>
      <c r="HF455" s="33"/>
      <c r="HG455" s="33"/>
      <c r="HH455" s="33"/>
      <c r="HI455" s="33"/>
      <c r="HJ455" s="33"/>
      <c r="HK455" s="33"/>
      <c r="HL455" s="33"/>
      <c r="HM455" s="33"/>
      <c r="HN455" s="33"/>
      <c r="HO455" s="33"/>
      <c r="HP455" s="33"/>
      <c r="HQ455" s="33"/>
      <c r="HR455" s="33"/>
      <c r="HS455" s="33"/>
      <c r="HT455" s="33"/>
      <c r="HU455" s="33"/>
      <c r="HV455" s="33"/>
      <c r="HW455" s="33"/>
      <c r="HX455" s="33"/>
      <c r="HY455" s="33"/>
      <c r="HZ455" s="33"/>
      <c r="IA455" s="33"/>
      <c r="IB455" s="33"/>
      <c r="IC455" s="33"/>
      <c r="ID455" s="33"/>
      <c r="IE455" s="33"/>
      <c r="IF455" s="33"/>
      <c r="IG455" s="33"/>
      <c r="IH455" s="33"/>
      <c r="II455" s="33"/>
      <c r="IJ455" s="33"/>
      <c r="IK455" s="33"/>
      <c r="IL455" s="33"/>
      <c r="IM455" s="33"/>
      <c r="IN455" s="33"/>
      <c r="IO455" s="33"/>
      <c r="IP455" s="33"/>
      <c r="IQ455" s="33"/>
      <c r="IR455" s="33"/>
      <c r="IS455" s="33"/>
      <c r="IT455" s="33"/>
      <c r="IU455" s="33"/>
      <c r="IV455" s="33"/>
      <c r="IW455" s="33"/>
      <c r="IX455" s="33"/>
      <c r="IY455" s="33"/>
      <c r="IZ455" s="33"/>
      <c r="JA455" s="33"/>
      <c r="JB455" s="33"/>
      <c r="JC455" s="33"/>
      <c r="JD455" s="33"/>
      <c r="JE455" s="33"/>
      <c r="JF455" s="33"/>
      <c r="JG455" s="33"/>
      <c r="JH455" s="33"/>
      <c r="JI455" s="33"/>
      <c r="JJ455" s="33"/>
      <c r="JK455" s="33"/>
      <c r="JL455" s="33"/>
      <c r="JM455" s="33"/>
      <c r="JN455" s="33"/>
      <c r="JO455" s="33"/>
      <c r="JP455" s="33"/>
      <c r="JQ455" s="33"/>
      <c r="JR455" s="33"/>
      <c r="JU455" s="42">
        <v>849.67907999999977</v>
      </c>
      <c r="JV455" s="42">
        <v>2072.3879999999995</v>
      </c>
      <c r="JX455" s="42">
        <v>2362.52232</v>
      </c>
      <c r="JY455" s="42">
        <v>207.23879999999997</v>
      </c>
      <c r="KB455" s="42">
        <v>3730.2983999999997</v>
      </c>
      <c r="KC455" s="42">
        <v>808.23131999999987</v>
      </c>
      <c r="KD455" s="42">
        <v>642.44028000000003</v>
      </c>
      <c r="KE455" s="42">
        <v>828.95519999999988</v>
      </c>
      <c r="KF455" s="42">
        <v>1512.8432399999997</v>
      </c>
      <c r="KG455" s="42">
        <v>1533.5671199999999</v>
      </c>
      <c r="KH455" s="42">
        <v>290.13431999999995</v>
      </c>
      <c r="KJ455" s="42">
        <v>1201.9850399999998</v>
      </c>
      <c r="KK455" s="42">
        <v>1056.9178799999997</v>
      </c>
      <c r="KL455" s="42">
        <v>994.74623999999994</v>
      </c>
      <c r="KN455" s="42">
        <v>932.57459999999992</v>
      </c>
      <c r="KO455" s="42">
        <v>207.23879999999997</v>
      </c>
      <c r="KP455" s="42">
        <v>746.05967999999984</v>
      </c>
      <c r="KQ455" s="42">
        <v>746.05967999999984</v>
      </c>
      <c r="KZ455" s="33">
        <v>63.55919999999999</v>
      </c>
      <c r="LA455" s="33"/>
      <c r="LB455" s="33"/>
      <c r="LC455" s="33"/>
      <c r="LD455" s="33"/>
      <c r="LE455" s="33"/>
      <c r="LF455" s="33"/>
      <c r="LG455" s="33"/>
      <c r="LH455" s="33"/>
      <c r="LI455" s="33"/>
      <c r="LJ455" s="33"/>
      <c r="LK455" s="33"/>
      <c r="LL455" s="33"/>
      <c r="LM455" s="33"/>
      <c r="LN455" s="33"/>
      <c r="LO455" s="33"/>
      <c r="LP455" s="44">
        <v>216.63839999999999</v>
      </c>
      <c r="LQ455" s="44"/>
      <c r="LR455" s="44"/>
      <c r="LS455" s="44"/>
      <c r="LT455" s="44"/>
      <c r="LU455" s="44"/>
      <c r="LV455" s="44">
        <v>45.655200000000001</v>
      </c>
    </row>
    <row r="456" spans="1:334" x14ac:dyDescent="0.2">
      <c r="A456" s="1" t="s">
        <v>9160</v>
      </c>
      <c r="B456" s="1" t="s">
        <v>9151</v>
      </c>
      <c r="D456" s="1" t="s">
        <v>9161</v>
      </c>
      <c r="E456" s="1" t="s">
        <v>8037</v>
      </c>
      <c r="F456" s="1" t="s">
        <v>8586</v>
      </c>
      <c r="H456" s="1" t="s">
        <v>9162</v>
      </c>
      <c r="I456" s="1">
        <v>3</v>
      </c>
      <c r="J456" s="1" t="s">
        <v>9152</v>
      </c>
      <c r="K456" s="1">
        <v>2006</v>
      </c>
      <c r="L456" s="1" t="s">
        <v>9153</v>
      </c>
      <c r="M456" s="1" t="s">
        <v>7659</v>
      </c>
      <c r="N456" s="17" t="s">
        <v>7945</v>
      </c>
      <c r="O456" s="33"/>
      <c r="P456" s="33"/>
      <c r="Q456" s="33"/>
      <c r="R456" s="33"/>
      <c r="S456" s="33">
        <v>10.39</v>
      </c>
      <c r="T456" s="33"/>
      <c r="U456" s="33">
        <v>6.25</v>
      </c>
      <c r="V456" s="33"/>
      <c r="W456" s="33"/>
      <c r="X456" s="33"/>
      <c r="Y456" s="33"/>
      <c r="Z456" s="33">
        <v>20.753675999999999</v>
      </c>
      <c r="AA456" s="33"/>
      <c r="AB456" s="33"/>
      <c r="AC456" s="33">
        <v>5.564781</v>
      </c>
      <c r="AD456" s="33"/>
      <c r="AE456" s="33"/>
      <c r="AF456" s="33"/>
      <c r="AG456" s="33"/>
      <c r="AH456" s="33"/>
      <c r="AI456" s="33"/>
      <c r="AJ456" s="33"/>
      <c r="AK456" s="33"/>
      <c r="AL456" s="33"/>
      <c r="AM456" s="33"/>
      <c r="AN456" s="33"/>
      <c r="AO456" s="33"/>
      <c r="AP456" s="33">
        <v>32.985441000000002</v>
      </c>
      <c r="AQ456" s="33"/>
      <c r="AR456" s="33"/>
      <c r="AS456" s="33"/>
      <c r="AT456" s="33"/>
      <c r="AU456" s="33"/>
      <c r="AV456" s="33"/>
      <c r="AW456" s="33"/>
      <c r="AX456" s="33">
        <v>0.600387</v>
      </c>
      <c r="AY456" s="33"/>
      <c r="AZ456" s="33"/>
      <c r="BA456" s="33"/>
      <c r="BB456" s="33"/>
      <c r="BC456" s="33"/>
      <c r="BD456" s="33"/>
      <c r="BE456" s="33">
        <v>4.3192020000000007</v>
      </c>
      <c r="BF456" s="33"/>
      <c r="BG456" s="33"/>
      <c r="BH456" s="33"/>
      <c r="BI456" s="33"/>
      <c r="BJ456" s="33"/>
      <c r="BK456" s="33"/>
      <c r="BL456" s="33"/>
      <c r="BM456" s="33"/>
      <c r="BN456" s="33"/>
      <c r="BO456" s="33"/>
      <c r="BP456" s="33"/>
      <c r="BQ456" s="33"/>
      <c r="BR456" s="33"/>
      <c r="BS456" s="33"/>
      <c r="BT456" s="33"/>
      <c r="BU456" s="33"/>
      <c r="BV456" s="33"/>
      <c r="BW456" s="33"/>
      <c r="BX456" s="33">
        <v>0.63623099999999999</v>
      </c>
      <c r="BY456" s="33">
        <v>1.218696</v>
      </c>
      <c r="BZ456" s="33">
        <v>0</v>
      </c>
      <c r="CA456" s="33"/>
      <c r="CB456" s="33"/>
      <c r="CC456" s="33"/>
      <c r="CD456" s="33"/>
      <c r="CE456" s="33"/>
      <c r="CF456" s="33"/>
      <c r="CG456" s="33"/>
      <c r="CH456" s="33"/>
      <c r="CI456" s="33"/>
      <c r="CJ456" s="33"/>
      <c r="CK456" s="33"/>
      <c r="CL456" s="33"/>
      <c r="CM456" s="33"/>
      <c r="CN456" s="33"/>
      <c r="CO456" s="33">
        <v>3.145311</v>
      </c>
      <c r="CP456" s="33">
        <v>117.3891</v>
      </c>
      <c r="CQ456" s="33"/>
      <c r="CR456" s="33">
        <v>0.84233399999999992</v>
      </c>
      <c r="CS456" s="33">
        <v>6.5415299999999998</v>
      </c>
      <c r="CT456" s="33"/>
      <c r="CU456" s="33">
        <v>387.11519999999996</v>
      </c>
      <c r="CV456" s="33">
        <v>155.02530000000002</v>
      </c>
      <c r="CW456" s="33">
        <v>1.8190829999999998</v>
      </c>
      <c r="CX456" s="33" t="s">
        <v>9374</v>
      </c>
      <c r="CY456" s="33">
        <v>193.55759999999998</v>
      </c>
      <c r="CZ456" s="33"/>
      <c r="DA456" s="33">
        <v>3.5395949999999998</v>
      </c>
      <c r="DB456" s="33"/>
      <c r="DC456" s="33"/>
      <c r="DD456" s="33"/>
      <c r="DE456" s="33"/>
      <c r="DF456" s="33"/>
      <c r="DG456" s="33"/>
      <c r="DH456" s="33"/>
      <c r="DI456" s="33"/>
      <c r="DJ456" s="33"/>
      <c r="DK456" s="33"/>
      <c r="DL456" s="33"/>
      <c r="DM456" s="33"/>
      <c r="DN456" s="33"/>
      <c r="DO456" s="33"/>
      <c r="DP456" s="33">
        <v>0.17205119999999999</v>
      </c>
      <c r="DQ456" s="33"/>
      <c r="DR456" s="33">
        <v>9.0801812999999995E-2</v>
      </c>
      <c r="DS456" s="33"/>
      <c r="DT456" s="33"/>
      <c r="DU456" s="33"/>
      <c r="DV456" s="33">
        <v>0.20012601300000002</v>
      </c>
      <c r="DW456" s="33"/>
      <c r="DX456" s="33"/>
      <c r="DY456" s="33"/>
      <c r="DZ456" s="33"/>
      <c r="EA456" s="33"/>
      <c r="EB456" s="33">
        <v>0.33603750000000004</v>
      </c>
      <c r="EC456" s="33"/>
      <c r="ED456" s="33"/>
      <c r="EE456" s="33"/>
      <c r="EF456" s="33"/>
      <c r="EG456" s="33"/>
      <c r="EH456" s="33"/>
      <c r="EI456" s="33"/>
      <c r="EJ456" s="33"/>
      <c r="EK456" s="33"/>
      <c r="EL456" s="33"/>
      <c r="EM456" s="33"/>
      <c r="EN456" s="33"/>
      <c r="EO456" s="33"/>
      <c r="EP456" s="33"/>
      <c r="EQ456" s="33"/>
      <c r="ER456" s="33"/>
      <c r="ES456" s="33"/>
      <c r="ET456" s="33"/>
      <c r="EU456" s="33"/>
      <c r="EV456" s="33"/>
      <c r="EW456" s="33"/>
      <c r="EX456" s="33"/>
      <c r="EY456" s="33"/>
      <c r="EZ456" s="33"/>
      <c r="FA456" s="33"/>
      <c r="FB456" s="33"/>
      <c r="FC456" s="33"/>
      <c r="FD456" s="33"/>
      <c r="FE456" s="33"/>
      <c r="FF456" s="33"/>
      <c r="FG456" s="33"/>
      <c r="FH456" s="33"/>
      <c r="FI456" s="33"/>
      <c r="FJ456" s="33"/>
      <c r="FK456" s="33"/>
      <c r="FL456" s="33"/>
      <c r="FM456" s="33"/>
      <c r="FN456" s="33"/>
      <c r="FO456" s="33"/>
      <c r="FP456" s="33"/>
      <c r="FQ456" s="33"/>
      <c r="FR456" s="33"/>
      <c r="FS456" s="33"/>
      <c r="FT456" s="33"/>
      <c r="FU456" s="33"/>
      <c r="FV456" s="33"/>
      <c r="FW456" s="33"/>
      <c r="FX456" s="33"/>
      <c r="FY456" s="33"/>
      <c r="FZ456" s="33"/>
      <c r="GA456" s="33"/>
      <c r="GB456" s="33"/>
      <c r="GC456" s="33"/>
      <c r="GD456" s="33"/>
      <c r="GE456" s="33"/>
      <c r="GF456" s="33"/>
      <c r="GG456" s="33"/>
      <c r="GH456" s="33"/>
      <c r="GI456" s="33"/>
      <c r="GJ456" s="33"/>
      <c r="GK456" s="33"/>
      <c r="GL456" s="33"/>
      <c r="GM456" s="33"/>
      <c r="GN456" s="33"/>
      <c r="GO456" s="33"/>
      <c r="GP456" s="33"/>
      <c r="GQ456" s="33"/>
      <c r="GR456" s="33"/>
      <c r="GS456" s="33"/>
      <c r="GT456" s="33"/>
      <c r="GU456" s="33"/>
      <c r="GV456" s="33"/>
      <c r="GW456" s="33"/>
      <c r="GX456" s="33"/>
      <c r="GY456" s="33"/>
      <c r="GZ456" s="33"/>
      <c r="HA456" s="33"/>
      <c r="HB456" s="33"/>
      <c r="HC456" s="33"/>
      <c r="HD456" s="33"/>
      <c r="HE456" s="33"/>
      <c r="HF456" s="33"/>
      <c r="HG456" s="33"/>
      <c r="HH456" s="33"/>
      <c r="HI456" s="33"/>
      <c r="HJ456" s="33"/>
      <c r="HK456" s="33"/>
      <c r="HL456" s="33"/>
      <c r="HM456" s="33"/>
      <c r="HN456" s="33"/>
      <c r="HO456" s="33"/>
      <c r="HP456" s="33"/>
      <c r="HQ456" s="33"/>
      <c r="HR456" s="33"/>
      <c r="HS456" s="33"/>
      <c r="HT456" s="33"/>
      <c r="HU456" s="33"/>
      <c r="HV456" s="33"/>
      <c r="HW456" s="33"/>
      <c r="HX456" s="33"/>
      <c r="HY456" s="33"/>
      <c r="HZ456" s="33"/>
      <c r="IA456" s="33"/>
      <c r="IB456" s="33"/>
      <c r="IC456" s="33"/>
      <c r="ID456" s="33"/>
      <c r="IE456" s="33"/>
      <c r="IF456" s="33"/>
      <c r="IG456" s="33"/>
      <c r="IH456" s="33"/>
      <c r="II456" s="33"/>
      <c r="IJ456" s="33"/>
      <c r="IK456" s="33"/>
      <c r="IL456" s="33"/>
      <c r="IM456" s="33"/>
      <c r="IN456" s="33"/>
      <c r="IO456" s="33"/>
      <c r="IP456" s="33"/>
      <c r="IQ456" s="33"/>
      <c r="IR456" s="33"/>
      <c r="IS456" s="33"/>
      <c r="IT456" s="33"/>
      <c r="IU456" s="33"/>
      <c r="IV456" s="33"/>
      <c r="IW456" s="33"/>
      <c r="IX456" s="33"/>
      <c r="IY456" s="33"/>
      <c r="IZ456" s="33"/>
      <c r="JA456" s="33"/>
      <c r="JB456" s="33"/>
      <c r="JC456" s="33"/>
      <c r="JD456" s="33"/>
      <c r="JE456" s="33"/>
      <c r="JF456" s="33"/>
      <c r="JG456" s="33"/>
      <c r="JH456" s="33"/>
      <c r="JI456" s="33"/>
      <c r="JJ456" s="33"/>
      <c r="JK456" s="33"/>
      <c r="JL456" s="33"/>
      <c r="JM456" s="33"/>
      <c r="JN456" s="33"/>
      <c r="JO456" s="33"/>
      <c r="JP456" s="33"/>
      <c r="JQ456" s="33"/>
      <c r="JR456" s="33"/>
      <c r="JU456" s="42">
        <v>767.88601200000005</v>
      </c>
      <c r="JV456" s="42">
        <v>2096.1212759999999</v>
      </c>
      <c r="JX456" s="42">
        <v>2324.4117119999996</v>
      </c>
      <c r="JY456" s="42">
        <v>249.04411199999998</v>
      </c>
      <c r="KB456" s="42">
        <v>3714.9080039999999</v>
      </c>
      <c r="KC456" s="42">
        <v>830.14703999999995</v>
      </c>
      <c r="KD456" s="42">
        <v>664.11763199999996</v>
      </c>
      <c r="KE456" s="42">
        <v>850.90071599999987</v>
      </c>
      <c r="KF456" s="42">
        <v>1535.7720240000001</v>
      </c>
      <c r="KG456" s="42">
        <v>1598.033052</v>
      </c>
      <c r="KH456" s="42">
        <v>290.55146399999995</v>
      </c>
      <c r="KJ456" s="42">
        <v>1203.7132079999999</v>
      </c>
      <c r="KK456" s="42">
        <v>1037.6838</v>
      </c>
      <c r="KL456" s="42">
        <v>933.91541999999981</v>
      </c>
      <c r="KN456" s="42">
        <v>933.91541999999981</v>
      </c>
      <c r="KO456" s="42">
        <v>207.53675999999999</v>
      </c>
      <c r="KP456" s="42">
        <v>767.88601200000005</v>
      </c>
      <c r="KQ456" s="42">
        <v>747.1323359999999</v>
      </c>
      <c r="KZ456" s="33">
        <v>67.207499999999996</v>
      </c>
      <c r="LA456" s="33"/>
      <c r="LB456" s="33"/>
      <c r="LC456" s="33"/>
      <c r="LD456" s="33"/>
      <c r="LE456" s="33"/>
      <c r="LF456" s="33"/>
      <c r="LG456" s="33"/>
      <c r="LH456" s="33"/>
      <c r="LI456" s="33"/>
      <c r="LJ456" s="33"/>
      <c r="LK456" s="33"/>
      <c r="LL456" s="33"/>
      <c r="LM456" s="33"/>
      <c r="LN456" s="33"/>
      <c r="LO456" s="33"/>
      <c r="LP456" s="44">
        <v>224.02500000000001</v>
      </c>
      <c r="LQ456" s="44"/>
      <c r="LR456" s="44"/>
      <c r="LS456" s="44"/>
      <c r="LT456" s="44"/>
      <c r="LU456" s="44"/>
      <c r="LV456" s="44">
        <v>43.012799999999999</v>
      </c>
    </row>
    <row r="457" spans="1:334" x14ac:dyDescent="0.2">
      <c r="A457" s="1" t="s">
        <v>9163</v>
      </c>
      <c r="B457" s="1" t="s">
        <v>9164</v>
      </c>
      <c r="D457" s="1" t="s">
        <v>9122</v>
      </c>
      <c r="E457" s="1" t="s">
        <v>7</v>
      </c>
      <c r="F457" s="1" t="s">
        <v>688</v>
      </c>
      <c r="I457" s="1">
        <v>2</v>
      </c>
      <c r="J457" s="1" t="s">
        <v>9165</v>
      </c>
      <c r="K457" s="1">
        <v>2006</v>
      </c>
      <c r="L457" s="1" t="s">
        <v>9166</v>
      </c>
      <c r="M457" s="1" t="s">
        <v>7659</v>
      </c>
      <c r="N457" s="17" t="s">
        <v>7945</v>
      </c>
      <c r="O457" s="33"/>
      <c r="P457" s="33"/>
      <c r="Q457" s="33"/>
      <c r="R457" s="33"/>
      <c r="S457" s="33">
        <v>10.5</v>
      </c>
      <c r="T457" s="33"/>
      <c r="U457" s="33">
        <v>6.25</v>
      </c>
      <c r="V457" s="33"/>
      <c r="W457" s="33"/>
      <c r="X457" s="33"/>
      <c r="Y457" s="33"/>
      <c r="Z457" s="33">
        <v>16.288999999999998</v>
      </c>
      <c r="AA457" s="33"/>
      <c r="AB457" s="33"/>
      <c r="AC457" s="33"/>
      <c r="AD457" s="33"/>
      <c r="AE457" s="33"/>
      <c r="AF457" s="33"/>
      <c r="AG457" s="33"/>
      <c r="AH457" s="33"/>
      <c r="AI457" s="33"/>
      <c r="AJ457" s="33"/>
      <c r="AK457" s="33"/>
      <c r="AL457" s="33"/>
      <c r="AM457" s="33"/>
      <c r="AN457" s="33"/>
      <c r="AO457" s="33">
        <v>38.305999999999997</v>
      </c>
      <c r="AP457" s="33"/>
      <c r="AQ457" s="33"/>
      <c r="AR457" s="33"/>
      <c r="AS457" s="33"/>
      <c r="AT457" s="33"/>
      <c r="AU457" s="33"/>
      <c r="AV457" s="33"/>
      <c r="AW457" s="33"/>
      <c r="AX457" s="33"/>
      <c r="AY457" s="33"/>
      <c r="AZ457" s="33"/>
      <c r="BA457" s="33"/>
      <c r="BB457" s="33"/>
      <c r="BC457" s="33"/>
      <c r="BD457" s="33"/>
      <c r="BE457" s="33"/>
      <c r="BF457" s="33"/>
      <c r="BG457" s="33"/>
      <c r="BH457" s="33"/>
      <c r="BI457" s="33"/>
      <c r="BJ457" s="33"/>
      <c r="BK457" s="33"/>
      <c r="BL457" s="33"/>
      <c r="BM457" s="33"/>
      <c r="BN457" s="33"/>
      <c r="BO457" s="33"/>
      <c r="BP457" s="33"/>
      <c r="BQ457" s="33"/>
      <c r="BR457" s="33"/>
      <c r="BS457" s="33"/>
      <c r="BT457" s="33"/>
      <c r="BU457" s="33"/>
      <c r="BV457" s="33"/>
      <c r="BW457" s="33"/>
      <c r="BX457" s="33"/>
      <c r="BY457" s="33"/>
      <c r="BZ457" s="33"/>
      <c r="CA457" s="33"/>
      <c r="CB457" s="33"/>
      <c r="CC457" s="33"/>
      <c r="CD457" s="33"/>
      <c r="CE457" s="33"/>
      <c r="CF457" s="33"/>
      <c r="CG457" s="33"/>
      <c r="CH457" s="33"/>
      <c r="CI457" s="33"/>
      <c r="CJ457" s="33"/>
      <c r="CK457" s="33"/>
      <c r="CL457" s="33"/>
      <c r="CM457" s="33"/>
      <c r="CN457" s="33"/>
      <c r="CO457" s="33">
        <v>2.2374999999999998</v>
      </c>
      <c r="CP457" s="33"/>
      <c r="CQ457" s="33"/>
      <c r="CR457" s="33"/>
      <c r="CS457" s="33">
        <v>6.5335000000000001</v>
      </c>
      <c r="CT457" s="33"/>
      <c r="CU457" s="33"/>
      <c r="CV457" s="33"/>
      <c r="CW457" s="33"/>
      <c r="CX457" s="33"/>
      <c r="CY457" s="33"/>
      <c r="CZ457" s="33"/>
      <c r="DA457" s="33"/>
      <c r="DB457" s="33"/>
      <c r="DC457" s="33"/>
      <c r="DD457" s="33"/>
      <c r="DE457" s="33"/>
      <c r="DF457" s="33"/>
      <c r="DG457" s="33"/>
      <c r="DH457" s="33"/>
      <c r="DI457" s="33"/>
      <c r="DJ457" s="33"/>
      <c r="DK457" s="33"/>
      <c r="DL457" s="33"/>
      <c r="DM457" s="33"/>
      <c r="DN457" s="33"/>
      <c r="DO457" s="33"/>
      <c r="DP457" s="33">
        <v>0.27745000000000003</v>
      </c>
      <c r="DQ457" s="33"/>
      <c r="DR457" s="33"/>
      <c r="DS457" s="33"/>
      <c r="DT457" s="33"/>
      <c r="DU457" s="33"/>
      <c r="DV457" s="33"/>
      <c r="DW457" s="33"/>
      <c r="DX457" s="33"/>
      <c r="DY457" s="33"/>
      <c r="DZ457" s="33"/>
      <c r="EA457" s="33"/>
      <c r="EB457" s="33"/>
      <c r="EC457" s="33"/>
      <c r="ED457" s="33">
        <v>2.1479999999999997</v>
      </c>
      <c r="EE457" s="33"/>
      <c r="EF457" s="33"/>
      <c r="EG457" s="33"/>
      <c r="EH457" s="33"/>
      <c r="EI457" s="33"/>
      <c r="EJ457" s="33"/>
      <c r="EK457" s="33"/>
      <c r="EL457" s="33"/>
      <c r="EM457" s="33"/>
      <c r="EN457" s="33"/>
      <c r="EO457" s="33"/>
      <c r="EP457" s="33"/>
      <c r="EQ457" s="33"/>
      <c r="ER457" s="33"/>
      <c r="ES457" s="33"/>
      <c r="ET457" s="33"/>
      <c r="EU457" s="33"/>
      <c r="EV457" s="33"/>
      <c r="EW457" s="33"/>
      <c r="EX457" s="33"/>
      <c r="EY457" s="33"/>
      <c r="EZ457" s="33"/>
      <c r="FA457" s="33"/>
      <c r="FB457" s="33"/>
      <c r="FC457" s="33"/>
      <c r="FD457" s="33"/>
      <c r="FE457" s="33"/>
      <c r="FF457" s="33"/>
      <c r="FG457" s="33"/>
      <c r="FH457" s="33"/>
      <c r="FI457" s="33"/>
      <c r="FJ457" s="33"/>
      <c r="FK457" s="33"/>
      <c r="FL457" s="33"/>
      <c r="FM457" s="33"/>
      <c r="FN457" s="33"/>
      <c r="FO457" s="33"/>
      <c r="FP457" s="33"/>
      <c r="FQ457" s="33"/>
      <c r="FR457" s="33"/>
      <c r="FS457" s="33"/>
      <c r="FT457" s="33"/>
      <c r="FU457" s="33"/>
      <c r="FV457" s="33"/>
      <c r="FW457" s="33"/>
      <c r="FX457" s="33"/>
      <c r="FY457" s="33"/>
      <c r="FZ457" s="33"/>
      <c r="GA457" s="33"/>
      <c r="GB457" s="33"/>
      <c r="GC457" s="33"/>
      <c r="GD457" s="33"/>
      <c r="GE457" s="33"/>
      <c r="GF457" s="33"/>
      <c r="GG457" s="33"/>
      <c r="GH457" s="33"/>
      <c r="GI457" s="33"/>
      <c r="GJ457" s="33"/>
      <c r="GK457" s="33"/>
      <c r="GL457" s="33"/>
      <c r="GM457" s="33"/>
      <c r="GN457" s="33"/>
      <c r="GO457" s="33"/>
      <c r="GP457" s="33"/>
      <c r="GQ457" s="33"/>
      <c r="GR457" s="33"/>
      <c r="GS457" s="33"/>
      <c r="GT457" s="33"/>
      <c r="GU457" s="33"/>
      <c r="GV457" s="33"/>
      <c r="GW457" s="33"/>
      <c r="GX457" s="33"/>
      <c r="GY457" s="33"/>
      <c r="GZ457" s="33"/>
      <c r="HA457" s="33"/>
      <c r="HB457" s="33"/>
      <c r="HC457" s="33"/>
      <c r="HD457" s="33"/>
      <c r="HE457" s="33"/>
      <c r="HF457" s="33"/>
      <c r="HG457" s="33"/>
      <c r="HH457" s="33"/>
      <c r="HI457" s="33"/>
      <c r="HJ457" s="33"/>
      <c r="HK457" s="33"/>
      <c r="HL457" s="33"/>
      <c r="HM457" s="33"/>
      <c r="HN457" s="33"/>
      <c r="HO457" s="33"/>
      <c r="HP457" s="33"/>
      <c r="HQ457" s="33"/>
      <c r="HR457" s="33"/>
      <c r="HS457" s="33"/>
      <c r="HT457" s="33"/>
      <c r="HU457" s="33"/>
      <c r="HV457" s="33"/>
      <c r="HW457" s="33"/>
      <c r="HX457" s="33"/>
      <c r="HY457" s="33"/>
      <c r="HZ457" s="33"/>
      <c r="IA457" s="33"/>
      <c r="IB457" s="33"/>
      <c r="IC457" s="33"/>
      <c r="ID457" s="33"/>
      <c r="IE457" s="33"/>
      <c r="IF457" s="33"/>
      <c r="IG457" s="33"/>
      <c r="IH457" s="33"/>
      <c r="II457" s="33"/>
      <c r="IJ457" s="33"/>
      <c r="IK457" s="33"/>
      <c r="IL457" s="33"/>
      <c r="IM457" s="33"/>
      <c r="IN457" s="33"/>
      <c r="IO457" s="33"/>
      <c r="IP457" s="33"/>
      <c r="IQ457" s="33"/>
      <c r="IR457" s="33"/>
      <c r="IS457" s="33"/>
      <c r="IT457" s="33"/>
      <c r="IU457" s="33"/>
      <c r="IV457" s="33"/>
      <c r="IW457" s="33"/>
      <c r="IX457" s="33"/>
      <c r="IY457" s="33"/>
      <c r="IZ457" s="33"/>
      <c r="JA457" s="33"/>
      <c r="JB457" s="33"/>
      <c r="JC457" s="33"/>
      <c r="JD457" s="33"/>
      <c r="JE457" s="33"/>
      <c r="JF457" s="33"/>
      <c r="JG457" s="33"/>
      <c r="JH457" s="33"/>
      <c r="JI457" s="33"/>
      <c r="JJ457" s="33"/>
      <c r="JK457" s="33"/>
      <c r="JL457" s="33"/>
      <c r="JM457" s="33"/>
      <c r="JN457" s="33"/>
      <c r="JO457" s="33"/>
      <c r="JP457" s="33"/>
      <c r="JQ457" s="33"/>
      <c r="JR457" s="33"/>
      <c r="KZ457" s="33"/>
      <c r="LA457" s="33"/>
      <c r="LB457" s="33"/>
      <c r="LC457" s="33"/>
      <c r="LD457" s="33"/>
      <c r="LE457" s="33"/>
      <c r="LF457" s="33"/>
      <c r="LG457" s="33"/>
      <c r="LH457" s="33"/>
      <c r="LI457" s="33"/>
      <c r="LJ457" s="33"/>
      <c r="LK457" s="33"/>
      <c r="LL457" s="33"/>
      <c r="LM457" s="33"/>
      <c r="LN457" s="33"/>
      <c r="LO457" s="33"/>
      <c r="LP457" s="44"/>
      <c r="LQ457" s="44"/>
      <c r="LR457" s="44"/>
      <c r="LS457" s="44"/>
      <c r="LT457" s="44"/>
      <c r="LU457" s="44"/>
      <c r="LV457" s="44"/>
    </row>
    <row r="458" spans="1:334" x14ac:dyDescent="0.2">
      <c r="A458" s="1" t="s">
        <v>9167</v>
      </c>
      <c r="B458" s="1" t="s">
        <v>9164</v>
      </c>
      <c r="D458" s="1" t="s">
        <v>9168</v>
      </c>
      <c r="E458" s="1" t="s">
        <v>11</v>
      </c>
      <c r="F458" s="1" t="s">
        <v>688</v>
      </c>
      <c r="I458" s="1">
        <v>2</v>
      </c>
      <c r="J458" s="1" t="s">
        <v>9165</v>
      </c>
      <c r="K458" s="1">
        <v>2006</v>
      </c>
      <c r="L458" s="1" t="s">
        <v>9166</v>
      </c>
      <c r="M458" s="1" t="s">
        <v>7659</v>
      </c>
      <c r="N458" s="17" t="s">
        <v>7945</v>
      </c>
      <c r="O458" s="33"/>
      <c r="P458" s="33"/>
      <c r="Q458" s="33"/>
      <c r="R458" s="33"/>
      <c r="S458" s="33">
        <v>62.1</v>
      </c>
      <c r="T458" s="33"/>
      <c r="U458" s="33">
        <v>6.25</v>
      </c>
      <c r="V458" s="33"/>
      <c r="W458" s="33"/>
      <c r="X458" s="33"/>
      <c r="Y458" s="33"/>
      <c r="Z458" s="33">
        <v>7.1630999999999991</v>
      </c>
      <c r="AA458" s="33"/>
      <c r="AB458" s="33"/>
      <c r="AC458" s="33"/>
      <c r="AD458" s="33"/>
      <c r="AE458" s="33"/>
      <c r="AF458" s="33"/>
      <c r="AG458" s="33"/>
      <c r="AH458" s="33"/>
      <c r="AI458" s="33"/>
      <c r="AJ458" s="33"/>
      <c r="AK458" s="33"/>
      <c r="AL458" s="33"/>
      <c r="AM458" s="33"/>
      <c r="AN458" s="33"/>
      <c r="AO458" s="33">
        <v>15.0084</v>
      </c>
      <c r="AP458" s="33"/>
      <c r="AQ458" s="33"/>
      <c r="AR458" s="33"/>
      <c r="AS458" s="33"/>
      <c r="AT458" s="33"/>
      <c r="AU458" s="33"/>
      <c r="AV458" s="33"/>
      <c r="AW458" s="33"/>
      <c r="AX458" s="33"/>
      <c r="AY458" s="33"/>
      <c r="AZ458" s="33"/>
      <c r="BA458" s="33"/>
      <c r="BB458" s="33"/>
      <c r="BC458" s="33"/>
      <c r="BD458" s="33"/>
      <c r="BE458" s="33"/>
      <c r="BF458" s="33"/>
      <c r="BG458" s="33"/>
      <c r="BH458" s="33"/>
      <c r="BI458" s="33"/>
      <c r="BJ458" s="33"/>
      <c r="BK458" s="33"/>
      <c r="BL458" s="33"/>
      <c r="BM458" s="33"/>
      <c r="BN458" s="33"/>
      <c r="BO458" s="33"/>
      <c r="BP458" s="33"/>
      <c r="BQ458" s="33"/>
      <c r="BR458" s="33"/>
      <c r="BS458" s="33"/>
      <c r="BT458" s="33"/>
      <c r="BU458" s="33"/>
      <c r="BV458" s="33"/>
      <c r="BW458" s="33"/>
      <c r="BX458" s="33"/>
      <c r="BY458" s="33"/>
      <c r="BZ458" s="33"/>
      <c r="CA458" s="33"/>
      <c r="CB458" s="33"/>
      <c r="CC458" s="33"/>
      <c r="CD458" s="33"/>
      <c r="CE458" s="33"/>
      <c r="CF458" s="33"/>
      <c r="CG458" s="33"/>
      <c r="CH458" s="33"/>
      <c r="CI458" s="33"/>
      <c r="CJ458" s="33"/>
      <c r="CK458" s="33"/>
      <c r="CL458" s="33"/>
      <c r="CM458" s="33"/>
      <c r="CN458" s="33"/>
      <c r="CO458" s="33">
        <v>0.8338000000000001</v>
      </c>
      <c r="CP458" s="33"/>
      <c r="CQ458" s="33"/>
      <c r="CR458" s="33"/>
      <c r="CS458" s="33">
        <v>2.5771999999999995</v>
      </c>
      <c r="CT458" s="33"/>
      <c r="CU458" s="33"/>
      <c r="CV458" s="33"/>
      <c r="CW458" s="33"/>
      <c r="CX458" s="33"/>
      <c r="CY458" s="33"/>
      <c r="CZ458" s="33"/>
      <c r="DA458" s="33"/>
      <c r="DB458" s="33"/>
      <c r="DC458" s="33"/>
      <c r="DD458" s="33"/>
      <c r="DE458" s="33"/>
      <c r="DF458" s="33"/>
      <c r="DG458" s="33"/>
      <c r="DH458" s="33"/>
      <c r="DI458" s="33"/>
      <c r="DJ458" s="33"/>
      <c r="DK458" s="33"/>
      <c r="DL458" s="33"/>
      <c r="DM458" s="33"/>
      <c r="DN458" s="33"/>
      <c r="DO458" s="33"/>
      <c r="DP458" s="33">
        <v>9.8539999999999989E-2</v>
      </c>
      <c r="DQ458" s="33"/>
      <c r="DR458" s="33"/>
      <c r="DS458" s="33"/>
      <c r="DT458" s="33"/>
      <c r="DU458" s="33"/>
      <c r="DV458" s="33"/>
      <c r="DW458" s="33"/>
      <c r="DX458" s="33"/>
      <c r="DY458" s="33"/>
      <c r="DZ458" s="33"/>
      <c r="EA458" s="33"/>
      <c r="EB458" s="33"/>
      <c r="EC458" s="33"/>
      <c r="ED458" s="33"/>
      <c r="EE458" s="33"/>
      <c r="EF458" s="33"/>
      <c r="EG458" s="33"/>
      <c r="EH458" s="33"/>
      <c r="EI458" s="33"/>
      <c r="EJ458" s="33"/>
      <c r="EK458" s="33"/>
      <c r="EL458" s="33"/>
      <c r="EM458" s="33"/>
      <c r="EN458" s="33"/>
      <c r="EO458" s="33"/>
      <c r="EP458" s="33"/>
      <c r="EQ458" s="33"/>
      <c r="ER458" s="33"/>
      <c r="ES458" s="33"/>
      <c r="ET458" s="33"/>
      <c r="EU458" s="33"/>
      <c r="EV458" s="33"/>
      <c r="EW458" s="33"/>
      <c r="EX458" s="33"/>
      <c r="EY458" s="33"/>
      <c r="EZ458" s="33"/>
      <c r="FA458" s="33"/>
      <c r="FB458" s="33"/>
      <c r="FC458" s="33"/>
      <c r="FD458" s="33"/>
      <c r="FE458" s="33"/>
      <c r="FF458" s="33"/>
      <c r="FG458" s="33"/>
      <c r="FH458" s="33"/>
      <c r="FI458" s="33"/>
      <c r="FJ458" s="33"/>
      <c r="FK458" s="33"/>
      <c r="FL458" s="33"/>
      <c r="FM458" s="33"/>
      <c r="FN458" s="33"/>
      <c r="FO458" s="33"/>
      <c r="FP458" s="33"/>
      <c r="FQ458" s="33"/>
      <c r="FR458" s="33"/>
      <c r="FS458" s="33"/>
      <c r="FT458" s="33"/>
      <c r="FU458" s="33"/>
      <c r="FV458" s="33"/>
      <c r="FW458" s="33"/>
      <c r="FX458" s="33"/>
      <c r="FY458" s="33"/>
      <c r="FZ458" s="33"/>
      <c r="GA458" s="33"/>
      <c r="GB458" s="33"/>
      <c r="GC458" s="33"/>
      <c r="GD458" s="33"/>
      <c r="GE458" s="33"/>
      <c r="GF458" s="33"/>
      <c r="GG458" s="33"/>
      <c r="GH458" s="33"/>
      <c r="GI458" s="33"/>
      <c r="GJ458" s="33"/>
      <c r="GK458" s="33"/>
      <c r="GL458" s="33"/>
      <c r="GM458" s="33"/>
      <c r="GN458" s="33"/>
      <c r="GO458" s="33"/>
      <c r="GP458" s="33"/>
      <c r="GQ458" s="33"/>
      <c r="GR458" s="33"/>
      <c r="GS458" s="33"/>
      <c r="GT458" s="33"/>
      <c r="GU458" s="33"/>
      <c r="GV458" s="33"/>
      <c r="GW458" s="33"/>
      <c r="GX458" s="33"/>
      <c r="GY458" s="33"/>
      <c r="GZ458" s="33"/>
      <c r="HA458" s="33"/>
      <c r="HB458" s="33"/>
      <c r="HC458" s="33"/>
      <c r="HD458" s="33"/>
      <c r="HE458" s="33"/>
      <c r="HF458" s="33"/>
      <c r="HG458" s="33"/>
      <c r="HH458" s="33"/>
      <c r="HI458" s="33"/>
      <c r="HJ458" s="33"/>
      <c r="HK458" s="33"/>
      <c r="HL458" s="33"/>
      <c r="HM458" s="33"/>
      <c r="HN458" s="33"/>
      <c r="HO458" s="33"/>
      <c r="HP458" s="33"/>
      <c r="HQ458" s="33"/>
      <c r="HR458" s="33"/>
      <c r="HS458" s="33"/>
      <c r="HT458" s="33"/>
      <c r="HU458" s="33"/>
      <c r="HV458" s="33"/>
      <c r="HW458" s="33"/>
      <c r="HX458" s="33"/>
      <c r="HY458" s="33"/>
      <c r="HZ458" s="33"/>
      <c r="IA458" s="33"/>
      <c r="IB458" s="33"/>
      <c r="IC458" s="33"/>
      <c r="ID458" s="33"/>
      <c r="IE458" s="33"/>
      <c r="IF458" s="33"/>
      <c r="IG458" s="33"/>
      <c r="IH458" s="33"/>
      <c r="II458" s="33"/>
      <c r="IJ458" s="33"/>
      <c r="IK458" s="33"/>
      <c r="IL458" s="33"/>
      <c r="IM458" s="33"/>
      <c r="IN458" s="33"/>
      <c r="IO458" s="33"/>
      <c r="IP458" s="33"/>
      <c r="IQ458" s="33"/>
      <c r="IR458" s="33"/>
      <c r="IS458" s="33"/>
      <c r="IT458" s="33"/>
      <c r="IU458" s="33"/>
      <c r="IV458" s="33"/>
      <c r="IW458" s="33"/>
      <c r="IX458" s="33"/>
      <c r="IY458" s="33"/>
      <c r="IZ458" s="33"/>
      <c r="JA458" s="33"/>
      <c r="JB458" s="33"/>
      <c r="JC458" s="33"/>
      <c r="JD458" s="33"/>
      <c r="JE458" s="33"/>
      <c r="JF458" s="33"/>
      <c r="JG458" s="33"/>
      <c r="JH458" s="33"/>
      <c r="JI458" s="33"/>
      <c r="JJ458" s="33"/>
      <c r="JK458" s="33"/>
      <c r="JL458" s="33"/>
      <c r="JM458" s="33"/>
      <c r="JN458" s="33"/>
      <c r="JO458" s="33"/>
      <c r="JP458" s="33"/>
      <c r="JQ458" s="33"/>
      <c r="JR458" s="33"/>
      <c r="KZ458" s="33"/>
      <c r="LA458" s="33"/>
      <c r="LB458" s="33"/>
      <c r="LC458" s="33"/>
      <c r="LD458" s="33"/>
      <c r="LE458" s="33"/>
      <c r="LF458" s="33"/>
      <c r="LG458" s="33"/>
      <c r="LH458" s="33"/>
      <c r="LI458" s="33"/>
      <c r="LJ458" s="33"/>
      <c r="LK458" s="33"/>
      <c r="LL458" s="33"/>
      <c r="LM458" s="33"/>
      <c r="LN458" s="33"/>
      <c r="LO458" s="33"/>
      <c r="LP458" s="44"/>
      <c r="LQ458" s="44"/>
      <c r="LR458" s="44"/>
      <c r="LS458" s="44"/>
      <c r="LT458" s="44"/>
      <c r="LU458" s="44"/>
      <c r="LV458" s="44"/>
    </row>
    <row r="459" spans="1:334" x14ac:dyDescent="0.2">
      <c r="A459" s="1" t="s">
        <v>9169</v>
      </c>
      <c r="B459" s="1" t="s">
        <v>9164</v>
      </c>
      <c r="D459" s="1" t="s">
        <v>9170</v>
      </c>
      <c r="E459" s="1" t="s">
        <v>11</v>
      </c>
      <c r="F459" s="1" t="s">
        <v>688</v>
      </c>
      <c r="I459" s="1">
        <v>2</v>
      </c>
      <c r="J459" s="1" t="s">
        <v>9165</v>
      </c>
      <c r="K459" s="1">
        <v>2006</v>
      </c>
      <c r="L459" s="1" t="s">
        <v>9166</v>
      </c>
      <c r="M459" s="1" t="s">
        <v>7659</v>
      </c>
      <c r="N459" s="17" t="s">
        <v>7945</v>
      </c>
      <c r="O459" s="33"/>
      <c r="P459" s="33"/>
      <c r="Q459" s="33"/>
      <c r="R459" s="33"/>
      <c r="S459" s="33">
        <v>61.8</v>
      </c>
      <c r="T459" s="33"/>
      <c r="U459" s="33">
        <v>6.25</v>
      </c>
      <c r="V459" s="33"/>
      <c r="W459" s="33"/>
      <c r="X459" s="33"/>
      <c r="Y459" s="33"/>
      <c r="Z459" s="33">
        <v>7.0670000000000002</v>
      </c>
      <c r="AA459" s="33"/>
      <c r="AB459" s="33"/>
      <c r="AC459" s="33"/>
      <c r="AD459" s="33"/>
      <c r="AE459" s="33"/>
      <c r="AF459" s="33"/>
      <c r="AG459" s="33"/>
      <c r="AH459" s="33"/>
      <c r="AI459" s="33"/>
      <c r="AJ459" s="33"/>
      <c r="AK459" s="33"/>
      <c r="AL459" s="33"/>
      <c r="AM459" s="33"/>
      <c r="AN459" s="33"/>
      <c r="AO459" s="33">
        <v>14.8598</v>
      </c>
      <c r="AP459" s="33"/>
      <c r="AQ459" s="33"/>
      <c r="AR459" s="33"/>
      <c r="AS459" s="33"/>
      <c r="AT459" s="33"/>
      <c r="AU459" s="33"/>
      <c r="AV459" s="33"/>
      <c r="AW459" s="33"/>
      <c r="AX459" s="33"/>
      <c r="AY459" s="33"/>
      <c r="AZ459" s="33"/>
      <c r="BA459" s="33"/>
      <c r="BB459" s="33"/>
      <c r="BC459" s="33"/>
      <c r="BD459" s="33"/>
      <c r="BE459" s="33"/>
      <c r="BF459" s="33"/>
      <c r="BG459" s="33"/>
      <c r="BH459" s="33"/>
      <c r="BI459" s="33"/>
      <c r="BJ459" s="33"/>
      <c r="BK459" s="33"/>
      <c r="BL459" s="33"/>
      <c r="BM459" s="33"/>
      <c r="BN459" s="33"/>
      <c r="BO459" s="33"/>
      <c r="BP459" s="33"/>
      <c r="BQ459" s="33"/>
      <c r="BR459" s="33"/>
      <c r="BS459" s="33"/>
      <c r="BT459" s="33"/>
      <c r="BU459" s="33"/>
      <c r="BV459" s="33"/>
      <c r="BW459" s="33"/>
      <c r="BX459" s="33"/>
      <c r="BY459" s="33"/>
      <c r="BZ459" s="33"/>
      <c r="CA459" s="33"/>
      <c r="CB459" s="33"/>
      <c r="CC459" s="33"/>
      <c r="CD459" s="33"/>
      <c r="CE459" s="33"/>
      <c r="CF459" s="33"/>
      <c r="CG459" s="33"/>
      <c r="CH459" s="33"/>
      <c r="CI459" s="33"/>
      <c r="CJ459" s="33"/>
      <c r="CK459" s="33"/>
      <c r="CL459" s="33"/>
      <c r="CM459" s="33"/>
      <c r="CN459" s="33"/>
      <c r="CO459" s="33">
        <v>0.84040000000000004</v>
      </c>
      <c r="CP459" s="33"/>
      <c r="CQ459" s="33"/>
      <c r="CR459" s="33"/>
      <c r="CS459" s="33">
        <v>2.5975999999999999</v>
      </c>
      <c r="CT459" s="33"/>
      <c r="CU459" s="33"/>
      <c r="CV459" s="33"/>
      <c r="CW459" s="33"/>
      <c r="CX459" s="33"/>
      <c r="CY459" s="33"/>
      <c r="CZ459" s="33"/>
      <c r="DA459" s="33"/>
      <c r="DB459" s="33"/>
      <c r="DC459" s="33"/>
      <c r="DD459" s="33"/>
      <c r="DE459" s="33"/>
      <c r="DF459" s="33"/>
      <c r="DG459" s="33"/>
      <c r="DH459" s="33"/>
      <c r="DI459" s="33"/>
      <c r="DJ459" s="33"/>
      <c r="DK459" s="33"/>
      <c r="DL459" s="33"/>
      <c r="DM459" s="33"/>
      <c r="DN459" s="33"/>
      <c r="DO459" s="33"/>
      <c r="DP459" s="33">
        <v>0.11077999999999999</v>
      </c>
      <c r="DQ459" s="33"/>
      <c r="DR459" s="33"/>
      <c r="DS459" s="33"/>
      <c r="DT459" s="33"/>
      <c r="DU459" s="33"/>
      <c r="DV459" s="33"/>
      <c r="DW459" s="33"/>
      <c r="DX459" s="33"/>
      <c r="DY459" s="33"/>
      <c r="DZ459" s="33"/>
      <c r="EA459" s="33"/>
      <c r="EB459" s="33"/>
      <c r="EC459" s="33"/>
      <c r="ED459" s="33"/>
      <c r="EE459" s="33"/>
      <c r="EF459" s="33"/>
      <c r="EG459" s="33"/>
      <c r="EH459" s="33"/>
      <c r="EI459" s="33"/>
      <c r="EJ459" s="33"/>
      <c r="EK459" s="33"/>
      <c r="EL459" s="33"/>
      <c r="EM459" s="33"/>
      <c r="EN459" s="33"/>
      <c r="EO459" s="33"/>
      <c r="EP459" s="33"/>
      <c r="EQ459" s="33"/>
      <c r="ER459" s="33"/>
      <c r="ES459" s="33"/>
      <c r="ET459" s="33"/>
      <c r="EU459" s="33"/>
      <c r="EV459" s="33"/>
      <c r="EW459" s="33"/>
      <c r="EX459" s="33"/>
      <c r="EY459" s="33"/>
      <c r="EZ459" s="33"/>
      <c r="FA459" s="33"/>
      <c r="FB459" s="33"/>
      <c r="FC459" s="33"/>
      <c r="FD459" s="33"/>
      <c r="FE459" s="33"/>
      <c r="FF459" s="33"/>
      <c r="FG459" s="33"/>
      <c r="FH459" s="33"/>
      <c r="FI459" s="33"/>
      <c r="FJ459" s="33"/>
      <c r="FK459" s="33"/>
      <c r="FL459" s="33"/>
      <c r="FM459" s="33"/>
      <c r="FN459" s="33"/>
      <c r="FO459" s="33"/>
      <c r="FP459" s="33"/>
      <c r="FQ459" s="33"/>
      <c r="FR459" s="33"/>
      <c r="FS459" s="33"/>
      <c r="FT459" s="33"/>
      <c r="FU459" s="33"/>
      <c r="FV459" s="33"/>
      <c r="FW459" s="33"/>
      <c r="FX459" s="33"/>
      <c r="FY459" s="33"/>
      <c r="FZ459" s="33"/>
      <c r="GA459" s="33"/>
      <c r="GB459" s="33"/>
      <c r="GC459" s="33"/>
      <c r="GD459" s="33"/>
      <c r="GE459" s="33"/>
      <c r="GF459" s="33"/>
      <c r="GG459" s="33"/>
      <c r="GH459" s="33"/>
      <c r="GI459" s="33"/>
      <c r="GJ459" s="33"/>
      <c r="GK459" s="33"/>
      <c r="GL459" s="33"/>
      <c r="GM459" s="33"/>
      <c r="GN459" s="33"/>
      <c r="GO459" s="33"/>
      <c r="GP459" s="33"/>
      <c r="GQ459" s="33"/>
      <c r="GR459" s="33"/>
      <c r="GS459" s="33"/>
      <c r="GT459" s="33"/>
      <c r="GU459" s="33"/>
      <c r="GV459" s="33"/>
      <c r="GW459" s="33"/>
      <c r="GX459" s="33"/>
      <c r="GY459" s="33"/>
      <c r="GZ459" s="33"/>
      <c r="HA459" s="33"/>
      <c r="HB459" s="33"/>
      <c r="HC459" s="33"/>
      <c r="HD459" s="33"/>
      <c r="HE459" s="33"/>
      <c r="HF459" s="33"/>
      <c r="HG459" s="33"/>
      <c r="HH459" s="33"/>
      <c r="HI459" s="33"/>
      <c r="HJ459" s="33"/>
      <c r="HK459" s="33"/>
      <c r="HL459" s="33"/>
      <c r="HM459" s="33"/>
      <c r="HN459" s="33"/>
      <c r="HO459" s="33"/>
      <c r="HP459" s="33"/>
      <c r="HQ459" s="33"/>
      <c r="HR459" s="33"/>
      <c r="HS459" s="33"/>
      <c r="HT459" s="33"/>
      <c r="HU459" s="33"/>
      <c r="HV459" s="33"/>
      <c r="HW459" s="33"/>
      <c r="HX459" s="33"/>
      <c r="HY459" s="33"/>
      <c r="HZ459" s="33"/>
      <c r="IA459" s="33"/>
      <c r="IB459" s="33"/>
      <c r="IC459" s="33"/>
      <c r="ID459" s="33"/>
      <c r="IE459" s="33"/>
      <c r="IF459" s="33"/>
      <c r="IG459" s="33"/>
      <c r="IH459" s="33"/>
      <c r="II459" s="33"/>
      <c r="IJ459" s="33"/>
      <c r="IK459" s="33"/>
      <c r="IL459" s="33"/>
      <c r="IM459" s="33"/>
      <c r="IN459" s="33"/>
      <c r="IO459" s="33"/>
      <c r="IP459" s="33"/>
      <c r="IQ459" s="33"/>
      <c r="IR459" s="33"/>
      <c r="IS459" s="33"/>
      <c r="IT459" s="33"/>
      <c r="IU459" s="33"/>
      <c r="IV459" s="33"/>
      <c r="IW459" s="33"/>
      <c r="IX459" s="33"/>
      <c r="IY459" s="33"/>
      <c r="IZ459" s="33"/>
      <c r="JA459" s="33"/>
      <c r="JB459" s="33"/>
      <c r="JC459" s="33"/>
      <c r="JD459" s="33"/>
      <c r="JE459" s="33"/>
      <c r="JF459" s="33"/>
      <c r="JG459" s="33"/>
      <c r="JH459" s="33"/>
      <c r="JI459" s="33"/>
      <c r="JJ459" s="33"/>
      <c r="JK459" s="33"/>
      <c r="JL459" s="33"/>
      <c r="JM459" s="33"/>
      <c r="JN459" s="33"/>
      <c r="JO459" s="33"/>
      <c r="JP459" s="33"/>
      <c r="JQ459" s="33"/>
      <c r="JR459" s="33"/>
      <c r="KZ459" s="33"/>
      <c r="LA459" s="33"/>
      <c r="LB459" s="33"/>
      <c r="LC459" s="33"/>
      <c r="LD459" s="33"/>
      <c r="LE459" s="33"/>
      <c r="LF459" s="33"/>
      <c r="LG459" s="33"/>
      <c r="LH459" s="33"/>
      <c r="LI459" s="33"/>
      <c r="LJ459" s="33"/>
      <c r="LK459" s="33"/>
      <c r="LL459" s="33"/>
      <c r="LM459" s="33"/>
      <c r="LN459" s="33"/>
      <c r="LO459" s="33"/>
      <c r="LP459" s="44"/>
      <c r="LQ459" s="44"/>
      <c r="LR459" s="44"/>
      <c r="LS459" s="44"/>
      <c r="LT459" s="44"/>
      <c r="LU459" s="44"/>
      <c r="LV459" s="44"/>
    </row>
    <row r="460" spans="1:334" x14ac:dyDescent="0.2">
      <c r="A460" s="1" t="s">
        <v>9171</v>
      </c>
      <c r="B460" s="1" t="s">
        <v>9164</v>
      </c>
      <c r="D460" s="1" t="s">
        <v>9172</v>
      </c>
      <c r="E460" s="1" t="s">
        <v>11</v>
      </c>
      <c r="F460" s="1" t="s">
        <v>688</v>
      </c>
      <c r="H460" s="1" t="s">
        <v>9173</v>
      </c>
      <c r="I460" s="1">
        <v>2</v>
      </c>
      <c r="J460" s="1" t="s">
        <v>9165</v>
      </c>
      <c r="K460" s="1">
        <v>2006</v>
      </c>
      <c r="L460" s="1" t="s">
        <v>9166</v>
      </c>
      <c r="M460" s="1" t="s">
        <v>7659</v>
      </c>
      <c r="N460" s="17" t="s">
        <v>7945</v>
      </c>
      <c r="O460" s="33"/>
      <c r="P460" s="33"/>
      <c r="Q460" s="33"/>
      <c r="R460" s="33"/>
      <c r="S460" s="33">
        <v>57.5</v>
      </c>
      <c r="T460" s="33"/>
      <c r="U460" s="33">
        <v>6.25</v>
      </c>
      <c r="V460" s="33"/>
      <c r="W460" s="33"/>
      <c r="X460" s="33"/>
      <c r="Y460" s="33"/>
      <c r="Z460" s="33">
        <v>8.4149999999999991</v>
      </c>
      <c r="AA460" s="33"/>
      <c r="AB460" s="33"/>
      <c r="AC460" s="33"/>
      <c r="AD460" s="33"/>
      <c r="AE460" s="33"/>
      <c r="AF460" s="33"/>
      <c r="AG460" s="33"/>
      <c r="AH460" s="33"/>
      <c r="AI460" s="33"/>
      <c r="AJ460" s="33"/>
      <c r="AK460" s="33"/>
      <c r="AL460" s="33"/>
      <c r="AM460" s="33"/>
      <c r="AN460" s="33"/>
      <c r="AO460" s="33">
        <v>16.532499999999999</v>
      </c>
      <c r="AP460" s="33"/>
      <c r="AQ460" s="33"/>
      <c r="AR460" s="33"/>
      <c r="AS460" s="33"/>
      <c r="AT460" s="33"/>
      <c r="AU460" s="33"/>
      <c r="AV460" s="33"/>
      <c r="AW460" s="33"/>
      <c r="AX460" s="33"/>
      <c r="AY460" s="33"/>
      <c r="AZ460" s="33"/>
      <c r="BA460" s="33"/>
      <c r="BB460" s="33"/>
      <c r="BC460" s="33"/>
      <c r="BD460" s="33"/>
      <c r="BE460" s="33"/>
      <c r="BF460" s="33"/>
      <c r="BG460" s="33"/>
      <c r="BH460" s="33"/>
      <c r="BI460" s="33"/>
      <c r="BJ460" s="33"/>
      <c r="BK460" s="33"/>
      <c r="BL460" s="33"/>
      <c r="BM460" s="33"/>
      <c r="BN460" s="33"/>
      <c r="BO460" s="33"/>
      <c r="BP460" s="33"/>
      <c r="BQ460" s="33"/>
      <c r="BR460" s="33"/>
      <c r="BS460" s="33"/>
      <c r="BT460" s="33"/>
      <c r="BU460" s="33"/>
      <c r="BV460" s="33"/>
      <c r="BW460" s="33"/>
      <c r="BX460" s="33"/>
      <c r="BY460" s="33"/>
      <c r="BZ460" s="33"/>
      <c r="CA460" s="33"/>
      <c r="CB460" s="33"/>
      <c r="CC460" s="33"/>
      <c r="CD460" s="33"/>
      <c r="CE460" s="33"/>
      <c r="CF460" s="33"/>
      <c r="CG460" s="33"/>
      <c r="CH460" s="33"/>
      <c r="CI460" s="33"/>
      <c r="CJ460" s="33"/>
      <c r="CK460" s="33"/>
      <c r="CL460" s="33"/>
      <c r="CM460" s="33"/>
      <c r="CN460" s="33"/>
      <c r="CO460" s="33">
        <v>1.0625</v>
      </c>
      <c r="CP460" s="33"/>
      <c r="CQ460" s="33"/>
      <c r="CR460" s="33"/>
      <c r="CS460" s="33">
        <v>4.1650000000000009</v>
      </c>
      <c r="CT460" s="33"/>
      <c r="CU460" s="33"/>
      <c r="CV460" s="33"/>
      <c r="CW460" s="33"/>
      <c r="CX460" s="33"/>
      <c r="CY460" s="33"/>
      <c r="CZ460" s="33"/>
      <c r="DA460" s="33"/>
      <c r="DB460" s="33"/>
      <c r="DC460" s="33"/>
      <c r="DD460" s="33"/>
      <c r="DE460" s="33"/>
      <c r="DF460" s="33"/>
      <c r="DG460" s="33"/>
      <c r="DH460" s="33"/>
      <c r="DI460" s="33"/>
      <c r="DJ460" s="33"/>
      <c r="DK460" s="33"/>
      <c r="DL460" s="33"/>
      <c r="DM460" s="33"/>
      <c r="DN460" s="33"/>
      <c r="DO460" s="33"/>
      <c r="DP460" s="33">
        <v>0.52274999999999994</v>
      </c>
      <c r="DQ460" s="33"/>
      <c r="DR460" s="33"/>
      <c r="DS460" s="33"/>
      <c r="DT460" s="33"/>
      <c r="DU460" s="33"/>
      <c r="DV460" s="33"/>
      <c r="DW460" s="33"/>
      <c r="DX460" s="33"/>
      <c r="DY460" s="33"/>
      <c r="DZ460" s="33"/>
      <c r="EA460" s="33"/>
      <c r="EB460" s="33"/>
      <c r="EC460" s="33"/>
      <c r="ED460" s="33">
        <v>3.4849999999999994</v>
      </c>
      <c r="EE460" s="33"/>
      <c r="EF460" s="33"/>
      <c r="EG460" s="33"/>
      <c r="EH460" s="33"/>
      <c r="EI460" s="33"/>
      <c r="EJ460" s="33"/>
      <c r="EK460" s="33"/>
      <c r="EL460" s="33"/>
      <c r="EM460" s="33"/>
      <c r="EN460" s="33"/>
      <c r="EO460" s="33"/>
      <c r="EP460" s="33"/>
      <c r="EQ460" s="33"/>
      <c r="ER460" s="33"/>
      <c r="ES460" s="33"/>
      <c r="ET460" s="33"/>
      <c r="EU460" s="33"/>
      <c r="EV460" s="33"/>
      <c r="EW460" s="33"/>
      <c r="EX460" s="33"/>
      <c r="EY460" s="33"/>
      <c r="EZ460" s="33"/>
      <c r="FA460" s="33"/>
      <c r="FB460" s="33"/>
      <c r="FC460" s="33"/>
      <c r="FD460" s="33"/>
      <c r="FE460" s="33"/>
      <c r="FF460" s="33"/>
      <c r="FG460" s="33"/>
      <c r="FH460" s="33"/>
      <c r="FI460" s="33"/>
      <c r="FJ460" s="33"/>
      <c r="FK460" s="33"/>
      <c r="FL460" s="33"/>
      <c r="FM460" s="33"/>
      <c r="FN460" s="33"/>
      <c r="FO460" s="33"/>
      <c r="FP460" s="33"/>
      <c r="FQ460" s="33"/>
      <c r="FR460" s="33"/>
      <c r="FS460" s="33"/>
      <c r="FT460" s="33"/>
      <c r="FU460" s="33"/>
      <c r="FV460" s="33"/>
      <c r="FW460" s="33"/>
      <c r="FX460" s="33"/>
      <c r="FY460" s="33"/>
      <c r="FZ460" s="33"/>
      <c r="GA460" s="33"/>
      <c r="GB460" s="33"/>
      <c r="GC460" s="33"/>
      <c r="GD460" s="33"/>
      <c r="GE460" s="33"/>
      <c r="GF460" s="33"/>
      <c r="GG460" s="33"/>
      <c r="GH460" s="33"/>
      <c r="GI460" s="33"/>
      <c r="GJ460" s="33"/>
      <c r="GK460" s="33"/>
      <c r="GL460" s="33"/>
      <c r="GM460" s="33"/>
      <c r="GN460" s="33"/>
      <c r="GO460" s="33"/>
      <c r="GP460" s="33"/>
      <c r="GQ460" s="33"/>
      <c r="GR460" s="33"/>
      <c r="GS460" s="33"/>
      <c r="GT460" s="33"/>
      <c r="GU460" s="33"/>
      <c r="GV460" s="33"/>
      <c r="GW460" s="33"/>
      <c r="GX460" s="33"/>
      <c r="GY460" s="33"/>
      <c r="GZ460" s="33"/>
      <c r="HA460" s="33"/>
      <c r="HB460" s="33"/>
      <c r="HC460" s="33"/>
      <c r="HD460" s="33"/>
      <c r="HE460" s="33"/>
      <c r="HF460" s="33"/>
      <c r="HG460" s="33"/>
      <c r="HH460" s="33"/>
      <c r="HI460" s="33"/>
      <c r="HJ460" s="33"/>
      <c r="HK460" s="33"/>
      <c r="HL460" s="33"/>
      <c r="HM460" s="33"/>
      <c r="HN460" s="33"/>
      <c r="HO460" s="33"/>
      <c r="HP460" s="33"/>
      <c r="HQ460" s="33"/>
      <c r="HR460" s="33"/>
      <c r="HS460" s="33"/>
      <c r="HT460" s="33"/>
      <c r="HU460" s="33"/>
      <c r="HV460" s="33"/>
      <c r="HW460" s="33"/>
      <c r="HX460" s="33"/>
      <c r="HY460" s="33"/>
      <c r="HZ460" s="33"/>
      <c r="IA460" s="33"/>
      <c r="IB460" s="33"/>
      <c r="IC460" s="33"/>
      <c r="ID460" s="33"/>
      <c r="IE460" s="33"/>
      <c r="IF460" s="33"/>
      <c r="IG460" s="33"/>
      <c r="IH460" s="33"/>
      <c r="II460" s="33"/>
      <c r="IJ460" s="33"/>
      <c r="IK460" s="33"/>
      <c r="IL460" s="33"/>
      <c r="IM460" s="33"/>
      <c r="IN460" s="33"/>
      <c r="IO460" s="33"/>
      <c r="IP460" s="33"/>
      <c r="IQ460" s="33"/>
      <c r="IR460" s="33"/>
      <c r="IS460" s="33"/>
      <c r="IT460" s="33"/>
      <c r="IU460" s="33"/>
      <c r="IV460" s="33"/>
      <c r="IW460" s="33"/>
      <c r="IX460" s="33"/>
      <c r="IY460" s="33"/>
      <c r="IZ460" s="33"/>
      <c r="JA460" s="33"/>
      <c r="JB460" s="33"/>
      <c r="JC460" s="33"/>
      <c r="JD460" s="33"/>
      <c r="JE460" s="33"/>
      <c r="JF460" s="33"/>
      <c r="JG460" s="33"/>
      <c r="JH460" s="33"/>
      <c r="JI460" s="33"/>
      <c r="JJ460" s="33"/>
      <c r="JK460" s="33"/>
      <c r="JL460" s="33"/>
      <c r="JM460" s="33"/>
      <c r="JN460" s="33"/>
      <c r="JO460" s="33"/>
      <c r="JP460" s="33"/>
      <c r="JQ460" s="33"/>
      <c r="JR460" s="33"/>
      <c r="KZ460" s="33"/>
      <c r="LA460" s="33"/>
      <c r="LB460" s="33"/>
      <c r="LC460" s="33"/>
      <c r="LD460" s="33"/>
      <c r="LE460" s="33"/>
      <c r="LF460" s="33"/>
      <c r="LG460" s="33"/>
      <c r="LH460" s="33"/>
      <c r="LI460" s="33"/>
      <c r="LJ460" s="33"/>
      <c r="LK460" s="33"/>
      <c r="LL460" s="33"/>
      <c r="LM460" s="33"/>
      <c r="LN460" s="33"/>
      <c r="LO460" s="33"/>
      <c r="LP460" s="44"/>
      <c r="LQ460" s="44"/>
      <c r="LR460" s="44"/>
      <c r="LS460" s="44"/>
      <c r="LT460" s="44"/>
      <c r="LU460" s="44"/>
      <c r="LV460" s="44"/>
    </row>
    <row r="461" spans="1:334" x14ac:dyDescent="0.2">
      <c r="A461" s="1" t="s">
        <v>9174</v>
      </c>
      <c r="B461" s="1" t="s">
        <v>9164</v>
      </c>
      <c r="D461" s="1" t="s">
        <v>9175</v>
      </c>
      <c r="E461" s="1" t="s">
        <v>11</v>
      </c>
      <c r="F461" s="1" t="s">
        <v>688</v>
      </c>
      <c r="H461" s="1" t="s">
        <v>9176</v>
      </c>
      <c r="I461" s="1">
        <v>2</v>
      </c>
      <c r="J461" s="1" t="s">
        <v>9165</v>
      </c>
      <c r="K461" s="1">
        <v>2006</v>
      </c>
      <c r="L461" s="1" t="s">
        <v>9166</v>
      </c>
      <c r="M461" s="1" t="s">
        <v>7659</v>
      </c>
      <c r="N461" s="17" t="s">
        <v>7945</v>
      </c>
      <c r="O461" s="33"/>
      <c r="P461" s="33"/>
      <c r="Q461" s="33"/>
      <c r="R461" s="33"/>
      <c r="S461" s="33">
        <v>67.7</v>
      </c>
      <c r="T461" s="33"/>
      <c r="U461" s="33">
        <v>6.25</v>
      </c>
      <c r="V461" s="33"/>
      <c r="W461" s="33"/>
      <c r="X461" s="33"/>
      <c r="Y461" s="33"/>
      <c r="Z461" s="33">
        <v>6.2661999999999987</v>
      </c>
      <c r="AA461" s="33"/>
      <c r="AB461" s="33"/>
      <c r="AC461" s="33"/>
      <c r="AD461" s="33"/>
      <c r="AE461" s="33"/>
      <c r="AF461" s="33"/>
      <c r="AG461" s="33"/>
      <c r="AH461" s="33"/>
      <c r="AI461" s="33"/>
      <c r="AJ461" s="33"/>
      <c r="AK461" s="33"/>
      <c r="AL461" s="33"/>
      <c r="AM461" s="33"/>
      <c r="AN461" s="33"/>
      <c r="AO461" s="33">
        <v>11.3696</v>
      </c>
      <c r="AP461" s="33"/>
      <c r="AQ461" s="33"/>
      <c r="AR461" s="33"/>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c r="CA461" s="33"/>
      <c r="CB461" s="33"/>
      <c r="CC461" s="33"/>
      <c r="CD461" s="33"/>
      <c r="CE461" s="33"/>
      <c r="CF461" s="33"/>
      <c r="CG461" s="33"/>
      <c r="CH461" s="33"/>
      <c r="CI461" s="33"/>
      <c r="CJ461" s="33"/>
      <c r="CK461" s="33"/>
      <c r="CL461" s="33"/>
      <c r="CM461" s="33"/>
      <c r="CN461" s="33"/>
      <c r="CO461" s="33">
        <v>0.71060000000000001</v>
      </c>
      <c r="CP461" s="33"/>
      <c r="CQ461" s="33"/>
      <c r="CR461" s="33"/>
      <c r="CS461" s="33">
        <v>2.3578999999999994</v>
      </c>
      <c r="CT461" s="33"/>
      <c r="CU461" s="33"/>
      <c r="CV461" s="33"/>
      <c r="CW461" s="33"/>
      <c r="CX461" s="33"/>
      <c r="CY461" s="33"/>
      <c r="CZ461" s="33"/>
      <c r="DA461" s="33"/>
      <c r="DB461" s="33"/>
      <c r="DC461" s="33"/>
      <c r="DD461" s="33"/>
      <c r="DE461" s="33"/>
      <c r="DF461" s="33"/>
      <c r="DG461" s="33"/>
      <c r="DH461" s="33"/>
      <c r="DI461" s="33"/>
      <c r="DJ461" s="33"/>
      <c r="DK461" s="33"/>
      <c r="DL461" s="33"/>
      <c r="DM461" s="33"/>
      <c r="DN461" s="33"/>
      <c r="DO461" s="33"/>
      <c r="DP461" s="33">
        <v>0.28100999999999998</v>
      </c>
      <c r="DQ461" s="33"/>
      <c r="DR461" s="33"/>
      <c r="DS461" s="33"/>
      <c r="DT461" s="33"/>
      <c r="DU461" s="33"/>
      <c r="DV461" s="33"/>
      <c r="DW461" s="33"/>
      <c r="DX461" s="33"/>
      <c r="DY461" s="33"/>
      <c r="DZ461" s="33"/>
      <c r="EA461" s="33"/>
      <c r="EB461" s="33"/>
      <c r="EC461" s="33"/>
      <c r="ED461" s="33">
        <v>2.1963999999999997</v>
      </c>
      <c r="EE461" s="33"/>
      <c r="EF461" s="33"/>
      <c r="EG461" s="33"/>
      <c r="EH461" s="33"/>
      <c r="EI461" s="33"/>
      <c r="EJ461" s="33"/>
      <c r="EK461" s="33"/>
      <c r="EL461" s="33"/>
      <c r="EM461" s="33"/>
      <c r="EN461" s="33"/>
      <c r="EO461" s="33"/>
      <c r="EP461" s="33"/>
      <c r="EQ461" s="33"/>
      <c r="ER461" s="33"/>
      <c r="ES461" s="33"/>
      <c r="ET461" s="33"/>
      <c r="EU461" s="33"/>
      <c r="EV461" s="33"/>
      <c r="EW461" s="33"/>
      <c r="EX461" s="33"/>
      <c r="EY461" s="33"/>
      <c r="EZ461" s="33"/>
      <c r="FA461" s="33"/>
      <c r="FB461" s="33"/>
      <c r="FC461" s="33"/>
      <c r="FD461" s="33"/>
      <c r="FE461" s="33"/>
      <c r="FF461" s="33"/>
      <c r="FG461" s="33"/>
      <c r="FH461" s="33"/>
      <c r="FI461" s="33"/>
      <c r="FJ461" s="33"/>
      <c r="FK461" s="33"/>
      <c r="FL461" s="33"/>
      <c r="FM461" s="33"/>
      <c r="FN461" s="33"/>
      <c r="FO461" s="33"/>
      <c r="FP461" s="33"/>
      <c r="FQ461" s="33"/>
      <c r="FR461" s="33"/>
      <c r="FS461" s="33"/>
      <c r="FT461" s="33"/>
      <c r="FU461" s="33"/>
      <c r="FV461" s="33"/>
      <c r="FW461" s="33"/>
      <c r="FX461" s="33"/>
      <c r="FY461" s="33"/>
      <c r="FZ461" s="33"/>
      <c r="GA461" s="33"/>
      <c r="GB461" s="33"/>
      <c r="GC461" s="33"/>
      <c r="GD461" s="33"/>
      <c r="GE461" s="33"/>
      <c r="GF461" s="33"/>
      <c r="GG461" s="33"/>
      <c r="GH461" s="33"/>
      <c r="GI461" s="33"/>
      <c r="GJ461" s="33"/>
      <c r="GK461" s="33"/>
      <c r="GL461" s="33"/>
      <c r="GM461" s="33"/>
      <c r="GN461" s="33"/>
      <c r="GO461" s="33"/>
      <c r="GP461" s="33"/>
      <c r="GQ461" s="33"/>
      <c r="GR461" s="33"/>
      <c r="GS461" s="33"/>
      <c r="GT461" s="33"/>
      <c r="GU461" s="33"/>
      <c r="GV461" s="33"/>
      <c r="GW461" s="33"/>
      <c r="GX461" s="33"/>
      <c r="GY461" s="33"/>
      <c r="GZ461" s="33"/>
      <c r="HA461" s="33"/>
      <c r="HB461" s="33"/>
      <c r="HC461" s="33"/>
      <c r="HD461" s="33"/>
      <c r="HE461" s="33"/>
      <c r="HF461" s="33"/>
      <c r="HG461" s="33"/>
      <c r="HH461" s="33"/>
      <c r="HI461" s="33"/>
      <c r="HJ461" s="33"/>
      <c r="HK461" s="33"/>
      <c r="HL461" s="33"/>
      <c r="HM461" s="33"/>
      <c r="HN461" s="33"/>
      <c r="HO461" s="33"/>
      <c r="HP461" s="33"/>
      <c r="HQ461" s="33"/>
      <c r="HR461" s="33"/>
      <c r="HS461" s="33"/>
      <c r="HT461" s="33"/>
      <c r="HU461" s="33"/>
      <c r="HV461" s="33"/>
      <c r="HW461" s="33"/>
      <c r="HX461" s="33"/>
      <c r="HY461" s="33"/>
      <c r="HZ461" s="33"/>
      <c r="IA461" s="33"/>
      <c r="IB461" s="33"/>
      <c r="IC461" s="33"/>
      <c r="ID461" s="33"/>
      <c r="IE461" s="33"/>
      <c r="IF461" s="33"/>
      <c r="IG461" s="33"/>
      <c r="IH461" s="33"/>
      <c r="II461" s="33"/>
      <c r="IJ461" s="33"/>
      <c r="IK461" s="33"/>
      <c r="IL461" s="33"/>
      <c r="IM461" s="33"/>
      <c r="IN461" s="33"/>
      <c r="IO461" s="33"/>
      <c r="IP461" s="33"/>
      <c r="IQ461" s="33"/>
      <c r="IR461" s="33"/>
      <c r="IS461" s="33"/>
      <c r="IT461" s="33"/>
      <c r="IU461" s="33"/>
      <c r="IV461" s="33"/>
      <c r="IW461" s="33"/>
      <c r="IX461" s="33"/>
      <c r="IY461" s="33"/>
      <c r="IZ461" s="33"/>
      <c r="JA461" s="33"/>
      <c r="JB461" s="33"/>
      <c r="JC461" s="33"/>
      <c r="JD461" s="33"/>
      <c r="JE461" s="33"/>
      <c r="JF461" s="33"/>
      <c r="JG461" s="33"/>
      <c r="JH461" s="33"/>
      <c r="JI461" s="33"/>
      <c r="JJ461" s="33"/>
      <c r="JK461" s="33"/>
      <c r="JL461" s="33"/>
      <c r="JM461" s="33"/>
      <c r="JN461" s="33"/>
      <c r="JO461" s="33"/>
      <c r="JP461" s="33"/>
      <c r="JQ461" s="33"/>
      <c r="JR461" s="33"/>
      <c r="KZ461" s="33"/>
      <c r="LA461" s="33"/>
      <c r="LB461" s="33"/>
      <c r="LC461" s="33"/>
      <c r="LD461" s="33"/>
      <c r="LE461" s="33"/>
      <c r="LF461" s="33"/>
      <c r="LG461" s="33"/>
      <c r="LH461" s="33"/>
      <c r="LI461" s="33"/>
      <c r="LJ461" s="33"/>
      <c r="LK461" s="33"/>
      <c r="LL461" s="33"/>
      <c r="LM461" s="33"/>
      <c r="LN461" s="33"/>
      <c r="LO461" s="33"/>
      <c r="LP461" s="44"/>
      <c r="LQ461" s="44"/>
      <c r="LR461" s="44"/>
      <c r="LS461" s="44"/>
      <c r="LT461" s="44"/>
      <c r="LU461" s="44"/>
      <c r="LV461" s="44"/>
    </row>
    <row r="462" spans="1:334" x14ac:dyDescent="0.2">
      <c r="A462" s="1" t="s">
        <v>9177</v>
      </c>
      <c r="B462" s="1" t="s">
        <v>9164</v>
      </c>
      <c r="D462" s="1" t="s">
        <v>9178</v>
      </c>
      <c r="E462" s="1" t="s">
        <v>11</v>
      </c>
      <c r="F462" s="1" t="s">
        <v>688</v>
      </c>
      <c r="H462" s="1" t="s">
        <v>9179</v>
      </c>
      <c r="I462" s="1">
        <v>2</v>
      </c>
      <c r="J462" s="1" t="s">
        <v>9165</v>
      </c>
      <c r="K462" s="1">
        <v>2006</v>
      </c>
      <c r="L462" s="1" t="s">
        <v>9166</v>
      </c>
      <c r="M462" s="1" t="s">
        <v>7659</v>
      </c>
      <c r="N462" s="17" t="s">
        <v>7945</v>
      </c>
      <c r="O462" s="33"/>
      <c r="P462" s="33"/>
      <c r="Q462" s="33"/>
      <c r="R462" s="33"/>
      <c r="S462" s="33">
        <v>63</v>
      </c>
      <c r="T462" s="33"/>
      <c r="U462" s="33">
        <v>6.25</v>
      </c>
      <c r="V462" s="33"/>
      <c r="W462" s="33"/>
      <c r="X462" s="33"/>
      <c r="Y462" s="33"/>
      <c r="Z462" s="33">
        <v>7.1779999999999999</v>
      </c>
      <c r="AA462" s="33"/>
      <c r="AB462" s="33"/>
      <c r="AC462" s="33"/>
      <c r="AD462" s="33"/>
      <c r="AE462" s="33"/>
      <c r="AF462" s="33"/>
      <c r="AG462" s="33"/>
      <c r="AH462" s="33"/>
      <c r="AI462" s="33"/>
      <c r="AJ462" s="33"/>
      <c r="AK462" s="33"/>
      <c r="AL462" s="33"/>
      <c r="AM462" s="33"/>
      <c r="AN462" s="33"/>
      <c r="AO462" s="33">
        <v>12.025</v>
      </c>
      <c r="AP462" s="33"/>
      <c r="AQ462" s="33"/>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c r="CA462" s="33"/>
      <c r="CB462" s="33"/>
      <c r="CC462" s="33"/>
      <c r="CD462" s="33"/>
      <c r="CE462" s="33"/>
      <c r="CF462" s="33"/>
      <c r="CG462" s="33"/>
      <c r="CH462" s="33"/>
      <c r="CI462" s="33"/>
      <c r="CJ462" s="33"/>
      <c r="CK462" s="33"/>
      <c r="CL462" s="33"/>
      <c r="CM462" s="33"/>
      <c r="CN462" s="33"/>
      <c r="CO462" s="33">
        <v>0.96200000000000008</v>
      </c>
      <c r="CP462" s="33"/>
      <c r="CQ462" s="33"/>
      <c r="CR462" s="33"/>
      <c r="CS462" s="33">
        <v>3.2189999999999999</v>
      </c>
      <c r="CT462" s="33"/>
      <c r="CU462" s="33"/>
      <c r="CV462" s="33"/>
      <c r="CW462" s="33"/>
      <c r="CX462" s="33"/>
      <c r="CY462" s="33"/>
      <c r="CZ462" s="33"/>
      <c r="DA462" s="33"/>
      <c r="DB462" s="33"/>
      <c r="DC462" s="33"/>
      <c r="DD462" s="33"/>
      <c r="DE462" s="33"/>
      <c r="DF462" s="33"/>
      <c r="DG462" s="33"/>
      <c r="DH462" s="33"/>
      <c r="DI462" s="33"/>
      <c r="DJ462" s="33"/>
      <c r="DK462" s="33"/>
      <c r="DL462" s="33"/>
      <c r="DM462" s="33"/>
      <c r="DN462" s="33"/>
      <c r="DO462" s="33"/>
      <c r="DP462" s="33">
        <v>0.31079999999999997</v>
      </c>
      <c r="DQ462" s="33"/>
      <c r="DR462" s="33"/>
      <c r="DS462" s="33"/>
      <c r="DT462" s="33"/>
      <c r="DU462" s="33"/>
      <c r="DV462" s="33"/>
      <c r="DW462" s="33"/>
      <c r="DX462" s="33"/>
      <c r="DY462" s="33"/>
      <c r="DZ462" s="33"/>
      <c r="EA462" s="33"/>
      <c r="EB462" s="33"/>
      <c r="EC462" s="33"/>
      <c r="ED462" s="33">
        <v>1.147</v>
      </c>
      <c r="EE462" s="33"/>
      <c r="EF462" s="33"/>
      <c r="EG462" s="33"/>
      <c r="EH462" s="33"/>
      <c r="EI462" s="33"/>
      <c r="EJ462" s="33"/>
      <c r="EK462" s="33"/>
      <c r="EL462" s="33"/>
      <c r="EM462" s="33"/>
      <c r="EN462" s="33"/>
      <c r="EO462" s="33"/>
      <c r="EP462" s="33"/>
      <c r="EQ462" s="33"/>
      <c r="ER462" s="33"/>
      <c r="ES462" s="33"/>
      <c r="ET462" s="33"/>
      <c r="EU462" s="33"/>
      <c r="EV462" s="33"/>
      <c r="EW462" s="33"/>
      <c r="EX462" s="33"/>
      <c r="EY462" s="33"/>
      <c r="EZ462" s="33"/>
      <c r="FA462" s="33"/>
      <c r="FB462" s="33"/>
      <c r="FC462" s="33"/>
      <c r="FD462" s="33"/>
      <c r="FE462" s="33"/>
      <c r="FF462" s="33"/>
      <c r="FG462" s="33"/>
      <c r="FH462" s="33"/>
      <c r="FI462" s="33"/>
      <c r="FJ462" s="33"/>
      <c r="FK462" s="33"/>
      <c r="FL462" s="33"/>
      <c r="FM462" s="33"/>
      <c r="FN462" s="33"/>
      <c r="FO462" s="33"/>
      <c r="FP462" s="33"/>
      <c r="FQ462" s="33"/>
      <c r="FR462" s="33"/>
      <c r="FS462" s="33"/>
      <c r="FT462" s="33"/>
      <c r="FU462" s="33"/>
      <c r="FV462" s="33"/>
      <c r="FW462" s="33"/>
      <c r="FX462" s="33"/>
      <c r="FY462" s="33"/>
      <c r="FZ462" s="33"/>
      <c r="GA462" s="33"/>
      <c r="GB462" s="33"/>
      <c r="GC462" s="33"/>
      <c r="GD462" s="33"/>
      <c r="GE462" s="33"/>
      <c r="GF462" s="33"/>
      <c r="GG462" s="33"/>
      <c r="GH462" s="33"/>
      <c r="GI462" s="33"/>
      <c r="GJ462" s="33"/>
      <c r="GK462" s="33"/>
      <c r="GL462" s="33"/>
      <c r="GM462" s="33"/>
      <c r="GN462" s="33"/>
      <c r="GO462" s="33"/>
      <c r="GP462" s="33"/>
      <c r="GQ462" s="33"/>
      <c r="GR462" s="33"/>
      <c r="GS462" s="33"/>
      <c r="GT462" s="33"/>
      <c r="GU462" s="33"/>
      <c r="GV462" s="33"/>
      <c r="GW462" s="33"/>
      <c r="GX462" s="33"/>
      <c r="GY462" s="33"/>
      <c r="GZ462" s="33"/>
      <c r="HA462" s="33"/>
      <c r="HB462" s="33"/>
      <c r="HC462" s="33"/>
      <c r="HD462" s="33"/>
      <c r="HE462" s="33"/>
      <c r="HF462" s="33"/>
      <c r="HG462" s="33"/>
      <c r="HH462" s="33"/>
      <c r="HI462" s="33"/>
      <c r="HJ462" s="33"/>
      <c r="HK462" s="33"/>
      <c r="HL462" s="33"/>
      <c r="HM462" s="33"/>
      <c r="HN462" s="33"/>
      <c r="HO462" s="33"/>
      <c r="HP462" s="33"/>
      <c r="HQ462" s="33"/>
      <c r="HR462" s="33"/>
      <c r="HS462" s="33"/>
      <c r="HT462" s="33"/>
      <c r="HU462" s="33"/>
      <c r="HV462" s="33"/>
      <c r="HW462" s="33"/>
      <c r="HX462" s="33"/>
      <c r="HY462" s="33"/>
      <c r="HZ462" s="33"/>
      <c r="IA462" s="33"/>
      <c r="IB462" s="33"/>
      <c r="IC462" s="33"/>
      <c r="ID462" s="33"/>
      <c r="IE462" s="33"/>
      <c r="IF462" s="33"/>
      <c r="IG462" s="33"/>
      <c r="IH462" s="33"/>
      <c r="II462" s="33"/>
      <c r="IJ462" s="33"/>
      <c r="IK462" s="33"/>
      <c r="IL462" s="33"/>
      <c r="IM462" s="33"/>
      <c r="IN462" s="33"/>
      <c r="IO462" s="33"/>
      <c r="IP462" s="33"/>
      <c r="IQ462" s="33"/>
      <c r="IR462" s="33"/>
      <c r="IS462" s="33"/>
      <c r="IT462" s="33"/>
      <c r="IU462" s="33"/>
      <c r="IV462" s="33"/>
      <c r="IW462" s="33"/>
      <c r="IX462" s="33"/>
      <c r="IY462" s="33"/>
      <c r="IZ462" s="33"/>
      <c r="JA462" s="33"/>
      <c r="JB462" s="33"/>
      <c r="JC462" s="33"/>
      <c r="JD462" s="33"/>
      <c r="JE462" s="33"/>
      <c r="JF462" s="33"/>
      <c r="JG462" s="33"/>
      <c r="JH462" s="33"/>
      <c r="JI462" s="33"/>
      <c r="JJ462" s="33"/>
      <c r="JK462" s="33"/>
      <c r="JL462" s="33"/>
      <c r="JM462" s="33"/>
      <c r="JN462" s="33"/>
      <c r="JO462" s="33"/>
      <c r="JP462" s="33"/>
      <c r="JQ462" s="33"/>
      <c r="JR462" s="33"/>
      <c r="KZ462" s="33"/>
      <c r="LA462" s="33"/>
      <c r="LB462" s="33"/>
      <c r="LC462" s="33"/>
      <c r="LD462" s="33"/>
      <c r="LE462" s="33"/>
      <c r="LF462" s="33"/>
      <c r="LG462" s="33"/>
      <c r="LH462" s="33"/>
      <c r="LI462" s="33"/>
      <c r="LJ462" s="33"/>
      <c r="LK462" s="33"/>
      <c r="LL462" s="33"/>
      <c r="LM462" s="33"/>
      <c r="LN462" s="33"/>
      <c r="LO462" s="33"/>
      <c r="LP462" s="44"/>
      <c r="LQ462" s="44"/>
      <c r="LR462" s="44"/>
      <c r="LS462" s="44"/>
      <c r="LT462" s="44"/>
      <c r="LU462" s="44"/>
      <c r="LV462" s="44"/>
    </row>
    <row r="463" spans="1:334" x14ac:dyDescent="0.2">
      <c r="A463" s="1" t="s">
        <v>9180</v>
      </c>
      <c r="B463" s="1" t="s">
        <v>9181</v>
      </c>
      <c r="D463" s="1" t="s">
        <v>9182</v>
      </c>
      <c r="E463" s="1" t="s">
        <v>7</v>
      </c>
      <c r="F463" s="1" t="s">
        <v>8800</v>
      </c>
      <c r="I463" s="1">
        <v>3</v>
      </c>
      <c r="J463" s="1" t="s">
        <v>9183</v>
      </c>
      <c r="K463" s="1">
        <v>2000</v>
      </c>
      <c r="L463" s="1" t="s">
        <v>9184</v>
      </c>
      <c r="M463" s="1" t="s">
        <v>9084</v>
      </c>
      <c r="N463" s="17" t="s">
        <v>7945</v>
      </c>
      <c r="O463" s="33"/>
      <c r="P463" s="33"/>
      <c r="Q463" s="33"/>
      <c r="R463" s="33"/>
      <c r="S463" s="33">
        <v>6.6</v>
      </c>
      <c r="T463" s="33"/>
      <c r="U463" s="33"/>
      <c r="V463" s="33"/>
      <c r="W463" s="33"/>
      <c r="X463" s="33"/>
      <c r="Y463" s="33"/>
      <c r="Z463" s="33">
        <v>32.409800000000004</v>
      </c>
      <c r="AA463" s="33"/>
      <c r="AB463" s="33"/>
      <c r="AC463" s="33">
        <v>0.93400000000000005</v>
      </c>
      <c r="AD463" s="33"/>
      <c r="AE463" s="33"/>
      <c r="AF463" s="33"/>
      <c r="AG463" s="33"/>
      <c r="AH463" s="33"/>
      <c r="AI463" s="33"/>
      <c r="AJ463" s="33">
        <v>51.743600000000008</v>
      </c>
      <c r="AK463" s="33"/>
      <c r="AL463" s="33"/>
      <c r="AM463" s="33"/>
      <c r="AN463" s="33"/>
      <c r="AO463" s="33"/>
      <c r="AP463" s="33"/>
      <c r="AQ463" s="33"/>
      <c r="AR463" s="33"/>
      <c r="AS463" s="33"/>
      <c r="AT463" s="33"/>
      <c r="AU463" s="33"/>
      <c r="AV463" s="33"/>
      <c r="AW463" s="33"/>
      <c r="AX463" s="33"/>
      <c r="AY463" s="33"/>
      <c r="AZ463" s="33"/>
      <c r="BA463" s="33"/>
      <c r="BB463" s="33"/>
      <c r="BC463" s="33"/>
      <c r="BD463" s="33"/>
      <c r="BE463" s="33"/>
      <c r="BF463" s="33">
        <v>2.1482000000000001</v>
      </c>
      <c r="BG463" s="33"/>
      <c r="BH463" s="33"/>
      <c r="BI463" s="33"/>
      <c r="BJ463" s="33"/>
      <c r="BK463" s="33"/>
      <c r="BL463" s="33"/>
      <c r="BM463" s="33"/>
      <c r="BN463" s="33"/>
      <c r="BO463" s="33"/>
      <c r="BP463" s="33"/>
      <c r="BQ463" s="33"/>
      <c r="BR463" s="33"/>
      <c r="BS463" s="33"/>
      <c r="BT463" s="33"/>
      <c r="BU463" s="33"/>
      <c r="BV463" s="33"/>
      <c r="BW463" s="33"/>
      <c r="BX463" s="33"/>
      <c r="BY463" s="33"/>
      <c r="BZ463" s="33"/>
      <c r="CA463" s="33"/>
      <c r="CB463" s="33"/>
      <c r="CC463" s="33"/>
      <c r="CD463" s="33"/>
      <c r="CE463" s="33"/>
      <c r="CF463" s="33"/>
      <c r="CG463" s="33"/>
      <c r="CH463" s="33"/>
      <c r="CI463" s="33"/>
      <c r="CJ463" s="33"/>
      <c r="CK463" s="33"/>
      <c r="CL463" s="33"/>
      <c r="CM463" s="33"/>
      <c r="CN463" s="33"/>
      <c r="CO463" s="33">
        <v>3.5492000000000004</v>
      </c>
      <c r="CP463" s="33">
        <v>66.967800000000011</v>
      </c>
      <c r="CQ463" s="33"/>
      <c r="CR463" s="33">
        <v>1.13948</v>
      </c>
      <c r="CS463" s="33">
        <v>2.6151999999999997</v>
      </c>
      <c r="CT463" s="33"/>
      <c r="CU463" s="33">
        <v>980.7</v>
      </c>
      <c r="CV463" s="33">
        <v>172.32299999999998</v>
      </c>
      <c r="CW463" s="33">
        <v>1.5130800000000002</v>
      </c>
      <c r="CX463" s="33" t="s">
        <v>9375</v>
      </c>
      <c r="CY463" s="33">
        <v>720.76780000000008</v>
      </c>
      <c r="CZ463" s="33"/>
      <c r="DA463" s="33">
        <v>5.8842000000000008</v>
      </c>
      <c r="DB463" s="33"/>
      <c r="DC463" s="33"/>
      <c r="DD463" s="33"/>
      <c r="DE463" s="33"/>
      <c r="DF463" s="33"/>
      <c r="DG463" s="33"/>
      <c r="DH463" s="33"/>
      <c r="DI463" s="33"/>
      <c r="DJ463" s="33"/>
      <c r="DK463" s="33"/>
      <c r="DL463" s="33"/>
      <c r="DM463" s="33"/>
      <c r="DN463" s="33"/>
      <c r="DO463" s="33"/>
      <c r="DP463" s="33"/>
      <c r="DQ463" s="33"/>
      <c r="DR463" s="33"/>
      <c r="DS463" s="33"/>
      <c r="DT463" s="33"/>
      <c r="DU463" s="33"/>
      <c r="DV463" s="33"/>
      <c r="DW463" s="33"/>
      <c r="DX463" s="33"/>
      <c r="DY463" s="33"/>
      <c r="DZ463" s="33"/>
      <c r="EA463" s="33"/>
      <c r="EB463" s="33"/>
      <c r="EC463" s="33"/>
      <c r="ED463" s="33"/>
      <c r="EE463" s="33"/>
      <c r="EF463" s="33"/>
      <c r="EG463" s="33"/>
      <c r="EH463" s="33"/>
      <c r="EI463" s="33"/>
      <c r="EJ463" s="33"/>
      <c r="EK463" s="33"/>
      <c r="EL463" s="33"/>
      <c r="EM463" s="33"/>
      <c r="EN463" s="33"/>
      <c r="EO463" s="33"/>
      <c r="EP463" s="33"/>
      <c r="EQ463" s="33"/>
      <c r="ER463" s="33"/>
      <c r="ES463" s="33"/>
      <c r="ET463" s="33"/>
      <c r="EU463" s="33"/>
      <c r="EV463" s="33"/>
      <c r="EW463" s="33"/>
      <c r="EX463" s="33"/>
      <c r="EY463" s="33"/>
      <c r="EZ463" s="33"/>
      <c r="FA463" s="33"/>
      <c r="FB463" s="33"/>
      <c r="FC463" s="33"/>
      <c r="FD463" s="33"/>
      <c r="FE463" s="33"/>
      <c r="FF463" s="33"/>
      <c r="FG463" s="33"/>
      <c r="FH463" s="33"/>
      <c r="FI463" s="33"/>
      <c r="FJ463" s="33"/>
      <c r="FK463" s="33"/>
      <c r="FL463" s="33"/>
      <c r="FM463" s="33"/>
      <c r="FN463" s="33"/>
      <c r="FO463" s="33"/>
      <c r="FP463" s="33"/>
      <c r="FQ463" s="33"/>
      <c r="FR463" s="33"/>
      <c r="FS463" s="33"/>
      <c r="FT463" s="33"/>
      <c r="FU463" s="33"/>
      <c r="FV463" s="33"/>
      <c r="FW463" s="33"/>
      <c r="FX463" s="33"/>
      <c r="FY463" s="33"/>
      <c r="FZ463" s="33"/>
      <c r="GA463" s="33"/>
      <c r="GB463" s="33"/>
      <c r="GC463" s="33"/>
      <c r="GD463" s="33"/>
      <c r="GE463" s="33"/>
      <c r="GF463" s="33"/>
      <c r="GG463" s="33"/>
      <c r="GH463" s="33"/>
      <c r="GI463" s="33"/>
      <c r="GJ463" s="33"/>
      <c r="GK463" s="33"/>
      <c r="GL463" s="33"/>
      <c r="GM463" s="33"/>
      <c r="GN463" s="33"/>
      <c r="GO463" s="33"/>
      <c r="GP463" s="33"/>
      <c r="GQ463" s="33"/>
      <c r="GR463" s="33"/>
      <c r="GS463" s="33"/>
      <c r="GT463" s="33"/>
      <c r="GU463" s="33"/>
      <c r="GV463" s="33"/>
      <c r="GW463" s="33"/>
      <c r="GX463" s="33"/>
      <c r="GY463" s="33"/>
      <c r="GZ463" s="33"/>
      <c r="HA463" s="33"/>
      <c r="HB463" s="33"/>
      <c r="HC463" s="33"/>
      <c r="HD463" s="33"/>
      <c r="HE463" s="33"/>
      <c r="HF463" s="33"/>
      <c r="HG463" s="33"/>
      <c r="HH463" s="33"/>
      <c r="HI463" s="33"/>
      <c r="HJ463" s="33"/>
      <c r="HK463" s="33"/>
      <c r="HL463" s="33"/>
      <c r="HM463" s="33"/>
      <c r="HN463" s="33"/>
      <c r="HO463" s="33"/>
      <c r="HP463" s="33"/>
      <c r="HQ463" s="33"/>
      <c r="HR463" s="33"/>
      <c r="HS463" s="33"/>
      <c r="HT463" s="33"/>
      <c r="HU463" s="33"/>
      <c r="HV463" s="33"/>
      <c r="HW463" s="33"/>
      <c r="HX463" s="33"/>
      <c r="HY463" s="33"/>
      <c r="HZ463" s="33"/>
      <c r="IA463" s="33"/>
      <c r="IB463" s="33"/>
      <c r="IC463" s="33"/>
      <c r="ID463" s="33"/>
      <c r="IE463" s="33"/>
      <c r="IF463" s="33"/>
      <c r="IG463" s="33"/>
      <c r="IH463" s="33"/>
      <c r="II463" s="33"/>
      <c r="IJ463" s="33"/>
      <c r="IK463" s="33"/>
      <c r="IL463" s="33"/>
      <c r="IM463" s="33"/>
      <c r="IN463" s="33"/>
      <c r="IO463" s="33"/>
      <c r="IP463" s="33"/>
      <c r="IQ463" s="33"/>
      <c r="IR463" s="33"/>
      <c r="IS463" s="33"/>
      <c r="IT463" s="33"/>
      <c r="IU463" s="33"/>
      <c r="IV463" s="33"/>
      <c r="IW463" s="33"/>
      <c r="IX463" s="33"/>
      <c r="IY463" s="33"/>
      <c r="IZ463" s="33"/>
      <c r="JA463" s="33"/>
      <c r="JB463" s="33"/>
      <c r="JC463" s="33"/>
      <c r="JD463" s="33"/>
      <c r="JE463" s="33"/>
      <c r="JF463" s="33"/>
      <c r="JG463" s="33"/>
      <c r="JH463" s="33"/>
      <c r="JI463" s="33"/>
      <c r="JJ463" s="33"/>
      <c r="JK463" s="33"/>
      <c r="JL463" s="33"/>
      <c r="JM463" s="33"/>
      <c r="JN463" s="33"/>
      <c r="JO463" s="33"/>
      <c r="JP463" s="33"/>
      <c r="JQ463" s="33"/>
      <c r="JR463" s="33"/>
      <c r="KZ463" s="33"/>
      <c r="LA463" s="33"/>
      <c r="LB463" s="33"/>
      <c r="LC463" s="33"/>
      <c r="LD463" s="33"/>
      <c r="LE463" s="33"/>
      <c r="LF463" s="33"/>
      <c r="LG463" s="33"/>
      <c r="LH463" s="33"/>
      <c r="LI463" s="33"/>
      <c r="LJ463" s="33"/>
      <c r="LK463" s="33"/>
      <c r="LL463" s="33"/>
      <c r="LM463" s="33"/>
      <c r="LN463" s="33"/>
      <c r="LO463" s="33"/>
      <c r="LP463" s="44"/>
      <c r="LQ463" s="44"/>
      <c r="LR463" s="44"/>
      <c r="LS463" s="44"/>
      <c r="LT463" s="44"/>
      <c r="LU463" s="44"/>
      <c r="LV463" s="44"/>
    </row>
    <row r="464" spans="1:334" x14ac:dyDescent="0.2">
      <c r="A464" s="1" t="s">
        <v>9185</v>
      </c>
      <c r="B464" s="1" t="s">
        <v>9181</v>
      </c>
      <c r="D464" s="1" t="s">
        <v>9126</v>
      </c>
      <c r="E464" s="1" t="s">
        <v>7</v>
      </c>
      <c r="F464" s="1" t="s">
        <v>8024</v>
      </c>
      <c r="I464" s="1">
        <v>3</v>
      </c>
      <c r="J464" s="1" t="s">
        <v>9183</v>
      </c>
      <c r="K464" s="1">
        <v>2000</v>
      </c>
      <c r="L464" s="1" t="s">
        <v>9184</v>
      </c>
      <c r="M464" s="1" t="s">
        <v>9084</v>
      </c>
      <c r="N464" s="17" t="s">
        <v>7945</v>
      </c>
      <c r="O464" s="33"/>
      <c r="P464" s="33"/>
      <c r="Q464" s="33"/>
      <c r="R464" s="33"/>
      <c r="S464" s="33">
        <v>3.5</v>
      </c>
      <c r="T464" s="33"/>
      <c r="U464" s="33"/>
      <c r="V464" s="33"/>
      <c r="W464" s="33"/>
      <c r="X464" s="33"/>
      <c r="Y464" s="33"/>
      <c r="Z464" s="33">
        <v>28.660499999999999</v>
      </c>
      <c r="AA464" s="33"/>
      <c r="AB464" s="33"/>
      <c r="AC464" s="33">
        <v>1.4475</v>
      </c>
      <c r="AD464" s="33"/>
      <c r="AE464" s="33"/>
      <c r="AF464" s="33"/>
      <c r="AG464" s="33"/>
      <c r="AH464" s="33"/>
      <c r="AI464" s="33"/>
      <c r="AJ464" s="33">
        <v>58.189499999999995</v>
      </c>
      <c r="AK464" s="33"/>
      <c r="AL464" s="33"/>
      <c r="AM464" s="33"/>
      <c r="AN464" s="33"/>
      <c r="AO464" s="33"/>
      <c r="AP464" s="33"/>
      <c r="AQ464" s="33"/>
      <c r="AR464" s="33"/>
      <c r="AS464" s="33"/>
      <c r="AT464" s="33"/>
      <c r="AU464" s="33"/>
      <c r="AV464" s="33"/>
      <c r="AW464" s="33"/>
      <c r="AX464" s="33"/>
      <c r="AY464" s="33"/>
      <c r="AZ464" s="33"/>
      <c r="BA464" s="33"/>
      <c r="BB464" s="33"/>
      <c r="BC464" s="33"/>
      <c r="BD464" s="33"/>
      <c r="BE464" s="33"/>
      <c r="BF464" s="33">
        <v>4.8250000000000002</v>
      </c>
      <c r="BG464" s="33"/>
      <c r="BH464" s="33"/>
      <c r="BI464" s="33"/>
      <c r="BJ464" s="33"/>
      <c r="BK464" s="33"/>
      <c r="BL464" s="33"/>
      <c r="BM464" s="33"/>
      <c r="BN464" s="33"/>
      <c r="BO464" s="33"/>
      <c r="BP464" s="33"/>
      <c r="BQ464" s="33"/>
      <c r="BR464" s="33"/>
      <c r="BS464" s="33"/>
      <c r="BT464" s="33"/>
      <c r="BU464" s="33"/>
      <c r="BV464" s="33"/>
      <c r="BW464" s="33"/>
      <c r="BX464" s="33"/>
      <c r="BY464" s="33"/>
      <c r="BZ464" s="33"/>
      <c r="CA464" s="33"/>
      <c r="CB464" s="33"/>
      <c r="CC464" s="33"/>
      <c r="CD464" s="33"/>
      <c r="CE464" s="33"/>
      <c r="CF464" s="33"/>
      <c r="CG464" s="33"/>
      <c r="CH464" s="33"/>
      <c r="CI464" s="33"/>
      <c r="CJ464" s="33"/>
      <c r="CK464" s="33"/>
      <c r="CL464" s="33"/>
      <c r="CM464" s="33"/>
      <c r="CN464" s="33"/>
      <c r="CO464" s="33">
        <v>3.3774999999999999</v>
      </c>
      <c r="CP464" s="33">
        <v>40.819499999999998</v>
      </c>
      <c r="CQ464" s="33"/>
      <c r="CR464" s="33">
        <v>1.0615000000000001</v>
      </c>
      <c r="CS464" s="33">
        <v>12.8345</v>
      </c>
      <c r="CT464" s="33"/>
      <c r="CU464" s="33">
        <v>36.766500000000001</v>
      </c>
      <c r="CV464" s="33">
        <v>12.448500000000001</v>
      </c>
      <c r="CW464" s="33">
        <v>1.2544999999999999</v>
      </c>
      <c r="CX464" s="33" t="s">
        <v>9376</v>
      </c>
      <c r="CY464" s="33">
        <v>442.45249999999999</v>
      </c>
      <c r="CZ464" s="33"/>
      <c r="DA464" s="33">
        <v>5.9830000000000005</v>
      </c>
      <c r="DB464" s="33"/>
      <c r="DC464" s="33"/>
      <c r="DD464" s="33"/>
      <c r="DE464" s="33"/>
      <c r="DF464" s="33"/>
      <c r="DG464" s="33"/>
      <c r="DH464" s="33"/>
      <c r="DI464" s="33"/>
      <c r="DJ464" s="33"/>
      <c r="DK464" s="33"/>
      <c r="DL464" s="33"/>
      <c r="DM464" s="33"/>
      <c r="DN464" s="33"/>
      <c r="DO464" s="33"/>
      <c r="DP464" s="33"/>
      <c r="DQ464" s="33"/>
      <c r="DR464" s="33"/>
      <c r="DS464" s="33"/>
      <c r="DT464" s="33"/>
      <c r="DU464" s="33"/>
      <c r="DV464" s="33"/>
      <c r="DW464" s="33"/>
      <c r="DX464" s="33"/>
      <c r="DY464" s="33"/>
      <c r="DZ464" s="33"/>
      <c r="EA464" s="33"/>
      <c r="EB464" s="33"/>
      <c r="EC464" s="33"/>
      <c r="ED464" s="33"/>
      <c r="EE464" s="33"/>
      <c r="EF464" s="33"/>
      <c r="EG464" s="33"/>
      <c r="EH464" s="33"/>
      <c r="EI464" s="33"/>
      <c r="EJ464" s="33"/>
      <c r="EK464" s="33"/>
      <c r="EL464" s="33"/>
      <c r="EM464" s="33"/>
      <c r="EN464" s="33"/>
      <c r="EO464" s="33"/>
      <c r="EP464" s="33"/>
      <c r="EQ464" s="33"/>
      <c r="ER464" s="33"/>
      <c r="ES464" s="33"/>
      <c r="ET464" s="33"/>
      <c r="EU464" s="33"/>
      <c r="EV464" s="33"/>
      <c r="EW464" s="33"/>
      <c r="EX464" s="33"/>
      <c r="EY464" s="33"/>
      <c r="EZ464" s="33"/>
      <c r="FA464" s="33"/>
      <c r="FB464" s="33"/>
      <c r="FC464" s="33"/>
      <c r="FD464" s="33"/>
      <c r="FE464" s="33"/>
      <c r="FF464" s="33"/>
      <c r="FG464" s="33"/>
      <c r="FH464" s="33"/>
      <c r="FI464" s="33"/>
      <c r="FJ464" s="33"/>
      <c r="FK464" s="33"/>
      <c r="FL464" s="33"/>
      <c r="FM464" s="33"/>
      <c r="FN464" s="33"/>
      <c r="FO464" s="33"/>
      <c r="FP464" s="33"/>
      <c r="FQ464" s="33"/>
      <c r="FR464" s="33"/>
      <c r="FS464" s="33"/>
      <c r="FT464" s="33"/>
      <c r="FU464" s="33"/>
      <c r="FV464" s="33"/>
      <c r="FW464" s="33"/>
      <c r="FX464" s="33"/>
      <c r="FY464" s="33"/>
      <c r="FZ464" s="33"/>
      <c r="GA464" s="33"/>
      <c r="GB464" s="33"/>
      <c r="GC464" s="33"/>
      <c r="GD464" s="33"/>
      <c r="GE464" s="33"/>
      <c r="GF464" s="33"/>
      <c r="GG464" s="33"/>
      <c r="GH464" s="33"/>
      <c r="GI464" s="33"/>
      <c r="GJ464" s="33"/>
      <c r="GK464" s="33"/>
      <c r="GL464" s="33"/>
      <c r="GM464" s="33"/>
      <c r="GN464" s="33"/>
      <c r="GO464" s="33"/>
      <c r="GP464" s="33"/>
      <c r="GQ464" s="33"/>
      <c r="GR464" s="33"/>
      <c r="GS464" s="33"/>
      <c r="GT464" s="33"/>
      <c r="GU464" s="33"/>
      <c r="GV464" s="33"/>
      <c r="GW464" s="33"/>
      <c r="GX464" s="33"/>
      <c r="GY464" s="33"/>
      <c r="GZ464" s="33"/>
      <c r="HA464" s="33"/>
      <c r="HB464" s="33"/>
      <c r="HC464" s="33"/>
      <c r="HD464" s="33"/>
      <c r="HE464" s="33"/>
      <c r="HF464" s="33"/>
      <c r="HG464" s="33"/>
      <c r="HH464" s="33"/>
      <c r="HI464" s="33"/>
      <c r="HJ464" s="33"/>
      <c r="HK464" s="33"/>
      <c r="HL464" s="33"/>
      <c r="HM464" s="33"/>
      <c r="HN464" s="33"/>
      <c r="HO464" s="33"/>
      <c r="HP464" s="33"/>
      <c r="HQ464" s="33"/>
      <c r="HR464" s="33"/>
      <c r="HS464" s="33"/>
      <c r="HT464" s="33"/>
      <c r="HU464" s="33"/>
      <c r="HV464" s="33"/>
      <c r="HW464" s="33"/>
      <c r="HX464" s="33"/>
      <c r="HY464" s="33"/>
      <c r="HZ464" s="33"/>
      <c r="IA464" s="33"/>
      <c r="IB464" s="33"/>
      <c r="IC464" s="33"/>
      <c r="ID464" s="33"/>
      <c r="IE464" s="33"/>
      <c r="IF464" s="33"/>
      <c r="IG464" s="33"/>
      <c r="IH464" s="33"/>
      <c r="II464" s="33"/>
      <c r="IJ464" s="33"/>
      <c r="IK464" s="33"/>
      <c r="IL464" s="33"/>
      <c r="IM464" s="33"/>
      <c r="IN464" s="33"/>
      <c r="IO464" s="33"/>
      <c r="IP464" s="33"/>
      <c r="IQ464" s="33"/>
      <c r="IR464" s="33"/>
      <c r="IS464" s="33"/>
      <c r="IT464" s="33"/>
      <c r="IU464" s="33"/>
      <c r="IV464" s="33"/>
      <c r="IW464" s="33"/>
      <c r="IX464" s="33"/>
      <c r="IY464" s="33"/>
      <c r="IZ464" s="33"/>
      <c r="JA464" s="33"/>
      <c r="JB464" s="33"/>
      <c r="JC464" s="33"/>
      <c r="JD464" s="33"/>
      <c r="JE464" s="33"/>
      <c r="JF464" s="33"/>
      <c r="JG464" s="33"/>
      <c r="JH464" s="33"/>
      <c r="JI464" s="33"/>
      <c r="JJ464" s="33"/>
      <c r="JK464" s="33"/>
      <c r="JL464" s="33"/>
      <c r="JM464" s="33"/>
      <c r="JN464" s="33"/>
      <c r="JO464" s="33"/>
      <c r="JP464" s="33"/>
      <c r="JQ464" s="33"/>
      <c r="JR464" s="33"/>
      <c r="KZ464" s="33"/>
      <c r="LA464" s="33"/>
      <c r="LB464" s="33"/>
      <c r="LC464" s="33"/>
      <c r="LD464" s="33"/>
      <c r="LE464" s="33"/>
      <c r="LF464" s="33"/>
      <c r="LG464" s="33"/>
      <c r="LH464" s="33"/>
      <c r="LI464" s="33"/>
      <c r="LJ464" s="33"/>
      <c r="LK464" s="33"/>
      <c r="LL464" s="33"/>
      <c r="LM464" s="33"/>
      <c r="LN464" s="33"/>
      <c r="LO464" s="33"/>
      <c r="LP464" s="44"/>
      <c r="LQ464" s="44"/>
      <c r="LR464" s="44"/>
      <c r="LS464" s="44"/>
      <c r="LT464" s="44"/>
      <c r="LU464" s="44"/>
      <c r="LV464" s="44"/>
    </row>
    <row r="465" spans="1:334" x14ac:dyDescent="0.2">
      <c r="A465" s="1" t="s">
        <v>9186</v>
      </c>
      <c r="B465" s="1" t="s">
        <v>9181</v>
      </c>
      <c r="D465" s="1" t="s">
        <v>9122</v>
      </c>
      <c r="E465" s="1" t="s">
        <v>7</v>
      </c>
      <c r="F465" s="1" t="s">
        <v>688</v>
      </c>
      <c r="I465" s="1">
        <v>3</v>
      </c>
      <c r="J465" s="1" t="s">
        <v>9183</v>
      </c>
      <c r="K465" s="1">
        <v>2000</v>
      </c>
      <c r="L465" s="1" t="s">
        <v>9184</v>
      </c>
      <c r="M465" s="1" t="s">
        <v>9084</v>
      </c>
      <c r="N465" s="17" t="s">
        <v>7945</v>
      </c>
      <c r="O465" s="33"/>
      <c r="P465" s="33"/>
      <c r="Q465" s="33"/>
      <c r="R465" s="33"/>
      <c r="S465" s="33">
        <v>4.8</v>
      </c>
      <c r="T465" s="33"/>
      <c r="U465" s="33"/>
      <c r="V465" s="33"/>
      <c r="W465" s="33"/>
      <c r="X465" s="33"/>
      <c r="Y465" s="33"/>
      <c r="Z465" s="33">
        <v>18.468799999999998</v>
      </c>
      <c r="AA465" s="33"/>
      <c r="AB465" s="33"/>
      <c r="AC465" s="33">
        <v>6.5688000000000013</v>
      </c>
      <c r="AD465" s="33"/>
      <c r="AE465" s="33"/>
      <c r="AF465" s="33"/>
      <c r="AG465" s="33"/>
      <c r="AH465" s="33"/>
      <c r="AI465" s="33"/>
      <c r="AJ465" s="33">
        <v>62.4512</v>
      </c>
      <c r="AK465" s="33"/>
      <c r="AL465" s="33"/>
      <c r="AM465" s="33"/>
      <c r="AN465" s="33"/>
      <c r="AO465" s="33"/>
      <c r="AP465" s="33"/>
      <c r="AQ465" s="33"/>
      <c r="AR465" s="33"/>
      <c r="AS465" s="33"/>
      <c r="AT465" s="33"/>
      <c r="AU465" s="33"/>
      <c r="AV465" s="33"/>
      <c r="AW465" s="33"/>
      <c r="AX465" s="33"/>
      <c r="AY465" s="33"/>
      <c r="AZ465" s="33"/>
      <c r="BA465" s="33"/>
      <c r="BB465" s="33"/>
      <c r="BC465" s="33"/>
      <c r="BD465" s="33"/>
      <c r="BE465" s="33"/>
      <c r="BF465" s="33">
        <v>3.1415999999999995</v>
      </c>
      <c r="BG465" s="33"/>
      <c r="BH465" s="33"/>
      <c r="BI465" s="33"/>
      <c r="BJ465" s="33"/>
      <c r="BK465" s="33"/>
      <c r="BL465" s="33"/>
      <c r="BM465" s="33"/>
      <c r="BN465" s="33"/>
      <c r="BO465" s="33"/>
      <c r="BP465" s="33"/>
      <c r="BQ465" s="33"/>
      <c r="BR465" s="33"/>
      <c r="BS465" s="33"/>
      <c r="BT465" s="33"/>
      <c r="BU465" s="33"/>
      <c r="BV465" s="33"/>
      <c r="BW465" s="33"/>
      <c r="BX465" s="33"/>
      <c r="BY465" s="33"/>
      <c r="BZ465" s="33"/>
      <c r="CA465" s="33"/>
      <c r="CB465" s="33"/>
      <c r="CC465" s="33"/>
      <c r="CD465" s="33"/>
      <c r="CE465" s="33"/>
      <c r="CF465" s="33"/>
      <c r="CG465" s="33"/>
      <c r="CH465" s="33"/>
      <c r="CI465" s="33"/>
      <c r="CJ465" s="33"/>
      <c r="CK465" s="33"/>
      <c r="CL465" s="33"/>
      <c r="CM465" s="33"/>
      <c r="CN465" s="33"/>
      <c r="CO465" s="33">
        <v>2.9512</v>
      </c>
      <c r="CP465" s="33">
        <v>214.2</v>
      </c>
      <c r="CQ465" s="33"/>
      <c r="CR465" s="33">
        <v>1.6184000000000001</v>
      </c>
      <c r="CS465" s="33">
        <v>8.5680000000000014</v>
      </c>
      <c r="CT465" s="33"/>
      <c r="CU465" s="33">
        <v>12.9472</v>
      </c>
      <c r="CV465" s="33">
        <v>1.3328</v>
      </c>
      <c r="CW465" s="33">
        <v>1.9040000000000001</v>
      </c>
      <c r="CX465" s="33" t="s">
        <v>9377</v>
      </c>
      <c r="CY465" s="33" t="s">
        <v>9378</v>
      </c>
      <c r="CZ465" s="33"/>
      <c r="DA465" s="33">
        <v>3.4272000000000005</v>
      </c>
      <c r="DB465" s="33"/>
      <c r="DC465" s="33"/>
      <c r="DD465" s="33"/>
      <c r="DE465" s="33"/>
      <c r="DF465" s="33"/>
      <c r="DG465" s="33"/>
      <c r="DH465" s="33"/>
      <c r="DI465" s="33"/>
      <c r="DJ465" s="33"/>
      <c r="DK465" s="33"/>
      <c r="DL465" s="33"/>
      <c r="DM465" s="33"/>
      <c r="DN465" s="33"/>
      <c r="DO465" s="33"/>
      <c r="DP465" s="33"/>
      <c r="DQ465" s="33"/>
      <c r="DR465" s="33"/>
      <c r="DS465" s="33"/>
      <c r="DT465" s="33"/>
      <c r="DU465" s="33"/>
      <c r="DV465" s="33"/>
      <c r="DW465" s="33"/>
      <c r="DX465" s="33"/>
      <c r="DY465" s="33"/>
      <c r="DZ465" s="33"/>
      <c r="EA465" s="33"/>
      <c r="EB465" s="33"/>
      <c r="EC465" s="33"/>
      <c r="ED465" s="33"/>
      <c r="EE465" s="33"/>
      <c r="EF465" s="33"/>
      <c r="EG465" s="33"/>
      <c r="EH465" s="33"/>
      <c r="EI465" s="33"/>
      <c r="EJ465" s="33"/>
      <c r="EK465" s="33"/>
      <c r="EL465" s="33"/>
      <c r="EM465" s="33"/>
      <c r="EN465" s="33"/>
      <c r="EO465" s="33"/>
      <c r="EP465" s="33"/>
      <c r="EQ465" s="33"/>
      <c r="ER465" s="33"/>
      <c r="ES465" s="33"/>
      <c r="ET465" s="33"/>
      <c r="EU465" s="33"/>
      <c r="EV465" s="33"/>
      <c r="EW465" s="33"/>
      <c r="EX465" s="33"/>
      <c r="EY465" s="33"/>
      <c r="EZ465" s="33"/>
      <c r="FA465" s="33"/>
      <c r="FB465" s="33"/>
      <c r="FC465" s="33"/>
      <c r="FD465" s="33"/>
      <c r="FE465" s="33"/>
      <c r="FF465" s="33"/>
      <c r="FG465" s="33"/>
      <c r="FH465" s="33"/>
      <c r="FI465" s="33"/>
      <c r="FJ465" s="33"/>
      <c r="FK465" s="33"/>
      <c r="FL465" s="33"/>
      <c r="FM465" s="33"/>
      <c r="FN465" s="33"/>
      <c r="FO465" s="33"/>
      <c r="FP465" s="33"/>
      <c r="FQ465" s="33"/>
      <c r="FR465" s="33"/>
      <c r="FS465" s="33"/>
      <c r="FT465" s="33"/>
      <c r="FU465" s="33"/>
      <c r="FV465" s="33"/>
      <c r="FW465" s="33"/>
      <c r="FX465" s="33"/>
      <c r="FY465" s="33"/>
      <c r="FZ465" s="33"/>
      <c r="GA465" s="33"/>
      <c r="GB465" s="33"/>
      <c r="GC465" s="33"/>
      <c r="GD465" s="33"/>
      <c r="GE465" s="33"/>
      <c r="GF465" s="33"/>
      <c r="GG465" s="33"/>
      <c r="GH465" s="33"/>
      <c r="GI465" s="33"/>
      <c r="GJ465" s="33"/>
      <c r="GK465" s="33"/>
      <c r="GL465" s="33"/>
      <c r="GM465" s="33"/>
      <c r="GN465" s="33"/>
      <c r="GO465" s="33"/>
      <c r="GP465" s="33"/>
      <c r="GQ465" s="33"/>
      <c r="GR465" s="33"/>
      <c r="GS465" s="33"/>
      <c r="GT465" s="33"/>
      <c r="GU465" s="33"/>
      <c r="GV465" s="33"/>
      <c r="GW465" s="33"/>
      <c r="GX465" s="33"/>
      <c r="GY465" s="33"/>
      <c r="GZ465" s="33"/>
      <c r="HA465" s="33"/>
      <c r="HB465" s="33"/>
      <c r="HC465" s="33"/>
      <c r="HD465" s="33"/>
      <c r="HE465" s="33"/>
      <c r="HF465" s="33"/>
      <c r="HG465" s="33"/>
      <c r="HH465" s="33"/>
      <c r="HI465" s="33"/>
      <c r="HJ465" s="33"/>
      <c r="HK465" s="33"/>
      <c r="HL465" s="33"/>
      <c r="HM465" s="33"/>
      <c r="HN465" s="33"/>
      <c r="HO465" s="33"/>
      <c r="HP465" s="33"/>
      <c r="HQ465" s="33"/>
      <c r="HR465" s="33"/>
      <c r="HS465" s="33"/>
      <c r="HT465" s="33"/>
      <c r="HU465" s="33"/>
      <c r="HV465" s="33"/>
      <c r="HW465" s="33"/>
      <c r="HX465" s="33"/>
      <c r="HY465" s="33"/>
      <c r="HZ465" s="33"/>
      <c r="IA465" s="33"/>
      <c r="IB465" s="33"/>
      <c r="IC465" s="33"/>
      <c r="ID465" s="33"/>
      <c r="IE465" s="33"/>
      <c r="IF465" s="33"/>
      <c r="IG465" s="33"/>
      <c r="IH465" s="33"/>
      <c r="II465" s="33"/>
      <c r="IJ465" s="33"/>
      <c r="IK465" s="33"/>
      <c r="IL465" s="33"/>
      <c r="IM465" s="33"/>
      <c r="IN465" s="33"/>
      <c r="IO465" s="33"/>
      <c r="IP465" s="33"/>
      <c r="IQ465" s="33"/>
      <c r="IR465" s="33"/>
      <c r="IS465" s="33"/>
      <c r="IT465" s="33"/>
      <c r="IU465" s="33"/>
      <c r="IV465" s="33"/>
      <c r="IW465" s="33"/>
      <c r="IX465" s="33"/>
      <c r="IY465" s="33"/>
      <c r="IZ465" s="33"/>
      <c r="JA465" s="33"/>
      <c r="JB465" s="33"/>
      <c r="JC465" s="33"/>
      <c r="JD465" s="33"/>
      <c r="JE465" s="33"/>
      <c r="JF465" s="33"/>
      <c r="JG465" s="33"/>
      <c r="JH465" s="33"/>
      <c r="JI465" s="33"/>
      <c r="JJ465" s="33"/>
      <c r="JK465" s="33"/>
      <c r="JL465" s="33"/>
      <c r="JM465" s="33"/>
      <c r="JN465" s="33"/>
      <c r="JO465" s="33"/>
      <c r="JP465" s="33"/>
      <c r="JQ465" s="33"/>
      <c r="JR465" s="33"/>
      <c r="KZ465" s="33"/>
      <c r="LA465" s="33"/>
      <c r="LB465" s="33"/>
      <c r="LC465" s="33"/>
      <c r="LD465" s="33"/>
      <c r="LE465" s="33"/>
      <c r="LF465" s="33"/>
      <c r="LG465" s="33"/>
      <c r="LH465" s="33"/>
      <c r="LI465" s="33"/>
      <c r="LJ465" s="33"/>
      <c r="LK465" s="33"/>
      <c r="LL465" s="33"/>
      <c r="LM465" s="33"/>
      <c r="LN465" s="33"/>
      <c r="LO465" s="33"/>
      <c r="LP465" s="44"/>
      <c r="LQ465" s="44"/>
      <c r="LR465" s="44"/>
      <c r="LS465" s="44"/>
      <c r="LT465" s="44"/>
      <c r="LU465" s="44"/>
      <c r="LV465" s="44"/>
    </row>
    <row r="466" spans="1:334" x14ac:dyDescent="0.2">
      <c r="A466" s="1" t="s">
        <v>9187</v>
      </c>
      <c r="B466" s="1" t="s">
        <v>7232</v>
      </c>
      <c r="D466" s="1" t="s">
        <v>9188</v>
      </c>
      <c r="E466" s="1" t="s">
        <v>8099</v>
      </c>
      <c r="F466" s="1" t="s">
        <v>688</v>
      </c>
      <c r="H466" s="1" t="s">
        <v>9189</v>
      </c>
      <c r="I466" s="1">
        <v>3</v>
      </c>
      <c r="J466" s="1" t="s">
        <v>9190</v>
      </c>
      <c r="K466" s="1">
        <v>2012</v>
      </c>
      <c r="L466" s="1" t="s">
        <v>9191</v>
      </c>
      <c r="M466" s="1" t="s">
        <v>7659</v>
      </c>
      <c r="N466" s="17" t="s">
        <v>7945</v>
      </c>
      <c r="O466" s="33"/>
      <c r="P466" s="33"/>
      <c r="Q466" s="33"/>
      <c r="R466" s="33"/>
      <c r="S466" s="33">
        <v>8.1999999999999993</v>
      </c>
      <c r="T466" s="33"/>
      <c r="U466" s="33"/>
      <c r="V466" s="33"/>
      <c r="W466" s="33"/>
      <c r="X466" s="33"/>
      <c r="Y466" s="33"/>
      <c r="Z466" s="33">
        <v>21.756599999999999</v>
      </c>
      <c r="AA466" s="33"/>
      <c r="AB466" s="33"/>
      <c r="AC466" s="33"/>
      <c r="AD466" s="33">
        <v>4.4063999999999997</v>
      </c>
      <c r="AE466" s="33"/>
      <c r="AF466" s="33"/>
      <c r="AG466" s="33"/>
      <c r="AH466" s="33"/>
      <c r="AI466" s="33"/>
      <c r="AJ466" s="33"/>
      <c r="AK466" s="33"/>
      <c r="AL466" s="33"/>
      <c r="AM466" s="33"/>
      <c r="AN466" s="33"/>
      <c r="AO466" s="33"/>
      <c r="AP466" s="33"/>
      <c r="AQ466" s="33">
        <v>1.7442</v>
      </c>
      <c r="AR466" s="33"/>
      <c r="AS466" s="33"/>
      <c r="AT466" s="33"/>
      <c r="AU466" s="33"/>
      <c r="AV466" s="33"/>
      <c r="AW466" s="33"/>
      <c r="AX466" s="33"/>
      <c r="AY466" s="33"/>
      <c r="AZ466" s="33"/>
      <c r="BA466" s="33">
        <v>3.2038199999999999</v>
      </c>
      <c r="BB466" s="33">
        <v>13.586400000000001</v>
      </c>
      <c r="BC466" s="33"/>
      <c r="BD466" s="33"/>
      <c r="BE466" s="33"/>
      <c r="BF466" s="33"/>
      <c r="BG466" s="33">
        <v>12.576599999999999</v>
      </c>
      <c r="BH466" s="33">
        <v>1.0098</v>
      </c>
      <c r="BI466" s="33"/>
      <c r="BJ466" s="33"/>
      <c r="BK466" s="33"/>
      <c r="BL466" s="33"/>
      <c r="BM466" s="33"/>
      <c r="BN466" s="33"/>
      <c r="BO466" s="33"/>
      <c r="BP466" s="33"/>
      <c r="BQ466" s="33"/>
      <c r="BR466" s="33"/>
      <c r="BS466" s="33"/>
      <c r="BT466" s="33"/>
      <c r="BU466" s="33"/>
      <c r="BV466" s="33"/>
      <c r="BW466" s="33"/>
      <c r="BX466" s="33">
        <v>7.8947999999999992</v>
      </c>
      <c r="BY466" s="33">
        <v>17.533799999999999</v>
      </c>
      <c r="BZ466" s="33">
        <v>6.6096000000000004</v>
      </c>
      <c r="CA466" s="33"/>
      <c r="CB466" s="33"/>
      <c r="CC466" s="33"/>
      <c r="CD466" s="33"/>
      <c r="CE466" s="33"/>
      <c r="CF466" s="33"/>
      <c r="CG466" s="33"/>
      <c r="CH466" s="33"/>
      <c r="CI466" s="33"/>
      <c r="CJ466" s="33"/>
      <c r="CK466" s="33"/>
      <c r="CL466" s="33"/>
      <c r="CM466" s="33"/>
      <c r="CN466" s="33"/>
      <c r="CO466" s="33">
        <v>2.0196000000000001</v>
      </c>
      <c r="CP466" s="33"/>
      <c r="CQ466" s="33"/>
      <c r="CR466" s="33"/>
      <c r="CS466" s="33"/>
      <c r="CT466" s="33"/>
      <c r="CU466" s="33"/>
      <c r="CV466" s="33"/>
      <c r="CW466" s="33"/>
      <c r="CX466" s="33"/>
      <c r="CY466" s="33"/>
      <c r="CZ466" s="33"/>
      <c r="DA466" s="33"/>
      <c r="DB466" s="33"/>
      <c r="DC466" s="33"/>
      <c r="DD466" s="33"/>
      <c r="DE466" s="33"/>
      <c r="DF466" s="33"/>
      <c r="DG466" s="33"/>
      <c r="DH466" s="33"/>
      <c r="DI466" s="33"/>
      <c r="DJ466" s="33"/>
      <c r="DK466" s="33"/>
      <c r="DL466" s="33"/>
      <c r="DM466" s="33"/>
      <c r="DN466" s="33"/>
      <c r="DO466" s="33"/>
      <c r="DP466" s="33"/>
      <c r="DQ466" s="33"/>
      <c r="DR466" s="33"/>
      <c r="DS466" s="33"/>
      <c r="DT466" s="33"/>
      <c r="DU466" s="33"/>
      <c r="DV466" s="33"/>
      <c r="DW466" s="33"/>
      <c r="DX466" s="33"/>
      <c r="DY466" s="33"/>
      <c r="DZ466" s="33"/>
      <c r="EA466" s="33"/>
      <c r="EB466" s="33"/>
      <c r="EC466" s="33"/>
      <c r="ED466" s="33"/>
      <c r="EE466" s="33"/>
      <c r="EF466" s="33"/>
      <c r="EG466" s="33"/>
      <c r="EH466" s="33"/>
      <c r="EI466" s="33"/>
      <c r="EJ466" s="33"/>
      <c r="EK466" s="33"/>
      <c r="EL466" s="33"/>
      <c r="EM466" s="33"/>
      <c r="EN466" s="33"/>
      <c r="EO466" s="33"/>
      <c r="EP466" s="33"/>
      <c r="EQ466" s="33"/>
      <c r="ER466" s="33"/>
      <c r="ES466" s="33"/>
      <c r="ET466" s="33"/>
      <c r="EU466" s="33"/>
      <c r="EV466" s="33"/>
      <c r="EW466" s="33"/>
      <c r="EX466" s="33"/>
      <c r="EY466" s="33"/>
      <c r="EZ466" s="33"/>
      <c r="FA466" s="33"/>
      <c r="FB466" s="33"/>
      <c r="FC466" s="33"/>
      <c r="FD466" s="33"/>
      <c r="FE466" s="33"/>
      <c r="FF466" s="33"/>
      <c r="FG466" s="33"/>
      <c r="FH466" s="33"/>
      <c r="FI466" s="33"/>
      <c r="FJ466" s="33"/>
      <c r="FK466" s="33"/>
      <c r="FL466" s="33"/>
      <c r="FM466" s="33"/>
      <c r="FN466" s="33"/>
      <c r="FO466" s="33"/>
      <c r="FP466" s="33"/>
      <c r="FQ466" s="33"/>
      <c r="FR466" s="33"/>
      <c r="FS466" s="33"/>
      <c r="FT466" s="33"/>
      <c r="FU466" s="33"/>
      <c r="FV466" s="33"/>
      <c r="FW466" s="33"/>
      <c r="FX466" s="33"/>
      <c r="FY466" s="33"/>
      <c r="FZ466" s="33"/>
      <c r="GA466" s="33"/>
      <c r="GB466" s="33"/>
      <c r="GC466" s="33"/>
      <c r="GD466" s="33"/>
      <c r="GE466" s="33"/>
      <c r="GF466" s="33"/>
      <c r="GG466" s="33"/>
      <c r="GH466" s="33"/>
      <c r="GI466" s="33"/>
      <c r="GJ466" s="33"/>
      <c r="GK466" s="33"/>
      <c r="GL466" s="33"/>
      <c r="GM466" s="33"/>
      <c r="GN466" s="33"/>
      <c r="GO466" s="33"/>
      <c r="GP466" s="33"/>
      <c r="GQ466" s="33"/>
      <c r="GR466" s="33"/>
      <c r="GS466" s="33"/>
      <c r="GT466" s="33"/>
      <c r="GU466" s="33"/>
      <c r="GV466" s="33"/>
      <c r="GW466" s="33"/>
      <c r="GX466" s="33"/>
      <c r="GY466" s="33"/>
      <c r="GZ466" s="33"/>
      <c r="HA466" s="33"/>
      <c r="HB466" s="33"/>
      <c r="HC466" s="33"/>
      <c r="HD466" s="33"/>
      <c r="HE466" s="33"/>
      <c r="HF466" s="33"/>
      <c r="HG466" s="33"/>
      <c r="HH466" s="33"/>
      <c r="HI466" s="33"/>
      <c r="HJ466" s="33"/>
      <c r="HK466" s="33"/>
      <c r="HL466" s="33"/>
      <c r="HM466" s="33"/>
      <c r="HN466" s="33"/>
      <c r="HO466" s="33"/>
      <c r="HP466" s="33"/>
      <c r="HQ466" s="33"/>
      <c r="HR466" s="33"/>
      <c r="HS466" s="33"/>
      <c r="HT466" s="33"/>
      <c r="HU466" s="33"/>
      <c r="HV466" s="33"/>
      <c r="HW466" s="33"/>
      <c r="HX466" s="33"/>
      <c r="HY466" s="33"/>
      <c r="HZ466" s="33"/>
      <c r="IA466" s="33"/>
      <c r="IB466" s="33"/>
      <c r="IC466" s="33"/>
      <c r="ID466" s="33"/>
      <c r="IE466" s="33"/>
      <c r="IF466" s="33"/>
      <c r="IG466" s="33"/>
      <c r="IH466" s="33"/>
      <c r="II466" s="33"/>
      <c r="IJ466" s="33"/>
      <c r="IK466" s="33"/>
      <c r="IL466" s="33"/>
      <c r="IM466" s="33"/>
      <c r="IN466" s="33"/>
      <c r="IO466" s="33"/>
      <c r="IP466" s="33"/>
      <c r="IQ466" s="33"/>
      <c r="IR466" s="33"/>
      <c r="IS466" s="33"/>
      <c r="IT466" s="33"/>
      <c r="IU466" s="33"/>
      <c r="IV466" s="33"/>
      <c r="IW466" s="33"/>
      <c r="IX466" s="33"/>
      <c r="IY466" s="33"/>
      <c r="IZ466" s="33"/>
      <c r="JA466" s="33"/>
      <c r="JB466" s="33"/>
      <c r="JC466" s="33"/>
      <c r="JD466" s="33"/>
      <c r="JE466" s="33"/>
      <c r="JF466" s="33"/>
      <c r="JG466" s="33"/>
      <c r="JH466" s="33"/>
      <c r="JI466" s="33"/>
      <c r="JJ466" s="33"/>
      <c r="JK466" s="33"/>
      <c r="JL466" s="33"/>
      <c r="JM466" s="33"/>
      <c r="JN466" s="33"/>
      <c r="JO466" s="33"/>
      <c r="JP466" s="33"/>
      <c r="JQ466" s="33"/>
      <c r="JR466" s="33"/>
      <c r="KZ466" s="33"/>
      <c r="LA466" s="33"/>
      <c r="LB466" s="33"/>
      <c r="LC466" s="33"/>
      <c r="LD466" s="33"/>
      <c r="LE466" s="33"/>
      <c r="LF466" s="33"/>
      <c r="LG466" s="33"/>
      <c r="LH466" s="33"/>
      <c r="LI466" s="33"/>
      <c r="LJ466" s="33"/>
      <c r="LK466" s="33"/>
      <c r="LL466" s="33"/>
      <c r="LM466" s="33"/>
      <c r="LN466" s="33"/>
      <c r="LO466" s="33"/>
      <c r="LP466" s="44"/>
      <c r="LQ466" s="44"/>
      <c r="LR466" s="44"/>
      <c r="LS466" s="44"/>
      <c r="LT466" s="44"/>
      <c r="LU466" s="44"/>
      <c r="LV466" s="44"/>
    </row>
    <row r="467" spans="1:334" x14ac:dyDescent="0.2">
      <c r="A467" s="1" t="s">
        <v>9192</v>
      </c>
      <c r="B467" s="1" t="s">
        <v>7232</v>
      </c>
      <c r="D467" s="1" t="s">
        <v>9193</v>
      </c>
      <c r="E467" s="1" t="s">
        <v>8099</v>
      </c>
      <c r="F467" s="1" t="s">
        <v>6268</v>
      </c>
      <c r="H467" s="1" t="s">
        <v>9189</v>
      </c>
      <c r="I467" s="1">
        <v>3</v>
      </c>
      <c r="J467" s="1" t="s">
        <v>9190</v>
      </c>
      <c r="K467" s="1">
        <v>2012</v>
      </c>
      <c r="L467" s="1" t="s">
        <v>9191</v>
      </c>
      <c r="M467" s="1" t="s">
        <v>7659</v>
      </c>
      <c r="N467" s="17" t="s">
        <v>7945</v>
      </c>
      <c r="O467" s="33"/>
      <c r="P467" s="33"/>
      <c r="Q467" s="33"/>
      <c r="R467" s="33"/>
      <c r="S467" s="33">
        <v>7.4</v>
      </c>
      <c r="T467" s="33"/>
      <c r="U467" s="33"/>
      <c r="V467" s="33"/>
      <c r="W467" s="33"/>
      <c r="X467" s="33"/>
      <c r="Y467" s="33"/>
      <c r="Z467" s="33">
        <v>22.316599999999998</v>
      </c>
      <c r="AA467" s="33"/>
      <c r="AB467" s="33"/>
      <c r="AC467" s="33"/>
      <c r="AD467" s="33">
        <v>2.1297999999999995</v>
      </c>
      <c r="AE467" s="33"/>
      <c r="AF467" s="33"/>
      <c r="AG467" s="33"/>
      <c r="AH467" s="33"/>
      <c r="AI467" s="33"/>
      <c r="AJ467" s="33"/>
      <c r="AK467" s="33"/>
      <c r="AL467" s="33"/>
      <c r="AM467" s="33"/>
      <c r="AN467" s="33"/>
      <c r="AO467" s="33"/>
      <c r="AP467" s="33"/>
      <c r="AQ467" s="33">
        <v>2.3149999999999999</v>
      </c>
      <c r="AR467" s="33"/>
      <c r="AS467" s="33"/>
      <c r="AT467" s="33"/>
      <c r="AU467" s="33"/>
      <c r="AV467" s="33"/>
      <c r="AW467" s="33"/>
      <c r="AX467" s="33"/>
      <c r="AY467" s="33"/>
      <c r="AZ467" s="33"/>
      <c r="BA467" s="33">
        <v>2.9354199999999997</v>
      </c>
      <c r="BB467" s="33">
        <v>13.056599999999998</v>
      </c>
      <c r="BC467" s="33"/>
      <c r="BD467" s="33"/>
      <c r="BE467" s="33"/>
      <c r="BF467" s="33"/>
      <c r="BG467" s="33">
        <v>12.130599999999999</v>
      </c>
      <c r="BH467" s="33">
        <v>0.92599999999999993</v>
      </c>
      <c r="BI467" s="33"/>
      <c r="BJ467" s="33"/>
      <c r="BK467" s="33"/>
      <c r="BL467" s="33"/>
      <c r="BM467" s="33"/>
      <c r="BN467" s="33"/>
      <c r="BO467" s="33"/>
      <c r="BP467" s="33"/>
      <c r="BQ467" s="33"/>
      <c r="BR467" s="33"/>
      <c r="BS467" s="33"/>
      <c r="BT467" s="33"/>
      <c r="BU467" s="33"/>
      <c r="BV467" s="33"/>
      <c r="BW467" s="33"/>
      <c r="BX467" s="33">
        <v>9.5377999999999989</v>
      </c>
      <c r="BY467" s="33">
        <v>16.482800000000001</v>
      </c>
      <c r="BZ467" s="33">
        <v>3.3336000000000001</v>
      </c>
      <c r="CA467" s="33"/>
      <c r="CB467" s="33"/>
      <c r="CC467" s="33"/>
      <c r="CD467" s="33"/>
      <c r="CE467" s="33"/>
      <c r="CF467" s="33"/>
      <c r="CG467" s="33"/>
      <c r="CH467" s="33"/>
      <c r="CI467" s="33"/>
      <c r="CJ467" s="33"/>
      <c r="CK467" s="33"/>
      <c r="CL467" s="33"/>
      <c r="CM467" s="33"/>
      <c r="CN467" s="33"/>
      <c r="CO467" s="33">
        <v>2.6853999999999996</v>
      </c>
      <c r="CP467" s="33"/>
      <c r="CQ467" s="33"/>
      <c r="CR467" s="33"/>
      <c r="CS467" s="33"/>
      <c r="CT467" s="33"/>
      <c r="CU467" s="33"/>
      <c r="CV467" s="33"/>
      <c r="CW467" s="33"/>
      <c r="CX467" s="33"/>
      <c r="CY467" s="33"/>
      <c r="CZ467" s="33"/>
      <c r="DA467" s="33"/>
      <c r="DB467" s="33"/>
      <c r="DC467" s="33"/>
      <c r="DD467" s="33"/>
      <c r="DE467" s="33"/>
      <c r="DF467" s="33"/>
      <c r="DG467" s="33"/>
      <c r="DH467" s="33"/>
      <c r="DI467" s="33"/>
      <c r="DJ467" s="33"/>
      <c r="DK467" s="33"/>
      <c r="DL467" s="33"/>
      <c r="DM467" s="33"/>
      <c r="DN467" s="33"/>
      <c r="DO467" s="33"/>
      <c r="DP467" s="33"/>
      <c r="DQ467" s="33"/>
      <c r="DR467" s="33"/>
      <c r="DS467" s="33"/>
      <c r="DT467" s="33"/>
      <c r="DU467" s="33"/>
      <c r="DV467" s="33"/>
      <c r="DW467" s="33"/>
      <c r="DX467" s="33"/>
      <c r="DY467" s="33"/>
      <c r="DZ467" s="33"/>
      <c r="EA467" s="33"/>
      <c r="EB467" s="33"/>
      <c r="EC467" s="33"/>
      <c r="ED467" s="33"/>
      <c r="EE467" s="33"/>
      <c r="EF467" s="33"/>
      <c r="EG467" s="33"/>
      <c r="EH467" s="33"/>
      <c r="EI467" s="33"/>
      <c r="EJ467" s="33"/>
      <c r="EK467" s="33"/>
      <c r="EL467" s="33"/>
      <c r="EM467" s="33"/>
      <c r="EN467" s="33"/>
      <c r="EO467" s="33"/>
      <c r="EP467" s="33"/>
      <c r="EQ467" s="33"/>
      <c r="ER467" s="33"/>
      <c r="ES467" s="33"/>
      <c r="ET467" s="33"/>
      <c r="EU467" s="33"/>
      <c r="EV467" s="33"/>
      <c r="EW467" s="33"/>
      <c r="EX467" s="33"/>
      <c r="EY467" s="33"/>
      <c r="EZ467" s="33"/>
      <c r="FA467" s="33"/>
      <c r="FB467" s="33"/>
      <c r="FC467" s="33"/>
      <c r="FD467" s="33"/>
      <c r="FE467" s="33"/>
      <c r="FF467" s="33"/>
      <c r="FG467" s="33"/>
      <c r="FH467" s="33"/>
      <c r="FI467" s="33"/>
      <c r="FJ467" s="33"/>
      <c r="FK467" s="33"/>
      <c r="FL467" s="33"/>
      <c r="FM467" s="33"/>
      <c r="FN467" s="33"/>
      <c r="FO467" s="33"/>
      <c r="FP467" s="33"/>
      <c r="FQ467" s="33"/>
      <c r="FR467" s="33"/>
      <c r="FS467" s="33"/>
      <c r="FT467" s="33"/>
      <c r="FU467" s="33"/>
      <c r="FV467" s="33"/>
      <c r="FW467" s="33"/>
      <c r="FX467" s="33"/>
      <c r="FY467" s="33"/>
      <c r="FZ467" s="33"/>
      <c r="GA467" s="33"/>
      <c r="GB467" s="33"/>
      <c r="GC467" s="33"/>
      <c r="GD467" s="33"/>
      <c r="GE467" s="33"/>
      <c r="GF467" s="33"/>
      <c r="GG467" s="33"/>
      <c r="GH467" s="33"/>
      <c r="GI467" s="33"/>
      <c r="GJ467" s="33"/>
      <c r="GK467" s="33"/>
      <c r="GL467" s="33"/>
      <c r="GM467" s="33"/>
      <c r="GN467" s="33"/>
      <c r="GO467" s="33"/>
      <c r="GP467" s="33"/>
      <c r="GQ467" s="33"/>
      <c r="GR467" s="33"/>
      <c r="GS467" s="33"/>
      <c r="GT467" s="33"/>
      <c r="GU467" s="33"/>
      <c r="GV467" s="33"/>
      <c r="GW467" s="33"/>
      <c r="GX467" s="33"/>
      <c r="GY467" s="33"/>
      <c r="GZ467" s="33"/>
      <c r="HA467" s="33"/>
      <c r="HB467" s="33"/>
      <c r="HC467" s="33"/>
      <c r="HD467" s="33"/>
      <c r="HE467" s="33"/>
      <c r="HF467" s="33"/>
      <c r="HG467" s="33"/>
      <c r="HH467" s="33"/>
      <c r="HI467" s="33"/>
      <c r="HJ467" s="33"/>
      <c r="HK467" s="33"/>
      <c r="HL467" s="33"/>
      <c r="HM467" s="33"/>
      <c r="HN467" s="33"/>
      <c r="HO467" s="33"/>
      <c r="HP467" s="33"/>
      <c r="HQ467" s="33"/>
      <c r="HR467" s="33"/>
      <c r="HS467" s="33"/>
      <c r="HT467" s="33"/>
      <c r="HU467" s="33"/>
      <c r="HV467" s="33"/>
      <c r="HW467" s="33"/>
      <c r="HX467" s="33"/>
      <c r="HY467" s="33"/>
      <c r="HZ467" s="33"/>
      <c r="IA467" s="33"/>
      <c r="IB467" s="33"/>
      <c r="IC467" s="33"/>
      <c r="ID467" s="33"/>
      <c r="IE467" s="33"/>
      <c r="IF467" s="33"/>
      <c r="IG467" s="33"/>
      <c r="IH467" s="33"/>
      <c r="II467" s="33"/>
      <c r="IJ467" s="33"/>
      <c r="IK467" s="33"/>
      <c r="IL467" s="33"/>
      <c r="IM467" s="33"/>
      <c r="IN467" s="33"/>
      <c r="IO467" s="33"/>
      <c r="IP467" s="33"/>
      <c r="IQ467" s="33"/>
      <c r="IR467" s="33"/>
      <c r="IS467" s="33"/>
      <c r="IT467" s="33"/>
      <c r="IU467" s="33"/>
      <c r="IV467" s="33"/>
      <c r="IW467" s="33"/>
      <c r="IX467" s="33"/>
      <c r="IY467" s="33"/>
      <c r="IZ467" s="33"/>
      <c r="JA467" s="33"/>
      <c r="JB467" s="33"/>
      <c r="JC467" s="33"/>
      <c r="JD467" s="33"/>
      <c r="JE467" s="33"/>
      <c r="JF467" s="33"/>
      <c r="JG467" s="33"/>
      <c r="JH467" s="33"/>
      <c r="JI467" s="33"/>
      <c r="JJ467" s="33"/>
      <c r="JK467" s="33"/>
      <c r="JL467" s="33"/>
      <c r="JM467" s="33"/>
      <c r="JN467" s="33"/>
      <c r="JO467" s="33"/>
      <c r="JP467" s="33"/>
      <c r="JQ467" s="33"/>
      <c r="JR467" s="33"/>
      <c r="KZ467" s="33"/>
      <c r="LA467" s="33"/>
      <c r="LB467" s="33"/>
      <c r="LC467" s="33"/>
      <c r="LD467" s="33"/>
      <c r="LE467" s="33"/>
      <c r="LF467" s="33"/>
      <c r="LG467" s="33"/>
      <c r="LH467" s="33"/>
      <c r="LI467" s="33"/>
      <c r="LJ467" s="33"/>
      <c r="LK467" s="33"/>
      <c r="LL467" s="33"/>
      <c r="LM467" s="33"/>
      <c r="LN467" s="33"/>
      <c r="LO467" s="33"/>
      <c r="LP467" s="44"/>
      <c r="LQ467" s="44"/>
      <c r="LR467" s="44"/>
      <c r="LS467" s="44"/>
      <c r="LT467" s="44"/>
      <c r="LU467" s="44"/>
      <c r="LV467" s="44"/>
    </row>
    <row r="468" spans="1:334" x14ac:dyDescent="0.2">
      <c r="A468" s="1" t="s">
        <v>9194</v>
      </c>
      <c r="B468" s="1" t="s">
        <v>9195</v>
      </c>
      <c r="C468" s="1" t="s">
        <v>9196</v>
      </c>
      <c r="D468" s="1" t="s">
        <v>9197</v>
      </c>
      <c r="E468" s="1" t="s">
        <v>7966</v>
      </c>
      <c r="F468" s="1" t="s">
        <v>9198</v>
      </c>
      <c r="J468" s="1" t="s">
        <v>9199</v>
      </c>
      <c r="K468" s="1">
        <v>2007</v>
      </c>
      <c r="L468" s="1" t="s">
        <v>9200</v>
      </c>
      <c r="M468" s="1" t="s">
        <v>7659</v>
      </c>
      <c r="N468" s="17" t="s">
        <v>7945</v>
      </c>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33"/>
      <c r="BC468" s="33"/>
      <c r="BD468" s="33"/>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c r="CA468" s="33"/>
      <c r="CB468" s="33"/>
      <c r="CC468" s="33"/>
      <c r="CD468" s="33"/>
      <c r="CE468" s="33"/>
      <c r="CF468" s="33"/>
      <c r="CG468" s="33"/>
      <c r="CH468" s="33"/>
      <c r="CI468" s="33"/>
      <c r="CJ468" s="33"/>
      <c r="CK468" s="33"/>
      <c r="CL468" s="33"/>
      <c r="CM468" s="33"/>
      <c r="CN468" s="33"/>
      <c r="CO468" s="33"/>
      <c r="CP468" s="33">
        <v>101</v>
      </c>
      <c r="CQ468" s="33"/>
      <c r="CR468" s="33"/>
      <c r="CS468" s="33">
        <v>5</v>
      </c>
      <c r="CT468" s="33"/>
      <c r="CU468" s="33"/>
      <c r="CV468" s="33"/>
      <c r="CW468" s="33"/>
      <c r="CX468" s="33"/>
      <c r="CY468" s="33"/>
      <c r="CZ468" s="33"/>
      <c r="DA468" s="33">
        <v>1.83</v>
      </c>
      <c r="DB468" s="33"/>
      <c r="DC468" s="33"/>
      <c r="DD468" s="33"/>
      <c r="DE468" s="33"/>
      <c r="DF468" s="33"/>
      <c r="DG468" s="33"/>
      <c r="DH468" s="33"/>
      <c r="DI468" s="33"/>
      <c r="DJ468" s="33"/>
      <c r="DK468" s="33"/>
      <c r="DL468" s="33"/>
      <c r="DM468" s="33"/>
      <c r="DN468" s="33"/>
      <c r="DO468" s="33"/>
      <c r="DP468" s="33"/>
      <c r="DQ468" s="33"/>
      <c r="DR468" s="33"/>
      <c r="DS468" s="33"/>
      <c r="DT468" s="33"/>
      <c r="DU468" s="33"/>
      <c r="DV468" s="33"/>
      <c r="DW468" s="33"/>
      <c r="DX468" s="33"/>
      <c r="DY468" s="33"/>
      <c r="DZ468" s="33"/>
      <c r="EA468" s="33"/>
      <c r="EB468" s="33"/>
      <c r="EC468" s="33"/>
      <c r="ED468" s="33"/>
      <c r="EE468" s="33"/>
      <c r="EF468" s="33"/>
      <c r="EG468" s="33"/>
      <c r="EH468" s="33"/>
      <c r="EI468" s="33"/>
      <c r="EJ468" s="33"/>
      <c r="EK468" s="33"/>
      <c r="EL468" s="33"/>
      <c r="EM468" s="33"/>
      <c r="EN468" s="33"/>
      <c r="EO468" s="33"/>
      <c r="EP468" s="33"/>
      <c r="EQ468" s="33"/>
      <c r="ER468" s="33"/>
      <c r="ES468" s="33"/>
      <c r="ET468" s="33"/>
      <c r="EU468" s="33"/>
      <c r="EV468" s="33"/>
      <c r="EW468" s="33"/>
      <c r="EX468" s="33"/>
      <c r="EY468" s="33"/>
      <c r="EZ468" s="33"/>
      <c r="FA468" s="33"/>
      <c r="FB468" s="33"/>
      <c r="FC468" s="33"/>
      <c r="FD468" s="33"/>
      <c r="FE468" s="33"/>
      <c r="FF468" s="33"/>
      <c r="FG468" s="33"/>
      <c r="FH468" s="33"/>
      <c r="FI468" s="33"/>
      <c r="FJ468" s="33"/>
      <c r="FK468" s="33"/>
      <c r="FL468" s="33"/>
      <c r="FM468" s="33"/>
      <c r="FN468" s="33"/>
      <c r="FO468" s="33"/>
      <c r="FP468" s="33"/>
      <c r="FQ468" s="33"/>
      <c r="FR468" s="33"/>
      <c r="FS468" s="33"/>
      <c r="FT468" s="33"/>
      <c r="FU468" s="33"/>
      <c r="FV468" s="33"/>
      <c r="FW468" s="33"/>
      <c r="FX468" s="33"/>
      <c r="FY468" s="33"/>
      <c r="FZ468" s="33"/>
      <c r="GA468" s="33"/>
      <c r="GB468" s="33"/>
      <c r="GC468" s="33"/>
      <c r="GD468" s="33"/>
      <c r="GE468" s="33"/>
      <c r="GF468" s="33"/>
      <c r="GG468" s="33"/>
      <c r="GH468" s="33"/>
      <c r="GI468" s="33"/>
      <c r="GJ468" s="33"/>
      <c r="GK468" s="33"/>
      <c r="GL468" s="33"/>
      <c r="GM468" s="33"/>
      <c r="GN468" s="33"/>
      <c r="GO468" s="33"/>
      <c r="GP468" s="33"/>
      <c r="GQ468" s="33"/>
      <c r="GR468" s="33"/>
      <c r="GS468" s="33"/>
      <c r="GT468" s="33"/>
      <c r="GU468" s="33"/>
      <c r="GV468" s="33"/>
      <c r="GW468" s="33"/>
      <c r="GX468" s="33"/>
      <c r="GY468" s="33"/>
      <c r="GZ468" s="33"/>
      <c r="HA468" s="33"/>
      <c r="HB468" s="33"/>
      <c r="HC468" s="33"/>
      <c r="HD468" s="33"/>
      <c r="HE468" s="33"/>
      <c r="HF468" s="33"/>
      <c r="HG468" s="33"/>
      <c r="HH468" s="33"/>
      <c r="HI468" s="33"/>
      <c r="HJ468" s="33"/>
      <c r="HK468" s="33"/>
      <c r="HL468" s="33"/>
      <c r="HM468" s="33"/>
      <c r="HN468" s="33"/>
      <c r="HO468" s="33"/>
      <c r="HP468" s="33"/>
      <c r="HQ468" s="33"/>
      <c r="HR468" s="33"/>
      <c r="HS468" s="33"/>
      <c r="HT468" s="33"/>
      <c r="HU468" s="33"/>
      <c r="HV468" s="33"/>
      <c r="HW468" s="33"/>
      <c r="HX468" s="33"/>
      <c r="HY468" s="33"/>
      <c r="HZ468" s="33"/>
      <c r="IA468" s="33"/>
      <c r="IB468" s="33"/>
      <c r="IC468" s="33"/>
      <c r="ID468" s="33"/>
      <c r="IE468" s="33"/>
      <c r="IF468" s="33"/>
      <c r="IG468" s="33"/>
      <c r="IH468" s="33"/>
      <c r="II468" s="33"/>
      <c r="IJ468" s="33"/>
      <c r="IK468" s="33"/>
      <c r="IL468" s="33"/>
      <c r="IM468" s="33"/>
      <c r="IN468" s="33"/>
      <c r="IO468" s="33"/>
      <c r="IP468" s="33"/>
      <c r="IQ468" s="33"/>
      <c r="IR468" s="33"/>
      <c r="IS468" s="33"/>
      <c r="IT468" s="33"/>
      <c r="IU468" s="33"/>
      <c r="IV468" s="33"/>
      <c r="IW468" s="33"/>
      <c r="IX468" s="33"/>
      <c r="IY468" s="33"/>
      <c r="IZ468" s="33"/>
      <c r="JA468" s="33"/>
      <c r="JB468" s="33"/>
      <c r="JC468" s="33"/>
      <c r="JD468" s="33"/>
      <c r="JE468" s="33"/>
      <c r="JF468" s="33"/>
      <c r="JG468" s="33"/>
      <c r="JH468" s="33"/>
      <c r="JI468" s="33"/>
      <c r="JJ468" s="33"/>
      <c r="JK468" s="33"/>
      <c r="JL468" s="33"/>
      <c r="JM468" s="33"/>
      <c r="JN468" s="33"/>
      <c r="JO468" s="33"/>
      <c r="JP468" s="33"/>
      <c r="JQ468" s="33"/>
      <c r="JR468" s="33"/>
      <c r="KZ468" s="33"/>
      <c r="LA468" s="33"/>
      <c r="LB468" s="33"/>
      <c r="LC468" s="33"/>
      <c r="LD468" s="33"/>
      <c r="LE468" s="33"/>
      <c r="LF468" s="33"/>
      <c r="LG468" s="33"/>
      <c r="LH468" s="33"/>
      <c r="LI468" s="33"/>
      <c r="LJ468" s="33"/>
      <c r="LK468" s="33"/>
      <c r="LL468" s="33">
        <v>478</v>
      </c>
      <c r="LM468" s="33"/>
      <c r="LN468" s="33"/>
      <c r="LO468" s="33"/>
      <c r="LP468" s="44"/>
      <c r="LQ468" s="44"/>
      <c r="LR468" s="44"/>
      <c r="LS468" s="44"/>
      <c r="LT468" s="44"/>
      <c r="LU468" s="44"/>
      <c r="LV468" s="44"/>
    </row>
    <row r="469" spans="1:334" x14ac:dyDescent="0.2">
      <c r="A469" s="1" t="s">
        <v>9201</v>
      </c>
      <c r="B469" s="1" t="s">
        <v>9195</v>
      </c>
      <c r="C469" s="1" t="s">
        <v>9202</v>
      </c>
      <c r="D469" s="1" t="s">
        <v>9203</v>
      </c>
      <c r="E469" s="1" t="s">
        <v>7966</v>
      </c>
      <c r="F469" s="1" t="s">
        <v>688</v>
      </c>
      <c r="J469" s="1" t="s">
        <v>9199</v>
      </c>
      <c r="K469" s="1">
        <v>2007</v>
      </c>
      <c r="L469" s="1" t="s">
        <v>9200</v>
      </c>
      <c r="M469" s="1" t="s">
        <v>7659</v>
      </c>
      <c r="N469" s="17" t="s">
        <v>7945</v>
      </c>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33"/>
      <c r="BC469" s="33"/>
      <c r="BD469" s="33"/>
      <c r="BE469" s="33"/>
      <c r="BF469" s="33"/>
      <c r="BG469" s="33"/>
      <c r="BH469" s="33"/>
      <c r="BI469" s="33"/>
      <c r="BJ469" s="33"/>
      <c r="BK469" s="33"/>
      <c r="BL469" s="33"/>
      <c r="BM469" s="33"/>
      <c r="BN469" s="33"/>
      <c r="BO469" s="33"/>
      <c r="BP469" s="33"/>
      <c r="BQ469" s="33"/>
      <c r="BR469" s="33"/>
      <c r="BS469" s="33"/>
      <c r="BT469" s="33"/>
      <c r="BU469" s="33"/>
      <c r="BV469" s="33"/>
      <c r="BW469" s="33"/>
      <c r="BX469" s="33"/>
      <c r="BY469" s="33"/>
      <c r="BZ469" s="33"/>
      <c r="CA469" s="33"/>
      <c r="CB469" s="33"/>
      <c r="CC469" s="33"/>
      <c r="CD469" s="33"/>
      <c r="CE469" s="33"/>
      <c r="CF469" s="33"/>
      <c r="CG469" s="33"/>
      <c r="CH469" s="33"/>
      <c r="CI469" s="33"/>
      <c r="CJ469" s="33"/>
      <c r="CK469" s="33"/>
      <c r="CL469" s="33"/>
      <c r="CM469" s="33"/>
      <c r="CN469" s="33"/>
      <c r="CO469" s="33"/>
      <c r="CP469" s="33">
        <v>213</v>
      </c>
      <c r="CQ469" s="33"/>
      <c r="CR469" s="33"/>
      <c r="CS469" s="33">
        <v>13.4</v>
      </c>
      <c r="CT469" s="33"/>
      <c r="CU469" s="33"/>
      <c r="CV469" s="33"/>
      <c r="CW469" s="33"/>
      <c r="CX469" s="33"/>
      <c r="CY469" s="33"/>
      <c r="CZ469" s="33"/>
      <c r="DA469" s="33">
        <v>3.35</v>
      </c>
      <c r="DB469" s="33"/>
      <c r="DC469" s="33"/>
      <c r="DD469" s="33"/>
      <c r="DE469" s="33"/>
      <c r="DF469" s="33"/>
      <c r="DG469" s="33"/>
      <c r="DH469" s="33"/>
      <c r="DI469" s="33"/>
      <c r="DJ469" s="33"/>
      <c r="DK469" s="33"/>
      <c r="DL469" s="33"/>
      <c r="DM469" s="33"/>
      <c r="DN469" s="33"/>
      <c r="DO469" s="33"/>
      <c r="DP469" s="33"/>
      <c r="DQ469" s="33"/>
      <c r="DR469" s="33"/>
      <c r="DS469" s="33"/>
      <c r="DT469" s="33"/>
      <c r="DU469" s="33"/>
      <c r="DV469" s="33"/>
      <c r="DW469" s="33"/>
      <c r="DX469" s="33"/>
      <c r="DY469" s="33"/>
      <c r="DZ469" s="33"/>
      <c r="EA469" s="33"/>
      <c r="EB469" s="33"/>
      <c r="EC469" s="33"/>
      <c r="ED469" s="33"/>
      <c r="EE469" s="33"/>
      <c r="EF469" s="33"/>
      <c r="EG469" s="33"/>
      <c r="EH469" s="33"/>
      <c r="EI469" s="33"/>
      <c r="EJ469" s="33"/>
      <c r="EK469" s="33"/>
      <c r="EL469" s="33"/>
      <c r="EM469" s="33"/>
      <c r="EN469" s="33"/>
      <c r="EO469" s="33"/>
      <c r="EP469" s="33"/>
      <c r="EQ469" s="33"/>
      <c r="ER469" s="33"/>
      <c r="ES469" s="33"/>
      <c r="ET469" s="33"/>
      <c r="EU469" s="33"/>
      <c r="EV469" s="33"/>
      <c r="EW469" s="33"/>
      <c r="EX469" s="33"/>
      <c r="EY469" s="33"/>
      <c r="EZ469" s="33"/>
      <c r="FA469" s="33"/>
      <c r="FB469" s="33"/>
      <c r="FC469" s="33"/>
      <c r="FD469" s="33"/>
      <c r="FE469" s="33"/>
      <c r="FF469" s="33"/>
      <c r="FG469" s="33"/>
      <c r="FH469" s="33"/>
      <c r="FI469" s="33"/>
      <c r="FJ469" s="33"/>
      <c r="FK469" s="33"/>
      <c r="FL469" s="33"/>
      <c r="FM469" s="33"/>
      <c r="FN469" s="33"/>
      <c r="FO469" s="33"/>
      <c r="FP469" s="33"/>
      <c r="FQ469" s="33"/>
      <c r="FR469" s="33"/>
      <c r="FS469" s="33"/>
      <c r="FT469" s="33"/>
      <c r="FU469" s="33"/>
      <c r="FV469" s="33"/>
      <c r="FW469" s="33"/>
      <c r="FX469" s="33"/>
      <c r="FY469" s="33"/>
      <c r="FZ469" s="33"/>
      <c r="GA469" s="33"/>
      <c r="GB469" s="33"/>
      <c r="GC469" s="33"/>
      <c r="GD469" s="33"/>
      <c r="GE469" s="33"/>
      <c r="GF469" s="33"/>
      <c r="GG469" s="33"/>
      <c r="GH469" s="33"/>
      <c r="GI469" s="33"/>
      <c r="GJ469" s="33"/>
      <c r="GK469" s="33"/>
      <c r="GL469" s="33"/>
      <c r="GM469" s="33"/>
      <c r="GN469" s="33"/>
      <c r="GO469" s="33"/>
      <c r="GP469" s="33"/>
      <c r="GQ469" s="33"/>
      <c r="GR469" s="33"/>
      <c r="GS469" s="33"/>
      <c r="GT469" s="33"/>
      <c r="GU469" s="33"/>
      <c r="GV469" s="33"/>
      <c r="GW469" s="33"/>
      <c r="GX469" s="33"/>
      <c r="GY469" s="33"/>
      <c r="GZ469" s="33"/>
      <c r="HA469" s="33"/>
      <c r="HB469" s="33"/>
      <c r="HC469" s="33"/>
      <c r="HD469" s="33"/>
      <c r="HE469" s="33"/>
      <c r="HF469" s="33"/>
      <c r="HG469" s="33"/>
      <c r="HH469" s="33"/>
      <c r="HI469" s="33"/>
      <c r="HJ469" s="33"/>
      <c r="HK469" s="33"/>
      <c r="HL469" s="33"/>
      <c r="HM469" s="33"/>
      <c r="HN469" s="33"/>
      <c r="HO469" s="33"/>
      <c r="HP469" s="33"/>
      <c r="HQ469" s="33"/>
      <c r="HR469" s="33"/>
      <c r="HS469" s="33"/>
      <c r="HT469" s="33"/>
      <c r="HU469" s="33"/>
      <c r="HV469" s="33"/>
      <c r="HW469" s="33"/>
      <c r="HX469" s="33"/>
      <c r="HY469" s="33"/>
      <c r="HZ469" s="33"/>
      <c r="IA469" s="33"/>
      <c r="IB469" s="33"/>
      <c r="IC469" s="33"/>
      <c r="ID469" s="33"/>
      <c r="IE469" s="33"/>
      <c r="IF469" s="33"/>
      <c r="IG469" s="33"/>
      <c r="IH469" s="33"/>
      <c r="II469" s="33"/>
      <c r="IJ469" s="33"/>
      <c r="IK469" s="33"/>
      <c r="IL469" s="33"/>
      <c r="IM469" s="33"/>
      <c r="IN469" s="33"/>
      <c r="IO469" s="33"/>
      <c r="IP469" s="33"/>
      <c r="IQ469" s="33"/>
      <c r="IR469" s="33"/>
      <c r="IS469" s="33"/>
      <c r="IT469" s="33"/>
      <c r="IU469" s="33"/>
      <c r="IV469" s="33"/>
      <c r="IW469" s="33"/>
      <c r="IX469" s="33"/>
      <c r="IY469" s="33"/>
      <c r="IZ469" s="33"/>
      <c r="JA469" s="33"/>
      <c r="JB469" s="33"/>
      <c r="JC469" s="33"/>
      <c r="JD469" s="33"/>
      <c r="JE469" s="33"/>
      <c r="JF469" s="33"/>
      <c r="JG469" s="33"/>
      <c r="JH469" s="33"/>
      <c r="JI469" s="33"/>
      <c r="JJ469" s="33"/>
      <c r="JK469" s="33"/>
      <c r="JL469" s="33"/>
      <c r="JM469" s="33"/>
      <c r="JN469" s="33"/>
      <c r="JO469" s="33"/>
      <c r="JP469" s="33"/>
      <c r="JQ469" s="33"/>
      <c r="JR469" s="33"/>
      <c r="KZ469" s="33"/>
      <c r="LA469" s="33"/>
      <c r="LB469" s="33"/>
      <c r="LC469" s="33"/>
      <c r="LD469" s="33"/>
      <c r="LE469" s="33"/>
      <c r="LF469" s="33"/>
      <c r="LG469" s="33"/>
      <c r="LH469" s="33"/>
      <c r="LI469" s="33"/>
      <c r="LJ469" s="33"/>
      <c r="LK469" s="33"/>
      <c r="LL469" s="33">
        <v>305</v>
      </c>
      <c r="LM469" s="33"/>
      <c r="LN469" s="33"/>
      <c r="LO469" s="33"/>
      <c r="LP469" s="44"/>
      <c r="LQ469" s="44"/>
      <c r="LR469" s="44"/>
      <c r="LS469" s="44"/>
      <c r="LT469" s="44"/>
      <c r="LU469" s="44"/>
      <c r="LV469" s="44"/>
    </row>
    <row r="470" spans="1:334" x14ac:dyDescent="0.2">
      <c r="A470" s="1" t="s">
        <v>9204</v>
      </c>
      <c r="B470" s="1" t="s">
        <v>9195</v>
      </c>
      <c r="C470" s="1" t="s">
        <v>9205</v>
      </c>
      <c r="D470" s="1" t="s">
        <v>9206</v>
      </c>
      <c r="E470" s="1" t="s">
        <v>7966</v>
      </c>
      <c r="F470" s="1" t="s">
        <v>9207</v>
      </c>
      <c r="J470" s="1" t="s">
        <v>9199</v>
      </c>
      <c r="K470" s="1">
        <v>2007</v>
      </c>
      <c r="L470" s="1" t="s">
        <v>9200</v>
      </c>
      <c r="M470" s="1" t="s">
        <v>7659</v>
      </c>
      <c r="N470" s="17" t="s">
        <v>7945</v>
      </c>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33"/>
      <c r="BC470" s="33"/>
      <c r="BD470" s="33"/>
      <c r="BE470" s="33"/>
      <c r="BF470" s="33"/>
      <c r="BG470" s="33"/>
      <c r="BH470" s="33"/>
      <c r="BI470" s="33"/>
      <c r="BJ470" s="33"/>
      <c r="BK470" s="33"/>
      <c r="BL470" s="33"/>
      <c r="BM470" s="33"/>
      <c r="BN470" s="33"/>
      <c r="BO470" s="33"/>
      <c r="BP470" s="33"/>
      <c r="BQ470" s="33"/>
      <c r="BR470" s="33"/>
      <c r="BS470" s="33"/>
      <c r="BT470" s="33"/>
      <c r="BU470" s="33"/>
      <c r="BV470" s="33"/>
      <c r="BW470" s="33"/>
      <c r="BX470" s="33"/>
      <c r="BY470" s="33"/>
      <c r="BZ470" s="33"/>
      <c r="CA470" s="33"/>
      <c r="CB470" s="33"/>
      <c r="CC470" s="33"/>
      <c r="CD470" s="33"/>
      <c r="CE470" s="33"/>
      <c r="CF470" s="33"/>
      <c r="CG470" s="33"/>
      <c r="CH470" s="33"/>
      <c r="CI470" s="33"/>
      <c r="CJ470" s="33"/>
      <c r="CK470" s="33"/>
      <c r="CL470" s="33"/>
      <c r="CM470" s="33"/>
      <c r="CN470" s="33"/>
      <c r="CO470" s="33"/>
      <c r="CP470" s="33">
        <v>78</v>
      </c>
      <c r="CQ470" s="33"/>
      <c r="CR470" s="33"/>
      <c r="CS470" s="33">
        <v>10.8</v>
      </c>
      <c r="CT470" s="33"/>
      <c r="CU470" s="33"/>
      <c r="CV470" s="33"/>
      <c r="CW470" s="33"/>
      <c r="CX470" s="33"/>
      <c r="CY470" s="33"/>
      <c r="CZ470" s="33"/>
      <c r="DA470" s="33">
        <v>2.92</v>
      </c>
      <c r="DB470" s="33"/>
      <c r="DC470" s="33"/>
      <c r="DD470" s="33"/>
      <c r="DE470" s="33"/>
      <c r="DF470" s="33"/>
      <c r="DG470" s="33"/>
      <c r="DH470" s="33"/>
      <c r="DI470" s="33"/>
      <c r="DJ470" s="33"/>
      <c r="DK470" s="33"/>
      <c r="DL470" s="33"/>
      <c r="DM470" s="33"/>
      <c r="DN470" s="33"/>
      <c r="DO470" s="33"/>
      <c r="DP470" s="33"/>
      <c r="DQ470" s="33"/>
      <c r="DR470" s="33"/>
      <c r="DS470" s="33"/>
      <c r="DT470" s="33"/>
      <c r="DU470" s="33"/>
      <c r="DV470" s="33"/>
      <c r="DW470" s="33"/>
      <c r="DX470" s="33"/>
      <c r="DY470" s="33"/>
      <c r="DZ470" s="33"/>
      <c r="EA470" s="33"/>
      <c r="EB470" s="33"/>
      <c r="EC470" s="33"/>
      <c r="ED470" s="33"/>
      <c r="EE470" s="33"/>
      <c r="EF470" s="33"/>
      <c r="EG470" s="33"/>
      <c r="EH470" s="33"/>
      <c r="EI470" s="33"/>
      <c r="EJ470" s="33"/>
      <c r="EK470" s="33"/>
      <c r="EL470" s="33"/>
      <c r="EM470" s="33"/>
      <c r="EN470" s="33"/>
      <c r="EO470" s="33"/>
      <c r="EP470" s="33"/>
      <c r="EQ470" s="33"/>
      <c r="ER470" s="33"/>
      <c r="ES470" s="33"/>
      <c r="ET470" s="33"/>
      <c r="EU470" s="33"/>
      <c r="EV470" s="33"/>
      <c r="EW470" s="33"/>
      <c r="EX470" s="33"/>
      <c r="EY470" s="33"/>
      <c r="EZ470" s="33"/>
      <c r="FA470" s="33"/>
      <c r="FB470" s="33"/>
      <c r="FC470" s="33"/>
      <c r="FD470" s="33"/>
      <c r="FE470" s="33"/>
      <c r="FF470" s="33"/>
      <c r="FG470" s="33"/>
      <c r="FH470" s="33"/>
      <c r="FI470" s="33"/>
      <c r="FJ470" s="33"/>
      <c r="FK470" s="33"/>
      <c r="FL470" s="33"/>
      <c r="FM470" s="33"/>
      <c r="FN470" s="33"/>
      <c r="FO470" s="33"/>
      <c r="FP470" s="33"/>
      <c r="FQ470" s="33"/>
      <c r="FR470" s="33"/>
      <c r="FS470" s="33"/>
      <c r="FT470" s="33"/>
      <c r="FU470" s="33"/>
      <c r="FV470" s="33"/>
      <c r="FW470" s="33"/>
      <c r="FX470" s="33"/>
      <c r="FY470" s="33"/>
      <c r="FZ470" s="33"/>
      <c r="GA470" s="33"/>
      <c r="GB470" s="33"/>
      <c r="GC470" s="33"/>
      <c r="GD470" s="33"/>
      <c r="GE470" s="33"/>
      <c r="GF470" s="33"/>
      <c r="GG470" s="33"/>
      <c r="GH470" s="33"/>
      <c r="GI470" s="33"/>
      <c r="GJ470" s="33"/>
      <c r="GK470" s="33"/>
      <c r="GL470" s="33"/>
      <c r="GM470" s="33"/>
      <c r="GN470" s="33"/>
      <c r="GO470" s="33"/>
      <c r="GP470" s="33"/>
      <c r="GQ470" s="33"/>
      <c r="GR470" s="33"/>
      <c r="GS470" s="33"/>
      <c r="GT470" s="33"/>
      <c r="GU470" s="33"/>
      <c r="GV470" s="33"/>
      <c r="GW470" s="33"/>
      <c r="GX470" s="33"/>
      <c r="GY470" s="33"/>
      <c r="GZ470" s="33"/>
      <c r="HA470" s="33"/>
      <c r="HB470" s="33"/>
      <c r="HC470" s="33"/>
      <c r="HD470" s="33"/>
      <c r="HE470" s="33"/>
      <c r="HF470" s="33"/>
      <c r="HG470" s="33"/>
      <c r="HH470" s="33"/>
      <c r="HI470" s="33"/>
      <c r="HJ470" s="33"/>
      <c r="HK470" s="33"/>
      <c r="HL470" s="33"/>
      <c r="HM470" s="33"/>
      <c r="HN470" s="33"/>
      <c r="HO470" s="33"/>
      <c r="HP470" s="33"/>
      <c r="HQ470" s="33"/>
      <c r="HR470" s="33"/>
      <c r="HS470" s="33"/>
      <c r="HT470" s="33"/>
      <c r="HU470" s="33"/>
      <c r="HV470" s="33"/>
      <c r="HW470" s="33"/>
      <c r="HX470" s="33"/>
      <c r="HY470" s="33"/>
      <c r="HZ470" s="33"/>
      <c r="IA470" s="33"/>
      <c r="IB470" s="33"/>
      <c r="IC470" s="33"/>
      <c r="ID470" s="33"/>
      <c r="IE470" s="33"/>
      <c r="IF470" s="33"/>
      <c r="IG470" s="33"/>
      <c r="IH470" s="33"/>
      <c r="II470" s="33"/>
      <c r="IJ470" s="33"/>
      <c r="IK470" s="33"/>
      <c r="IL470" s="33"/>
      <c r="IM470" s="33"/>
      <c r="IN470" s="33"/>
      <c r="IO470" s="33"/>
      <c r="IP470" s="33"/>
      <c r="IQ470" s="33"/>
      <c r="IR470" s="33"/>
      <c r="IS470" s="33"/>
      <c r="IT470" s="33"/>
      <c r="IU470" s="33"/>
      <c r="IV470" s="33"/>
      <c r="IW470" s="33"/>
      <c r="IX470" s="33"/>
      <c r="IY470" s="33"/>
      <c r="IZ470" s="33"/>
      <c r="JA470" s="33"/>
      <c r="JB470" s="33"/>
      <c r="JC470" s="33"/>
      <c r="JD470" s="33"/>
      <c r="JE470" s="33"/>
      <c r="JF470" s="33"/>
      <c r="JG470" s="33"/>
      <c r="JH470" s="33"/>
      <c r="JI470" s="33"/>
      <c r="JJ470" s="33"/>
      <c r="JK470" s="33"/>
      <c r="JL470" s="33"/>
      <c r="JM470" s="33"/>
      <c r="JN470" s="33"/>
      <c r="JO470" s="33"/>
      <c r="JP470" s="33"/>
      <c r="JQ470" s="33"/>
      <c r="JR470" s="33"/>
      <c r="KZ470" s="33"/>
      <c r="LA470" s="33"/>
      <c r="LB470" s="33"/>
      <c r="LC470" s="33"/>
      <c r="LD470" s="33"/>
      <c r="LE470" s="33"/>
      <c r="LF470" s="33"/>
      <c r="LG470" s="33"/>
      <c r="LH470" s="33"/>
      <c r="LI470" s="33"/>
      <c r="LJ470" s="33"/>
      <c r="LK470" s="33"/>
      <c r="LL470" s="33">
        <v>604</v>
      </c>
      <c r="LM470" s="33"/>
      <c r="LN470" s="33"/>
      <c r="LO470" s="33"/>
      <c r="LP470" s="44"/>
      <c r="LQ470" s="44"/>
      <c r="LR470" s="44"/>
      <c r="LS470" s="44"/>
      <c r="LT470" s="44"/>
      <c r="LU470" s="44"/>
      <c r="LV470" s="44"/>
    </row>
    <row r="471" spans="1:334" x14ac:dyDescent="0.2">
      <c r="A471" s="1" t="s">
        <v>9208</v>
      </c>
      <c r="B471" s="1" t="s">
        <v>9195</v>
      </c>
      <c r="C471" s="1" t="s">
        <v>9209</v>
      </c>
      <c r="D471" s="1" t="s">
        <v>9210</v>
      </c>
      <c r="E471" s="1" t="s">
        <v>7966</v>
      </c>
      <c r="F471" s="1" t="s">
        <v>9211</v>
      </c>
      <c r="J471" s="1" t="s">
        <v>9199</v>
      </c>
      <c r="K471" s="1">
        <v>2007</v>
      </c>
      <c r="L471" s="1" t="s">
        <v>9200</v>
      </c>
      <c r="M471" s="1" t="s">
        <v>7659</v>
      </c>
      <c r="N471" s="17" t="s">
        <v>7945</v>
      </c>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33"/>
      <c r="BC471" s="33"/>
      <c r="BD471" s="33"/>
      <c r="BE471" s="33"/>
      <c r="BF471" s="33"/>
      <c r="BG471" s="33"/>
      <c r="BH471" s="33"/>
      <c r="BI471" s="33"/>
      <c r="BJ471" s="33"/>
      <c r="BK471" s="33"/>
      <c r="BL471" s="33"/>
      <c r="BM471" s="33"/>
      <c r="BN471" s="33"/>
      <c r="BO471" s="33"/>
      <c r="BP471" s="33"/>
      <c r="BQ471" s="33"/>
      <c r="BR471" s="33"/>
      <c r="BS471" s="33"/>
      <c r="BT471" s="33"/>
      <c r="BU471" s="33"/>
      <c r="BV471" s="33"/>
      <c r="BW471" s="33"/>
      <c r="BX471" s="33"/>
      <c r="BY471" s="33"/>
      <c r="BZ471" s="33"/>
      <c r="CA471" s="33"/>
      <c r="CB471" s="33"/>
      <c r="CC471" s="33"/>
      <c r="CD471" s="33"/>
      <c r="CE471" s="33"/>
      <c r="CF471" s="33"/>
      <c r="CG471" s="33"/>
      <c r="CH471" s="33"/>
      <c r="CI471" s="33"/>
      <c r="CJ471" s="33"/>
      <c r="CK471" s="33"/>
      <c r="CL471" s="33"/>
      <c r="CM471" s="33"/>
      <c r="CN471" s="33"/>
      <c r="CO471" s="33"/>
      <c r="CP471" s="33">
        <v>42</v>
      </c>
      <c r="CQ471" s="33"/>
      <c r="CR471" s="33"/>
      <c r="CS471" s="33" t="s">
        <v>9379</v>
      </c>
      <c r="CT471" s="33"/>
      <c r="CU471" s="33"/>
      <c r="CV471" s="33"/>
      <c r="CW471" s="33"/>
      <c r="CX471" s="33"/>
      <c r="CY471" s="33"/>
      <c r="CZ471" s="33"/>
      <c r="DA471" s="33">
        <v>3.84</v>
      </c>
      <c r="DB471" s="33"/>
      <c r="DC471" s="33"/>
      <c r="DD471" s="33"/>
      <c r="DE471" s="33"/>
      <c r="DF471" s="33"/>
      <c r="DG471" s="33"/>
      <c r="DH471" s="33"/>
      <c r="DI471" s="33"/>
      <c r="DJ471" s="33"/>
      <c r="DK471" s="33"/>
      <c r="DL471" s="33"/>
      <c r="DM471" s="33"/>
      <c r="DN471" s="33"/>
      <c r="DO471" s="33"/>
      <c r="DP471" s="33"/>
      <c r="DQ471" s="33"/>
      <c r="DR471" s="33"/>
      <c r="DS471" s="33"/>
      <c r="DT471" s="33"/>
      <c r="DU471" s="33"/>
      <c r="DV471" s="33"/>
      <c r="DW471" s="33"/>
      <c r="DX471" s="33"/>
      <c r="DY471" s="33"/>
      <c r="DZ471" s="33"/>
      <c r="EA471" s="33"/>
      <c r="EB471" s="33"/>
      <c r="EC471" s="33"/>
      <c r="ED471" s="33"/>
      <c r="EE471" s="33"/>
      <c r="EF471" s="33"/>
      <c r="EG471" s="33"/>
      <c r="EH471" s="33"/>
      <c r="EI471" s="33"/>
      <c r="EJ471" s="33"/>
      <c r="EK471" s="33"/>
      <c r="EL471" s="33"/>
      <c r="EM471" s="33"/>
      <c r="EN471" s="33"/>
      <c r="EO471" s="33"/>
      <c r="EP471" s="33"/>
      <c r="EQ471" s="33"/>
      <c r="ER471" s="33"/>
      <c r="ES471" s="33"/>
      <c r="ET471" s="33"/>
      <c r="EU471" s="33"/>
      <c r="EV471" s="33"/>
      <c r="EW471" s="33"/>
      <c r="EX471" s="33"/>
      <c r="EY471" s="33"/>
      <c r="EZ471" s="33"/>
      <c r="FA471" s="33"/>
      <c r="FB471" s="33"/>
      <c r="FC471" s="33"/>
      <c r="FD471" s="33"/>
      <c r="FE471" s="33"/>
      <c r="FF471" s="33"/>
      <c r="FG471" s="33"/>
      <c r="FH471" s="33"/>
      <c r="FI471" s="33"/>
      <c r="FJ471" s="33"/>
      <c r="FK471" s="33"/>
      <c r="FL471" s="33"/>
      <c r="FM471" s="33"/>
      <c r="FN471" s="33"/>
      <c r="FO471" s="33"/>
      <c r="FP471" s="33"/>
      <c r="FQ471" s="33"/>
      <c r="FR471" s="33"/>
      <c r="FS471" s="33"/>
      <c r="FT471" s="33"/>
      <c r="FU471" s="33"/>
      <c r="FV471" s="33"/>
      <c r="FW471" s="33"/>
      <c r="FX471" s="33"/>
      <c r="FY471" s="33"/>
      <c r="FZ471" s="33"/>
      <c r="GA471" s="33"/>
      <c r="GB471" s="33"/>
      <c r="GC471" s="33"/>
      <c r="GD471" s="33"/>
      <c r="GE471" s="33"/>
      <c r="GF471" s="33"/>
      <c r="GG471" s="33"/>
      <c r="GH471" s="33"/>
      <c r="GI471" s="33"/>
      <c r="GJ471" s="33"/>
      <c r="GK471" s="33"/>
      <c r="GL471" s="33"/>
      <c r="GM471" s="33"/>
      <c r="GN471" s="33"/>
      <c r="GO471" s="33"/>
      <c r="GP471" s="33"/>
      <c r="GQ471" s="33"/>
      <c r="GR471" s="33"/>
      <c r="GS471" s="33"/>
      <c r="GT471" s="33"/>
      <c r="GU471" s="33"/>
      <c r="GV471" s="33"/>
      <c r="GW471" s="33"/>
      <c r="GX471" s="33"/>
      <c r="GY471" s="33"/>
      <c r="GZ471" s="33"/>
      <c r="HA471" s="33"/>
      <c r="HB471" s="33"/>
      <c r="HC471" s="33"/>
      <c r="HD471" s="33"/>
      <c r="HE471" s="33"/>
      <c r="HF471" s="33"/>
      <c r="HG471" s="33"/>
      <c r="HH471" s="33"/>
      <c r="HI471" s="33"/>
      <c r="HJ471" s="33"/>
      <c r="HK471" s="33"/>
      <c r="HL471" s="33"/>
      <c r="HM471" s="33"/>
      <c r="HN471" s="33"/>
      <c r="HO471" s="33"/>
      <c r="HP471" s="33"/>
      <c r="HQ471" s="33"/>
      <c r="HR471" s="33"/>
      <c r="HS471" s="33"/>
      <c r="HT471" s="33"/>
      <c r="HU471" s="33"/>
      <c r="HV471" s="33"/>
      <c r="HW471" s="33"/>
      <c r="HX471" s="33"/>
      <c r="HY471" s="33"/>
      <c r="HZ471" s="33"/>
      <c r="IA471" s="33"/>
      <c r="IB471" s="33"/>
      <c r="IC471" s="33"/>
      <c r="ID471" s="33"/>
      <c r="IE471" s="33"/>
      <c r="IF471" s="33"/>
      <c r="IG471" s="33"/>
      <c r="IH471" s="33"/>
      <c r="II471" s="33"/>
      <c r="IJ471" s="33"/>
      <c r="IK471" s="33"/>
      <c r="IL471" s="33"/>
      <c r="IM471" s="33"/>
      <c r="IN471" s="33"/>
      <c r="IO471" s="33"/>
      <c r="IP471" s="33"/>
      <c r="IQ471" s="33"/>
      <c r="IR471" s="33"/>
      <c r="IS471" s="33"/>
      <c r="IT471" s="33"/>
      <c r="IU471" s="33"/>
      <c r="IV471" s="33"/>
      <c r="IW471" s="33"/>
      <c r="IX471" s="33"/>
      <c r="IY471" s="33"/>
      <c r="IZ471" s="33"/>
      <c r="JA471" s="33"/>
      <c r="JB471" s="33"/>
      <c r="JC471" s="33"/>
      <c r="JD471" s="33"/>
      <c r="JE471" s="33"/>
      <c r="JF471" s="33"/>
      <c r="JG471" s="33"/>
      <c r="JH471" s="33"/>
      <c r="JI471" s="33"/>
      <c r="JJ471" s="33"/>
      <c r="JK471" s="33"/>
      <c r="JL471" s="33"/>
      <c r="JM471" s="33"/>
      <c r="JN471" s="33"/>
      <c r="JO471" s="33"/>
      <c r="JP471" s="33"/>
      <c r="JQ471" s="33"/>
      <c r="JR471" s="33"/>
      <c r="KZ471" s="33"/>
      <c r="LA471" s="33"/>
      <c r="LB471" s="33"/>
      <c r="LC471" s="33"/>
      <c r="LD471" s="33"/>
      <c r="LE471" s="33"/>
      <c r="LF471" s="33"/>
      <c r="LG471" s="33"/>
      <c r="LH471" s="33"/>
      <c r="LI471" s="33"/>
      <c r="LJ471" s="33"/>
      <c r="LK471" s="33"/>
      <c r="LL471" s="33">
        <v>561</v>
      </c>
      <c r="LM471" s="33"/>
      <c r="LN471" s="33"/>
      <c r="LO471" s="33"/>
      <c r="LP471" s="44"/>
      <c r="LQ471" s="44"/>
      <c r="LR471" s="44"/>
      <c r="LS471" s="44"/>
      <c r="LT471" s="44"/>
      <c r="LU471" s="44"/>
      <c r="LV471" s="44"/>
    </row>
    <row r="472" spans="1:334" x14ac:dyDescent="0.2">
      <c r="A472" s="1" t="s">
        <v>9212</v>
      </c>
      <c r="B472" s="1" t="s">
        <v>9195</v>
      </c>
      <c r="C472" s="1" t="s">
        <v>9213</v>
      </c>
      <c r="D472" s="1" t="s">
        <v>9214</v>
      </c>
      <c r="E472" s="1" t="s">
        <v>7966</v>
      </c>
      <c r="F472" s="1" t="s">
        <v>8848</v>
      </c>
      <c r="J472" s="1" t="s">
        <v>9199</v>
      </c>
      <c r="K472" s="1">
        <v>2007</v>
      </c>
      <c r="L472" s="1" t="s">
        <v>9200</v>
      </c>
      <c r="M472" s="1" t="s">
        <v>7659</v>
      </c>
      <c r="N472" s="17" t="s">
        <v>7945</v>
      </c>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33"/>
      <c r="BC472" s="33"/>
      <c r="BD472" s="33"/>
      <c r="BE472" s="33"/>
      <c r="BF472" s="33"/>
      <c r="BG472" s="33"/>
      <c r="BH472" s="33"/>
      <c r="BI472" s="33"/>
      <c r="BJ472" s="33"/>
      <c r="BK472" s="33"/>
      <c r="BL472" s="33"/>
      <c r="BM472" s="33"/>
      <c r="BN472" s="33"/>
      <c r="BO472" s="33"/>
      <c r="BP472" s="33"/>
      <c r="BQ472" s="33"/>
      <c r="BR472" s="33"/>
      <c r="BS472" s="33"/>
      <c r="BT472" s="33"/>
      <c r="BU472" s="33"/>
      <c r="BV472" s="33"/>
      <c r="BW472" s="33"/>
      <c r="BX472" s="33"/>
      <c r="BY472" s="33"/>
      <c r="BZ472" s="33"/>
      <c r="CA472" s="33"/>
      <c r="CB472" s="33"/>
      <c r="CC472" s="33"/>
      <c r="CD472" s="33"/>
      <c r="CE472" s="33"/>
      <c r="CF472" s="33"/>
      <c r="CG472" s="33"/>
      <c r="CH472" s="33"/>
      <c r="CI472" s="33"/>
      <c r="CJ472" s="33"/>
      <c r="CK472" s="33"/>
      <c r="CL472" s="33"/>
      <c r="CM472" s="33"/>
      <c r="CN472" s="33"/>
      <c r="CO472" s="33"/>
      <c r="CP472" s="33">
        <v>90</v>
      </c>
      <c r="CQ472" s="33"/>
      <c r="CR472" s="33"/>
      <c r="CS472" s="33">
        <v>5</v>
      </c>
      <c r="CT472" s="33"/>
      <c r="CU472" s="33"/>
      <c r="CV472" s="33"/>
      <c r="CW472" s="33"/>
      <c r="CX472" s="33"/>
      <c r="CY472" s="33"/>
      <c r="CZ472" s="33"/>
      <c r="DA472" s="33">
        <v>4.13</v>
      </c>
      <c r="DB472" s="33"/>
      <c r="DC472" s="33"/>
      <c r="DD472" s="33"/>
      <c r="DE472" s="33"/>
      <c r="DF472" s="33"/>
      <c r="DG472" s="33"/>
      <c r="DH472" s="33"/>
      <c r="DI472" s="33"/>
      <c r="DJ472" s="33"/>
      <c r="DK472" s="33"/>
      <c r="DL472" s="33"/>
      <c r="DM472" s="33"/>
      <c r="DN472" s="33"/>
      <c r="DO472" s="33"/>
      <c r="DP472" s="33"/>
      <c r="DQ472" s="33"/>
      <c r="DR472" s="33"/>
      <c r="DS472" s="33"/>
      <c r="DT472" s="33"/>
      <c r="DU472" s="33"/>
      <c r="DV472" s="33"/>
      <c r="DW472" s="33"/>
      <c r="DX472" s="33"/>
      <c r="DY472" s="33"/>
      <c r="DZ472" s="33"/>
      <c r="EA472" s="33"/>
      <c r="EB472" s="33"/>
      <c r="EC472" s="33"/>
      <c r="ED472" s="33"/>
      <c r="EE472" s="33"/>
      <c r="EF472" s="33"/>
      <c r="EG472" s="33"/>
      <c r="EH472" s="33"/>
      <c r="EI472" s="33"/>
      <c r="EJ472" s="33"/>
      <c r="EK472" s="33"/>
      <c r="EL472" s="33"/>
      <c r="EM472" s="33"/>
      <c r="EN472" s="33"/>
      <c r="EO472" s="33"/>
      <c r="EP472" s="33"/>
      <c r="EQ472" s="33"/>
      <c r="ER472" s="33"/>
      <c r="ES472" s="33"/>
      <c r="ET472" s="33"/>
      <c r="EU472" s="33"/>
      <c r="EV472" s="33"/>
      <c r="EW472" s="33"/>
      <c r="EX472" s="33"/>
      <c r="EY472" s="33"/>
      <c r="EZ472" s="33"/>
      <c r="FA472" s="33"/>
      <c r="FB472" s="33"/>
      <c r="FC472" s="33"/>
      <c r="FD472" s="33"/>
      <c r="FE472" s="33"/>
      <c r="FF472" s="33"/>
      <c r="FG472" s="33"/>
      <c r="FH472" s="33"/>
      <c r="FI472" s="33"/>
      <c r="FJ472" s="33"/>
      <c r="FK472" s="33"/>
      <c r="FL472" s="33"/>
      <c r="FM472" s="33"/>
      <c r="FN472" s="33"/>
      <c r="FO472" s="33"/>
      <c r="FP472" s="33"/>
      <c r="FQ472" s="33"/>
      <c r="FR472" s="33"/>
      <c r="FS472" s="33"/>
      <c r="FT472" s="33"/>
      <c r="FU472" s="33"/>
      <c r="FV472" s="33"/>
      <c r="FW472" s="33"/>
      <c r="FX472" s="33"/>
      <c r="FY472" s="33"/>
      <c r="FZ472" s="33"/>
      <c r="GA472" s="33"/>
      <c r="GB472" s="33"/>
      <c r="GC472" s="33"/>
      <c r="GD472" s="33"/>
      <c r="GE472" s="33"/>
      <c r="GF472" s="33"/>
      <c r="GG472" s="33"/>
      <c r="GH472" s="33"/>
      <c r="GI472" s="33"/>
      <c r="GJ472" s="33"/>
      <c r="GK472" s="33"/>
      <c r="GL472" s="33"/>
      <c r="GM472" s="33"/>
      <c r="GN472" s="33"/>
      <c r="GO472" s="33"/>
      <c r="GP472" s="33"/>
      <c r="GQ472" s="33"/>
      <c r="GR472" s="33"/>
      <c r="GS472" s="33"/>
      <c r="GT472" s="33"/>
      <c r="GU472" s="33"/>
      <c r="GV472" s="33"/>
      <c r="GW472" s="33"/>
      <c r="GX472" s="33"/>
      <c r="GY472" s="33"/>
      <c r="GZ472" s="33"/>
      <c r="HA472" s="33"/>
      <c r="HB472" s="33"/>
      <c r="HC472" s="33"/>
      <c r="HD472" s="33"/>
      <c r="HE472" s="33"/>
      <c r="HF472" s="33"/>
      <c r="HG472" s="33"/>
      <c r="HH472" s="33"/>
      <c r="HI472" s="33"/>
      <c r="HJ472" s="33"/>
      <c r="HK472" s="33"/>
      <c r="HL472" s="33"/>
      <c r="HM472" s="33"/>
      <c r="HN472" s="33"/>
      <c r="HO472" s="33"/>
      <c r="HP472" s="33"/>
      <c r="HQ472" s="33"/>
      <c r="HR472" s="33"/>
      <c r="HS472" s="33"/>
      <c r="HT472" s="33"/>
      <c r="HU472" s="33"/>
      <c r="HV472" s="33"/>
      <c r="HW472" s="33"/>
      <c r="HX472" s="33"/>
      <c r="HY472" s="33"/>
      <c r="HZ472" s="33"/>
      <c r="IA472" s="33"/>
      <c r="IB472" s="33"/>
      <c r="IC472" s="33"/>
      <c r="ID472" s="33"/>
      <c r="IE472" s="33"/>
      <c r="IF472" s="33"/>
      <c r="IG472" s="33"/>
      <c r="IH472" s="33"/>
      <c r="II472" s="33"/>
      <c r="IJ472" s="33"/>
      <c r="IK472" s="33"/>
      <c r="IL472" s="33"/>
      <c r="IM472" s="33"/>
      <c r="IN472" s="33"/>
      <c r="IO472" s="33"/>
      <c r="IP472" s="33"/>
      <c r="IQ472" s="33"/>
      <c r="IR472" s="33"/>
      <c r="IS472" s="33"/>
      <c r="IT472" s="33"/>
      <c r="IU472" s="33"/>
      <c r="IV472" s="33"/>
      <c r="IW472" s="33"/>
      <c r="IX472" s="33"/>
      <c r="IY472" s="33"/>
      <c r="IZ472" s="33"/>
      <c r="JA472" s="33"/>
      <c r="JB472" s="33"/>
      <c r="JC472" s="33"/>
      <c r="JD472" s="33"/>
      <c r="JE472" s="33"/>
      <c r="JF472" s="33"/>
      <c r="JG472" s="33"/>
      <c r="JH472" s="33"/>
      <c r="JI472" s="33"/>
      <c r="JJ472" s="33"/>
      <c r="JK472" s="33"/>
      <c r="JL472" s="33"/>
      <c r="JM472" s="33"/>
      <c r="JN472" s="33"/>
      <c r="JO472" s="33"/>
      <c r="JP472" s="33"/>
      <c r="JQ472" s="33"/>
      <c r="JR472" s="33"/>
      <c r="KZ472" s="33"/>
      <c r="LA472" s="33"/>
      <c r="LB472" s="33"/>
      <c r="LC472" s="33"/>
      <c r="LD472" s="33"/>
      <c r="LE472" s="33"/>
      <c r="LF472" s="33"/>
      <c r="LG472" s="33"/>
      <c r="LH472" s="33"/>
      <c r="LI472" s="33"/>
      <c r="LJ472" s="33"/>
      <c r="LK472" s="33"/>
      <c r="LL472" s="33">
        <v>235</v>
      </c>
      <c r="LM472" s="33"/>
      <c r="LN472" s="33"/>
      <c r="LO472" s="33"/>
      <c r="LP472" s="44"/>
      <c r="LQ472" s="44"/>
      <c r="LR472" s="44"/>
      <c r="LS472" s="44"/>
      <c r="LT472" s="44"/>
      <c r="LU472" s="44"/>
      <c r="LV472" s="44"/>
    </row>
    <row r="473" spans="1:334" x14ac:dyDescent="0.2">
      <c r="A473" s="1" t="s">
        <v>9215</v>
      </c>
      <c r="B473" s="1" t="s">
        <v>9216</v>
      </c>
      <c r="C473" s="1" t="s">
        <v>9217</v>
      </c>
      <c r="D473" s="1" t="s">
        <v>9218</v>
      </c>
      <c r="E473" s="1" t="s">
        <v>11</v>
      </c>
      <c r="F473" s="1" t="s">
        <v>9219</v>
      </c>
      <c r="I473" s="1">
        <v>5</v>
      </c>
      <c r="J473" s="1" t="s">
        <v>9220</v>
      </c>
      <c r="K473" s="1">
        <v>2007</v>
      </c>
      <c r="L473" s="1" t="s">
        <v>9221</v>
      </c>
      <c r="M473" s="1" t="s">
        <v>7659</v>
      </c>
      <c r="N473" s="17" t="s">
        <v>7945</v>
      </c>
      <c r="O473" s="33"/>
      <c r="P473" s="33"/>
      <c r="Q473" s="33"/>
      <c r="R473" s="33"/>
      <c r="S473" s="33">
        <v>14.2</v>
      </c>
      <c r="T473" s="33"/>
      <c r="U473" s="33"/>
      <c r="V473" s="33"/>
      <c r="W473" s="33"/>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33"/>
      <c r="BC473" s="33"/>
      <c r="BD473" s="33"/>
      <c r="BE473" s="33"/>
      <c r="BF473" s="33"/>
      <c r="BG473" s="33"/>
      <c r="BH473" s="33"/>
      <c r="BI473" s="33"/>
      <c r="BJ473" s="33"/>
      <c r="BK473" s="33"/>
      <c r="BL473" s="33"/>
      <c r="BM473" s="33"/>
      <c r="BN473" s="33"/>
      <c r="BO473" s="33"/>
      <c r="BP473" s="33"/>
      <c r="BQ473" s="33"/>
      <c r="BR473" s="33"/>
      <c r="BS473" s="33"/>
      <c r="BT473" s="33"/>
      <c r="BU473" s="33"/>
      <c r="BV473" s="33"/>
      <c r="BW473" s="33"/>
      <c r="BX473" s="33"/>
      <c r="BY473" s="33"/>
      <c r="BZ473" s="33"/>
      <c r="CA473" s="33"/>
      <c r="CB473" s="33"/>
      <c r="CC473" s="33"/>
      <c r="CD473" s="33"/>
      <c r="CE473" s="33"/>
      <c r="CF473" s="33"/>
      <c r="CG473" s="33"/>
      <c r="CH473" s="33"/>
      <c r="CI473" s="33"/>
      <c r="CJ473" s="33"/>
      <c r="CK473" s="33"/>
      <c r="CL473" s="33"/>
      <c r="CM473" s="33"/>
      <c r="CN473" s="33"/>
      <c r="CO473" s="33"/>
      <c r="CP473" s="33">
        <v>103.56059999999999</v>
      </c>
      <c r="CQ473" s="33"/>
      <c r="CR473" s="33"/>
      <c r="CS473" s="33">
        <v>3.9467999999999996</v>
      </c>
      <c r="CT473" s="33"/>
      <c r="CU473" s="33"/>
      <c r="CV473" s="33"/>
      <c r="CW473" s="33"/>
      <c r="CX473" s="33"/>
      <c r="CY473" s="33"/>
      <c r="CZ473" s="33"/>
      <c r="DA473" s="33">
        <v>2.6598000000000002</v>
      </c>
      <c r="DB473" s="33"/>
      <c r="DC473" s="33"/>
      <c r="DD473" s="33"/>
      <c r="DE473" s="33"/>
      <c r="DF473" s="33"/>
      <c r="DG473" s="33"/>
      <c r="DH473" s="33"/>
      <c r="DI473" s="33"/>
      <c r="DJ473" s="33"/>
      <c r="DK473" s="33"/>
      <c r="DL473" s="33"/>
      <c r="DM473" s="33"/>
      <c r="DN473" s="33"/>
      <c r="DO473" s="33"/>
      <c r="DP473" s="33"/>
      <c r="DQ473" s="33"/>
      <c r="DR473" s="33"/>
      <c r="DS473" s="33"/>
      <c r="DT473" s="33"/>
      <c r="DU473" s="33"/>
      <c r="DV473" s="33"/>
      <c r="DW473" s="33"/>
      <c r="DX473" s="33"/>
      <c r="DY473" s="33"/>
      <c r="DZ473" s="33"/>
      <c r="EA473" s="33"/>
      <c r="EB473" s="33"/>
      <c r="EC473" s="33"/>
      <c r="ED473" s="33"/>
      <c r="EE473" s="33"/>
      <c r="EF473" s="33"/>
      <c r="EG473" s="33"/>
      <c r="EH473" s="33"/>
      <c r="EI473" s="33"/>
      <c r="EJ473" s="33"/>
      <c r="EK473" s="33"/>
      <c r="EL473" s="33"/>
      <c r="EM473" s="33"/>
      <c r="EN473" s="33"/>
      <c r="EO473" s="33"/>
      <c r="EP473" s="33"/>
      <c r="EQ473" s="33"/>
      <c r="ER473" s="33"/>
      <c r="ES473" s="33"/>
      <c r="ET473" s="33"/>
      <c r="EU473" s="33"/>
      <c r="EV473" s="33"/>
      <c r="EW473" s="33"/>
      <c r="EX473" s="33"/>
      <c r="EY473" s="33"/>
      <c r="EZ473" s="33"/>
      <c r="FA473" s="33"/>
      <c r="FB473" s="33"/>
      <c r="FC473" s="33"/>
      <c r="FD473" s="33"/>
      <c r="FE473" s="33"/>
      <c r="FF473" s="33"/>
      <c r="FG473" s="33"/>
      <c r="FH473" s="33"/>
      <c r="FI473" s="33"/>
      <c r="FJ473" s="33"/>
      <c r="FK473" s="33"/>
      <c r="FL473" s="33"/>
      <c r="FM473" s="33"/>
      <c r="FN473" s="33"/>
      <c r="FO473" s="33"/>
      <c r="FP473" s="33"/>
      <c r="FQ473" s="33"/>
      <c r="FR473" s="33"/>
      <c r="FS473" s="33"/>
      <c r="FT473" s="33"/>
      <c r="FU473" s="33"/>
      <c r="FV473" s="33"/>
      <c r="FW473" s="33"/>
      <c r="FX473" s="33"/>
      <c r="FY473" s="33"/>
      <c r="FZ473" s="33"/>
      <c r="GA473" s="33"/>
      <c r="GB473" s="33"/>
      <c r="GC473" s="33"/>
      <c r="GD473" s="33"/>
      <c r="GE473" s="33"/>
      <c r="GF473" s="33"/>
      <c r="GG473" s="33"/>
      <c r="GH473" s="33"/>
      <c r="GI473" s="33"/>
      <c r="GJ473" s="33"/>
      <c r="GK473" s="33"/>
      <c r="GL473" s="33"/>
      <c r="GM473" s="33"/>
      <c r="GN473" s="33"/>
      <c r="GO473" s="33"/>
      <c r="GP473" s="33"/>
      <c r="GQ473" s="33"/>
      <c r="GR473" s="33"/>
      <c r="GS473" s="33"/>
      <c r="GT473" s="33"/>
      <c r="GU473" s="33"/>
      <c r="GV473" s="33"/>
      <c r="GW473" s="33"/>
      <c r="GX473" s="33"/>
      <c r="GY473" s="33"/>
      <c r="GZ473" s="33"/>
      <c r="HA473" s="33"/>
      <c r="HB473" s="33"/>
      <c r="HC473" s="33"/>
      <c r="HD473" s="33"/>
      <c r="HE473" s="33"/>
      <c r="HF473" s="33"/>
      <c r="HG473" s="33"/>
      <c r="HH473" s="33"/>
      <c r="HI473" s="33"/>
      <c r="HJ473" s="33"/>
      <c r="HK473" s="33"/>
      <c r="HL473" s="33"/>
      <c r="HM473" s="33"/>
      <c r="HN473" s="33"/>
      <c r="HO473" s="33"/>
      <c r="HP473" s="33"/>
      <c r="HQ473" s="33"/>
      <c r="HR473" s="33"/>
      <c r="HS473" s="33"/>
      <c r="HT473" s="33"/>
      <c r="HU473" s="33"/>
      <c r="HV473" s="33"/>
      <c r="HW473" s="33"/>
      <c r="HX473" s="33"/>
      <c r="HY473" s="33"/>
      <c r="HZ473" s="33"/>
      <c r="IA473" s="33"/>
      <c r="IB473" s="33"/>
      <c r="IC473" s="33"/>
      <c r="ID473" s="33"/>
      <c r="IE473" s="33"/>
      <c r="IF473" s="33"/>
      <c r="IG473" s="33"/>
      <c r="IH473" s="33"/>
      <c r="II473" s="33"/>
      <c r="IJ473" s="33"/>
      <c r="IK473" s="33"/>
      <c r="IL473" s="33"/>
      <c r="IM473" s="33"/>
      <c r="IN473" s="33"/>
      <c r="IO473" s="33"/>
      <c r="IP473" s="33"/>
      <c r="IQ473" s="33"/>
      <c r="IR473" s="33"/>
      <c r="IS473" s="33"/>
      <c r="IT473" s="33"/>
      <c r="IU473" s="33"/>
      <c r="IV473" s="33"/>
      <c r="IW473" s="33"/>
      <c r="IX473" s="33"/>
      <c r="IY473" s="33"/>
      <c r="IZ473" s="33"/>
      <c r="JA473" s="33"/>
      <c r="JB473" s="33"/>
      <c r="JC473" s="33"/>
      <c r="JD473" s="33"/>
      <c r="JE473" s="33"/>
      <c r="JF473" s="33"/>
      <c r="JG473" s="33"/>
      <c r="JH473" s="33"/>
      <c r="JI473" s="33"/>
      <c r="JJ473" s="33"/>
      <c r="JK473" s="33"/>
      <c r="JL473" s="33"/>
      <c r="JM473" s="33"/>
      <c r="JN473" s="33"/>
      <c r="JO473" s="33"/>
      <c r="JP473" s="33"/>
      <c r="JQ473" s="33"/>
      <c r="JR473" s="33"/>
      <c r="KZ473" s="33"/>
      <c r="LA473" s="33"/>
      <c r="LB473" s="33"/>
      <c r="LC473" s="33"/>
      <c r="LD473" s="33"/>
      <c r="LE473" s="33"/>
      <c r="LF473" s="33"/>
      <c r="LG473" s="33"/>
      <c r="LH473" s="33"/>
      <c r="LI473" s="33"/>
      <c r="LJ473" s="33">
        <v>57.485999999999997</v>
      </c>
      <c r="LK473" s="33">
        <v>657.22800000000007</v>
      </c>
      <c r="LL473" s="33"/>
      <c r="LM473" s="33"/>
      <c r="LN473" s="33"/>
      <c r="LO473" s="33"/>
      <c r="LP473" s="44"/>
      <c r="LQ473" s="44"/>
      <c r="LR473" s="44"/>
      <c r="LS473" s="44"/>
      <c r="LT473" s="44"/>
      <c r="LU473" s="44"/>
      <c r="LV473" s="44"/>
    </row>
    <row r="474" spans="1:334" x14ac:dyDescent="0.2">
      <c r="A474" s="1" t="s">
        <v>9222</v>
      </c>
      <c r="B474" s="1" t="s">
        <v>9216</v>
      </c>
      <c r="C474" s="1" t="s">
        <v>9217</v>
      </c>
      <c r="D474" s="1" t="s">
        <v>9223</v>
      </c>
      <c r="E474" s="1" t="s">
        <v>8099</v>
      </c>
      <c r="F474" s="1" t="s">
        <v>9219</v>
      </c>
      <c r="I474" s="1">
        <v>5</v>
      </c>
      <c r="J474" s="1" t="s">
        <v>9220</v>
      </c>
      <c r="K474" s="1">
        <v>2007</v>
      </c>
      <c r="L474" s="1" t="s">
        <v>9221</v>
      </c>
      <c r="M474" s="1" t="s">
        <v>7659</v>
      </c>
      <c r="N474" s="17" t="s">
        <v>7945</v>
      </c>
      <c r="O474" s="33"/>
      <c r="P474" s="33"/>
      <c r="Q474" s="33"/>
      <c r="R474" s="33"/>
      <c r="S474" s="33">
        <v>5.8</v>
      </c>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33"/>
      <c r="BC474" s="33"/>
      <c r="BD474" s="33"/>
      <c r="BE474" s="33"/>
      <c r="BF474" s="33"/>
      <c r="BG474" s="33"/>
      <c r="BH474" s="33"/>
      <c r="BI474" s="33"/>
      <c r="BJ474" s="33"/>
      <c r="BK474" s="33"/>
      <c r="BL474" s="33"/>
      <c r="BM474" s="33"/>
      <c r="BN474" s="33"/>
      <c r="BO474" s="33"/>
      <c r="BP474" s="33"/>
      <c r="BQ474" s="33"/>
      <c r="BR474" s="33"/>
      <c r="BS474" s="33"/>
      <c r="BT474" s="33"/>
      <c r="BU474" s="33"/>
      <c r="BV474" s="33"/>
      <c r="BW474" s="33"/>
      <c r="BX474" s="33"/>
      <c r="BY474" s="33"/>
      <c r="BZ474" s="33"/>
      <c r="CA474" s="33"/>
      <c r="CB474" s="33"/>
      <c r="CC474" s="33"/>
      <c r="CD474" s="33"/>
      <c r="CE474" s="33"/>
      <c r="CF474" s="33"/>
      <c r="CG474" s="33"/>
      <c r="CH474" s="33"/>
      <c r="CI474" s="33"/>
      <c r="CJ474" s="33"/>
      <c r="CK474" s="33"/>
      <c r="CL474" s="33"/>
      <c r="CM474" s="33"/>
      <c r="CN474" s="33"/>
      <c r="CO474" s="33"/>
      <c r="CP474" s="33">
        <v>109.1778</v>
      </c>
      <c r="CQ474" s="33"/>
      <c r="CR474" s="33"/>
      <c r="CS474" s="33">
        <v>6.2172000000000001</v>
      </c>
      <c r="CT474" s="33"/>
      <c r="CU474" s="33"/>
      <c r="CV474" s="33"/>
      <c r="CW474" s="33"/>
      <c r="CX474" s="33"/>
      <c r="CY474" s="33"/>
      <c r="CZ474" s="33"/>
      <c r="DA474" s="33">
        <v>2.9202000000000004</v>
      </c>
      <c r="DB474" s="33"/>
      <c r="DC474" s="33"/>
      <c r="DD474" s="33"/>
      <c r="DE474" s="33"/>
      <c r="DF474" s="33"/>
      <c r="DG474" s="33"/>
      <c r="DH474" s="33"/>
      <c r="DI474" s="33"/>
      <c r="DJ474" s="33"/>
      <c r="DK474" s="33"/>
      <c r="DL474" s="33"/>
      <c r="DM474" s="33"/>
      <c r="DN474" s="33"/>
      <c r="DO474" s="33"/>
      <c r="DP474" s="33"/>
      <c r="DQ474" s="33"/>
      <c r="DR474" s="33"/>
      <c r="DS474" s="33"/>
      <c r="DT474" s="33"/>
      <c r="DU474" s="33"/>
      <c r="DV474" s="33"/>
      <c r="DW474" s="33"/>
      <c r="DX474" s="33"/>
      <c r="DY474" s="33"/>
      <c r="DZ474" s="33"/>
      <c r="EA474" s="33"/>
      <c r="EB474" s="33"/>
      <c r="EC474" s="33"/>
      <c r="ED474" s="33"/>
      <c r="EE474" s="33"/>
      <c r="EF474" s="33"/>
      <c r="EG474" s="33"/>
      <c r="EH474" s="33"/>
      <c r="EI474" s="33"/>
      <c r="EJ474" s="33"/>
      <c r="EK474" s="33"/>
      <c r="EL474" s="33"/>
      <c r="EM474" s="33"/>
      <c r="EN474" s="33"/>
      <c r="EO474" s="33"/>
      <c r="EP474" s="33"/>
      <c r="EQ474" s="33"/>
      <c r="ER474" s="33"/>
      <c r="ES474" s="33"/>
      <c r="ET474" s="33"/>
      <c r="EU474" s="33"/>
      <c r="EV474" s="33"/>
      <c r="EW474" s="33"/>
      <c r="EX474" s="33"/>
      <c r="EY474" s="33"/>
      <c r="EZ474" s="33"/>
      <c r="FA474" s="33"/>
      <c r="FB474" s="33"/>
      <c r="FC474" s="33"/>
      <c r="FD474" s="33"/>
      <c r="FE474" s="33"/>
      <c r="FF474" s="33"/>
      <c r="FG474" s="33"/>
      <c r="FH474" s="33"/>
      <c r="FI474" s="33"/>
      <c r="FJ474" s="33"/>
      <c r="FK474" s="33"/>
      <c r="FL474" s="33"/>
      <c r="FM474" s="33"/>
      <c r="FN474" s="33"/>
      <c r="FO474" s="33"/>
      <c r="FP474" s="33"/>
      <c r="FQ474" s="33"/>
      <c r="FR474" s="33"/>
      <c r="FS474" s="33"/>
      <c r="FT474" s="33"/>
      <c r="FU474" s="33"/>
      <c r="FV474" s="33"/>
      <c r="FW474" s="33"/>
      <c r="FX474" s="33"/>
      <c r="FY474" s="33"/>
      <c r="FZ474" s="33"/>
      <c r="GA474" s="33"/>
      <c r="GB474" s="33"/>
      <c r="GC474" s="33"/>
      <c r="GD474" s="33"/>
      <c r="GE474" s="33"/>
      <c r="GF474" s="33"/>
      <c r="GG474" s="33"/>
      <c r="GH474" s="33"/>
      <c r="GI474" s="33"/>
      <c r="GJ474" s="33"/>
      <c r="GK474" s="33"/>
      <c r="GL474" s="33"/>
      <c r="GM474" s="33"/>
      <c r="GN474" s="33"/>
      <c r="GO474" s="33"/>
      <c r="GP474" s="33"/>
      <c r="GQ474" s="33"/>
      <c r="GR474" s="33"/>
      <c r="GS474" s="33"/>
      <c r="GT474" s="33"/>
      <c r="GU474" s="33"/>
      <c r="GV474" s="33"/>
      <c r="GW474" s="33"/>
      <c r="GX474" s="33"/>
      <c r="GY474" s="33"/>
      <c r="GZ474" s="33"/>
      <c r="HA474" s="33"/>
      <c r="HB474" s="33"/>
      <c r="HC474" s="33"/>
      <c r="HD474" s="33"/>
      <c r="HE474" s="33"/>
      <c r="HF474" s="33"/>
      <c r="HG474" s="33"/>
      <c r="HH474" s="33"/>
      <c r="HI474" s="33"/>
      <c r="HJ474" s="33"/>
      <c r="HK474" s="33"/>
      <c r="HL474" s="33"/>
      <c r="HM474" s="33"/>
      <c r="HN474" s="33"/>
      <c r="HO474" s="33"/>
      <c r="HP474" s="33"/>
      <c r="HQ474" s="33"/>
      <c r="HR474" s="33"/>
      <c r="HS474" s="33"/>
      <c r="HT474" s="33"/>
      <c r="HU474" s="33"/>
      <c r="HV474" s="33"/>
      <c r="HW474" s="33"/>
      <c r="HX474" s="33"/>
      <c r="HY474" s="33"/>
      <c r="HZ474" s="33"/>
      <c r="IA474" s="33"/>
      <c r="IB474" s="33"/>
      <c r="IC474" s="33"/>
      <c r="ID474" s="33"/>
      <c r="IE474" s="33"/>
      <c r="IF474" s="33"/>
      <c r="IG474" s="33"/>
      <c r="IH474" s="33"/>
      <c r="II474" s="33"/>
      <c r="IJ474" s="33"/>
      <c r="IK474" s="33"/>
      <c r="IL474" s="33"/>
      <c r="IM474" s="33"/>
      <c r="IN474" s="33"/>
      <c r="IO474" s="33"/>
      <c r="IP474" s="33"/>
      <c r="IQ474" s="33"/>
      <c r="IR474" s="33"/>
      <c r="IS474" s="33"/>
      <c r="IT474" s="33"/>
      <c r="IU474" s="33"/>
      <c r="IV474" s="33"/>
      <c r="IW474" s="33"/>
      <c r="IX474" s="33"/>
      <c r="IY474" s="33"/>
      <c r="IZ474" s="33"/>
      <c r="JA474" s="33"/>
      <c r="JB474" s="33"/>
      <c r="JC474" s="33"/>
      <c r="JD474" s="33"/>
      <c r="JE474" s="33"/>
      <c r="JF474" s="33"/>
      <c r="JG474" s="33"/>
      <c r="JH474" s="33"/>
      <c r="JI474" s="33"/>
      <c r="JJ474" s="33"/>
      <c r="JK474" s="33"/>
      <c r="JL474" s="33"/>
      <c r="JM474" s="33"/>
      <c r="JN474" s="33"/>
      <c r="JO474" s="33"/>
      <c r="JP474" s="33"/>
      <c r="JQ474" s="33"/>
      <c r="JR474" s="33"/>
      <c r="KZ474" s="33"/>
      <c r="LA474" s="33"/>
      <c r="LB474" s="33"/>
      <c r="LC474" s="33"/>
      <c r="LD474" s="33"/>
      <c r="LE474" s="33"/>
      <c r="LF474" s="33"/>
      <c r="LG474" s="33"/>
      <c r="LH474" s="33"/>
      <c r="LI474" s="33"/>
      <c r="LJ474" s="33">
        <v>135.64800000000002</v>
      </c>
      <c r="LK474" s="33">
        <v>407.88599999999997</v>
      </c>
      <c r="LL474" s="33"/>
      <c r="LM474" s="33"/>
      <c r="LN474" s="33"/>
      <c r="LO474" s="33"/>
      <c r="LP474" s="44"/>
      <c r="LQ474" s="44"/>
      <c r="LR474" s="44"/>
      <c r="LS474" s="44"/>
      <c r="LT474" s="44"/>
      <c r="LU474" s="44"/>
      <c r="LV474" s="44"/>
    </row>
    <row r="475" spans="1:334" x14ac:dyDescent="0.2">
      <c r="A475" s="1" t="s">
        <v>9224</v>
      </c>
      <c r="B475" s="1" t="s">
        <v>9216</v>
      </c>
      <c r="C475" s="1" t="s">
        <v>9217</v>
      </c>
      <c r="D475" s="1" t="s">
        <v>9225</v>
      </c>
      <c r="E475" s="1" t="s">
        <v>11</v>
      </c>
      <c r="F475" s="1" t="s">
        <v>9219</v>
      </c>
      <c r="I475" s="1">
        <v>5</v>
      </c>
      <c r="J475" s="1" t="s">
        <v>9220</v>
      </c>
      <c r="K475" s="1">
        <v>2007</v>
      </c>
      <c r="L475" s="1" t="s">
        <v>9221</v>
      </c>
      <c r="M475" s="1" t="s">
        <v>7659</v>
      </c>
      <c r="N475" s="17" t="s">
        <v>7945</v>
      </c>
      <c r="O475" s="33"/>
      <c r="P475" s="33"/>
      <c r="Q475" s="33"/>
      <c r="R475" s="33"/>
      <c r="S475" s="33">
        <v>85.7</v>
      </c>
      <c r="T475" s="33"/>
      <c r="U475" s="33"/>
      <c r="V475" s="33"/>
      <c r="W475" s="33"/>
      <c r="X475" s="33"/>
      <c r="Y475" s="33"/>
      <c r="Z475" s="33"/>
      <c r="AA475" s="33"/>
      <c r="AB475" s="33"/>
      <c r="AC475" s="33"/>
      <c r="AD475" s="33"/>
      <c r="AE475" s="33"/>
      <c r="AF475" s="33"/>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c r="CA475" s="33"/>
      <c r="CB475" s="33"/>
      <c r="CC475" s="33"/>
      <c r="CD475" s="33"/>
      <c r="CE475" s="33"/>
      <c r="CF475" s="33"/>
      <c r="CG475" s="33"/>
      <c r="CH475" s="33"/>
      <c r="CI475" s="33"/>
      <c r="CJ475" s="33"/>
      <c r="CK475" s="33"/>
      <c r="CL475" s="33"/>
      <c r="CM475" s="33"/>
      <c r="CN475" s="33"/>
      <c r="CO475" s="33"/>
      <c r="CP475" s="33">
        <v>19.776899999999998</v>
      </c>
      <c r="CQ475" s="33"/>
      <c r="CR475" s="33"/>
      <c r="CS475" s="33">
        <v>1.1010999999999997</v>
      </c>
      <c r="CT475" s="33"/>
      <c r="CU475" s="33"/>
      <c r="CV475" s="33"/>
      <c r="CW475" s="33"/>
      <c r="CX475" s="33"/>
      <c r="CY475" s="33"/>
      <c r="CZ475" s="33"/>
      <c r="DA475" s="33">
        <v>0.44329999999999992</v>
      </c>
      <c r="DB475" s="33"/>
      <c r="DC475" s="33"/>
      <c r="DD475" s="33"/>
      <c r="DE475" s="33"/>
      <c r="DF475" s="33"/>
      <c r="DG475" s="33"/>
      <c r="DH475" s="33"/>
      <c r="DI475" s="33"/>
      <c r="DJ475" s="33"/>
      <c r="DK475" s="33"/>
      <c r="DL475" s="33"/>
      <c r="DM475" s="33"/>
      <c r="DN475" s="33"/>
      <c r="DO475" s="33"/>
      <c r="DP475" s="33"/>
      <c r="DQ475" s="33"/>
      <c r="DR475" s="33"/>
      <c r="DS475" s="33"/>
      <c r="DT475" s="33"/>
      <c r="DU475" s="33"/>
      <c r="DV475" s="33"/>
      <c r="DW475" s="33"/>
      <c r="DX475" s="33"/>
      <c r="DY475" s="33"/>
      <c r="DZ475" s="33"/>
      <c r="EA475" s="33"/>
      <c r="EB475" s="33"/>
      <c r="EC475" s="33"/>
      <c r="ED475" s="33"/>
      <c r="EE475" s="33"/>
      <c r="EF475" s="33"/>
      <c r="EG475" s="33"/>
      <c r="EH475" s="33"/>
      <c r="EI475" s="33"/>
      <c r="EJ475" s="33"/>
      <c r="EK475" s="33"/>
      <c r="EL475" s="33"/>
      <c r="EM475" s="33"/>
      <c r="EN475" s="33"/>
      <c r="EO475" s="33"/>
      <c r="EP475" s="33"/>
      <c r="EQ475" s="33"/>
      <c r="ER475" s="33"/>
      <c r="ES475" s="33"/>
      <c r="ET475" s="33"/>
      <c r="EU475" s="33"/>
      <c r="EV475" s="33"/>
      <c r="EW475" s="33"/>
      <c r="EX475" s="33"/>
      <c r="EY475" s="33"/>
      <c r="EZ475" s="33"/>
      <c r="FA475" s="33"/>
      <c r="FB475" s="33"/>
      <c r="FC475" s="33"/>
      <c r="FD475" s="33"/>
      <c r="FE475" s="33"/>
      <c r="FF475" s="33"/>
      <c r="FG475" s="33"/>
      <c r="FH475" s="33"/>
      <c r="FI475" s="33"/>
      <c r="FJ475" s="33"/>
      <c r="FK475" s="33"/>
      <c r="FL475" s="33"/>
      <c r="FM475" s="33"/>
      <c r="FN475" s="33"/>
      <c r="FO475" s="33"/>
      <c r="FP475" s="33"/>
      <c r="FQ475" s="33"/>
      <c r="FR475" s="33"/>
      <c r="FS475" s="33"/>
      <c r="FT475" s="33"/>
      <c r="FU475" s="33"/>
      <c r="FV475" s="33"/>
      <c r="FW475" s="33"/>
      <c r="FX475" s="33"/>
      <c r="FY475" s="33"/>
      <c r="FZ475" s="33"/>
      <c r="GA475" s="33"/>
      <c r="GB475" s="33"/>
      <c r="GC475" s="33"/>
      <c r="GD475" s="33"/>
      <c r="GE475" s="33"/>
      <c r="GF475" s="33"/>
      <c r="GG475" s="33"/>
      <c r="GH475" s="33"/>
      <c r="GI475" s="33"/>
      <c r="GJ475" s="33"/>
      <c r="GK475" s="33"/>
      <c r="GL475" s="33"/>
      <c r="GM475" s="33"/>
      <c r="GN475" s="33"/>
      <c r="GO475" s="33"/>
      <c r="GP475" s="33"/>
      <c r="GQ475" s="33"/>
      <c r="GR475" s="33"/>
      <c r="GS475" s="33"/>
      <c r="GT475" s="33"/>
      <c r="GU475" s="33"/>
      <c r="GV475" s="33"/>
      <c r="GW475" s="33"/>
      <c r="GX475" s="33"/>
      <c r="GY475" s="33"/>
      <c r="GZ475" s="33"/>
      <c r="HA475" s="33"/>
      <c r="HB475" s="33"/>
      <c r="HC475" s="33"/>
      <c r="HD475" s="33"/>
      <c r="HE475" s="33"/>
      <c r="HF475" s="33"/>
      <c r="HG475" s="33"/>
      <c r="HH475" s="33"/>
      <c r="HI475" s="33"/>
      <c r="HJ475" s="33"/>
      <c r="HK475" s="33"/>
      <c r="HL475" s="33"/>
      <c r="HM475" s="33"/>
      <c r="HN475" s="33"/>
      <c r="HO475" s="33"/>
      <c r="HP475" s="33"/>
      <c r="HQ475" s="33"/>
      <c r="HR475" s="33"/>
      <c r="HS475" s="33"/>
      <c r="HT475" s="33"/>
      <c r="HU475" s="33"/>
      <c r="HV475" s="33"/>
      <c r="HW475" s="33"/>
      <c r="HX475" s="33"/>
      <c r="HY475" s="33"/>
      <c r="HZ475" s="33"/>
      <c r="IA475" s="33"/>
      <c r="IB475" s="33"/>
      <c r="IC475" s="33"/>
      <c r="ID475" s="33"/>
      <c r="IE475" s="33"/>
      <c r="IF475" s="33"/>
      <c r="IG475" s="33"/>
      <c r="IH475" s="33"/>
      <c r="II475" s="33"/>
      <c r="IJ475" s="33"/>
      <c r="IK475" s="33"/>
      <c r="IL475" s="33"/>
      <c r="IM475" s="33"/>
      <c r="IN475" s="33"/>
      <c r="IO475" s="33"/>
      <c r="IP475" s="33"/>
      <c r="IQ475" s="33"/>
      <c r="IR475" s="33"/>
      <c r="IS475" s="33"/>
      <c r="IT475" s="33"/>
      <c r="IU475" s="33"/>
      <c r="IV475" s="33"/>
      <c r="IW475" s="33"/>
      <c r="IX475" s="33"/>
      <c r="IY475" s="33"/>
      <c r="IZ475" s="33"/>
      <c r="JA475" s="33"/>
      <c r="JB475" s="33"/>
      <c r="JC475" s="33"/>
      <c r="JD475" s="33"/>
      <c r="JE475" s="33"/>
      <c r="JF475" s="33"/>
      <c r="JG475" s="33"/>
      <c r="JH475" s="33"/>
      <c r="JI475" s="33"/>
      <c r="JJ475" s="33"/>
      <c r="JK475" s="33"/>
      <c r="JL475" s="33"/>
      <c r="JM475" s="33"/>
      <c r="JN475" s="33"/>
      <c r="JO475" s="33"/>
      <c r="JP475" s="33"/>
      <c r="JQ475" s="33"/>
      <c r="JR475" s="33"/>
      <c r="KZ475" s="33"/>
      <c r="LA475" s="33"/>
      <c r="LB475" s="33"/>
      <c r="LC475" s="33"/>
      <c r="LD475" s="33"/>
      <c r="LE475" s="33"/>
      <c r="LF475" s="33"/>
      <c r="LG475" s="33"/>
      <c r="LH475" s="33"/>
      <c r="LI475" s="33"/>
      <c r="LJ475" s="33">
        <v>17.302999999999997</v>
      </c>
      <c r="LK475" s="33">
        <v>83.08299999999997</v>
      </c>
      <c r="LL475" s="33"/>
      <c r="LM475" s="33"/>
      <c r="LN475" s="33"/>
      <c r="LO475" s="33"/>
      <c r="LP475" s="44"/>
      <c r="LQ475" s="44"/>
      <c r="LR475" s="44"/>
      <c r="LS475" s="44"/>
      <c r="LT475" s="44"/>
      <c r="LU475" s="44"/>
      <c r="LV475" s="44"/>
    </row>
    <row r="476" spans="1:334" x14ac:dyDescent="0.2">
      <c r="A476" s="1" t="s">
        <v>9226</v>
      </c>
      <c r="B476" s="1" t="s">
        <v>9227</v>
      </c>
      <c r="D476" s="1" t="s">
        <v>9228</v>
      </c>
      <c r="E476" s="1" t="s">
        <v>11</v>
      </c>
      <c r="H476" s="1" t="s">
        <v>9229</v>
      </c>
      <c r="J476" s="1" t="s">
        <v>9230</v>
      </c>
      <c r="K476" s="1">
        <v>2004</v>
      </c>
      <c r="L476" s="1" t="s">
        <v>9231</v>
      </c>
      <c r="M476" s="1" t="s">
        <v>7659</v>
      </c>
      <c r="N476" s="17" t="s">
        <v>7945</v>
      </c>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c r="CA476" s="33"/>
      <c r="CB476" s="33"/>
      <c r="CC476" s="33"/>
      <c r="CD476" s="33"/>
      <c r="CE476" s="33"/>
      <c r="CF476" s="33"/>
      <c r="CG476" s="33"/>
      <c r="CH476" s="33"/>
      <c r="CI476" s="33"/>
      <c r="CJ476" s="33"/>
      <c r="CK476" s="33"/>
      <c r="CL476" s="33"/>
      <c r="CM476" s="33"/>
      <c r="CN476" s="33"/>
      <c r="CO476" s="33"/>
      <c r="CP476" s="33"/>
      <c r="CQ476" s="33"/>
      <c r="CR476" s="33"/>
      <c r="CS476" s="33"/>
      <c r="CT476" s="33"/>
      <c r="CU476" s="33"/>
      <c r="CV476" s="33"/>
      <c r="CW476" s="33"/>
      <c r="CX476" s="33"/>
      <c r="CY476" s="33"/>
      <c r="CZ476" s="33"/>
      <c r="DA476" s="33"/>
      <c r="DB476" s="33"/>
      <c r="DC476" s="33"/>
      <c r="DD476" s="33"/>
      <c r="DE476" s="33"/>
      <c r="DF476" s="33"/>
      <c r="DG476" s="33"/>
      <c r="DH476" s="33"/>
      <c r="DI476" s="33"/>
      <c r="DJ476" s="33"/>
      <c r="DK476" s="33"/>
      <c r="DL476" s="33"/>
      <c r="DM476" s="33"/>
      <c r="DN476" s="33"/>
      <c r="DO476" s="33"/>
      <c r="DP476" s="33"/>
      <c r="DQ476" s="33"/>
      <c r="DR476" s="33"/>
      <c r="DS476" s="33"/>
      <c r="DT476" s="33"/>
      <c r="DU476" s="33"/>
      <c r="DV476" s="33"/>
      <c r="DW476" s="33"/>
      <c r="DX476" s="33"/>
      <c r="DY476" s="33"/>
      <c r="DZ476" s="33"/>
      <c r="EA476" s="33"/>
      <c r="EB476" s="33"/>
      <c r="EC476" s="33"/>
      <c r="ED476" s="33"/>
      <c r="EE476" s="33"/>
      <c r="EF476" s="33"/>
      <c r="EG476" s="33"/>
      <c r="EH476" s="33"/>
      <c r="EI476" s="33"/>
      <c r="EJ476" s="33"/>
      <c r="EK476" s="33"/>
      <c r="EL476" s="33"/>
      <c r="EM476" s="33"/>
      <c r="EN476" s="33"/>
      <c r="EO476" s="33"/>
      <c r="EP476" s="33"/>
      <c r="EQ476" s="33"/>
      <c r="ER476" s="33"/>
      <c r="ES476" s="33"/>
      <c r="ET476" s="33"/>
      <c r="EU476" s="33"/>
      <c r="EV476" s="33"/>
      <c r="EW476" s="33"/>
      <c r="EX476" s="33"/>
      <c r="EY476" s="33"/>
      <c r="EZ476" s="33"/>
      <c r="FA476" s="33"/>
      <c r="FB476" s="33"/>
      <c r="FC476" s="33"/>
      <c r="FD476" s="33"/>
      <c r="FE476" s="33"/>
      <c r="FF476" s="33"/>
      <c r="FG476" s="33"/>
      <c r="FH476" s="33"/>
      <c r="FI476" s="33"/>
      <c r="FJ476" s="33"/>
      <c r="FK476" s="33"/>
      <c r="FL476" s="33"/>
      <c r="FM476" s="33"/>
      <c r="FN476" s="33"/>
      <c r="FO476" s="33"/>
      <c r="FP476" s="33"/>
      <c r="FQ476" s="33"/>
      <c r="FR476" s="33"/>
      <c r="FS476" s="33"/>
      <c r="FT476" s="33"/>
      <c r="FU476" s="33"/>
      <c r="FV476" s="33"/>
      <c r="FW476" s="33"/>
      <c r="FX476" s="33"/>
      <c r="FY476" s="33"/>
      <c r="FZ476" s="33"/>
      <c r="GA476" s="33"/>
      <c r="GB476" s="33"/>
      <c r="GC476" s="33"/>
      <c r="GD476" s="33"/>
      <c r="GE476" s="33"/>
      <c r="GF476" s="33"/>
      <c r="GG476" s="33"/>
      <c r="GH476" s="33"/>
      <c r="GI476" s="33"/>
      <c r="GJ476" s="33"/>
      <c r="GK476" s="33"/>
      <c r="GL476" s="33"/>
      <c r="GM476" s="33"/>
      <c r="GN476" s="33"/>
      <c r="GO476" s="33"/>
      <c r="GP476" s="33"/>
      <c r="GQ476" s="33"/>
      <c r="GR476" s="33"/>
      <c r="GS476" s="33"/>
      <c r="GT476" s="33"/>
      <c r="GU476" s="33"/>
      <c r="GV476" s="33"/>
      <c r="GW476" s="33"/>
      <c r="GX476" s="33"/>
      <c r="GY476" s="33"/>
      <c r="GZ476" s="33"/>
      <c r="HA476" s="33"/>
      <c r="HB476" s="33"/>
      <c r="HC476" s="33"/>
      <c r="HD476" s="33"/>
      <c r="HE476" s="33"/>
      <c r="HF476" s="33"/>
      <c r="HG476" s="33"/>
      <c r="HH476" s="33"/>
      <c r="HI476" s="33"/>
      <c r="HJ476" s="33"/>
      <c r="HK476" s="33"/>
      <c r="HL476" s="33"/>
      <c r="HM476" s="33"/>
      <c r="HN476" s="33"/>
      <c r="HO476" s="33"/>
      <c r="HP476" s="33"/>
      <c r="HQ476" s="33"/>
      <c r="HR476" s="33"/>
      <c r="HS476" s="33"/>
      <c r="HT476" s="33"/>
      <c r="HU476" s="33"/>
      <c r="HV476" s="33"/>
      <c r="HW476" s="33"/>
      <c r="HX476" s="33"/>
      <c r="HY476" s="33"/>
      <c r="HZ476" s="33"/>
      <c r="IA476" s="33"/>
      <c r="IB476" s="33"/>
      <c r="IC476" s="33"/>
      <c r="ID476" s="33"/>
      <c r="IE476" s="33"/>
      <c r="IF476" s="33"/>
      <c r="IG476" s="33"/>
      <c r="IH476" s="33"/>
      <c r="II476" s="33"/>
      <c r="IJ476" s="33"/>
      <c r="IK476" s="33"/>
      <c r="IL476" s="33"/>
      <c r="IM476" s="33"/>
      <c r="IN476" s="33"/>
      <c r="IO476" s="33"/>
      <c r="IP476" s="33"/>
      <c r="IQ476" s="33"/>
      <c r="IR476" s="33"/>
      <c r="IS476" s="33"/>
      <c r="IT476" s="33"/>
      <c r="IU476" s="33"/>
      <c r="IV476" s="33"/>
      <c r="IW476" s="33"/>
      <c r="IX476" s="33"/>
      <c r="IY476" s="33"/>
      <c r="IZ476" s="33"/>
      <c r="JA476" s="33"/>
      <c r="JB476" s="33"/>
      <c r="JC476" s="33"/>
      <c r="JD476" s="33"/>
      <c r="JE476" s="33"/>
      <c r="JF476" s="33"/>
      <c r="JG476" s="33"/>
      <c r="JH476" s="33"/>
      <c r="JI476" s="33"/>
      <c r="JJ476" s="33"/>
      <c r="JK476" s="33"/>
      <c r="JL476" s="33"/>
      <c r="JM476" s="33"/>
      <c r="JN476" s="33"/>
      <c r="JO476" s="33"/>
      <c r="JP476" s="33"/>
      <c r="JQ476" s="33"/>
      <c r="JR476" s="33"/>
      <c r="KZ476" s="33"/>
      <c r="LA476" s="33"/>
      <c r="LB476" s="33"/>
      <c r="LC476" s="33"/>
      <c r="LD476" s="33"/>
      <c r="LE476" s="33"/>
      <c r="LF476" s="33"/>
      <c r="LG476" s="33"/>
      <c r="LH476" s="33"/>
      <c r="LI476" s="33"/>
      <c r="LJ476" s="33"/>
      <c r="LK476" s="33">
        <v>289</v>
      </c>
      <c r="LL476" s="33"/>
      <c r="LM476" s="33"/>
      <c r="LN476" s="33"/>
      <c r="LO476" s="33"/>
      <c r="LP476" s="44"/>
      <c r="LQ476" s="44"/>
      <c r="LR476" s="44"/>
      <c r="LS476" s="44"/>
      <c r="LT476" s="44"/>
      <c r="LU476" s="44"/>
      <c r="LV476" s="44"/>
    </row>
    <row r="477" spans="1:334" x14ac:dyDescent="0.2">
      <c r="A477" s="1" t="s">
        <v>9232</v>
      </c>
      <c r="B477" s="1" t="s">
        <v>9227</v>
      </c>
      <c r="D477" s="1" t="s">
        <v>9233</v>
      </c>
      <c r="E477" s="1" t="s">
        <v>11</v>
      </c>
      <c r="H477" s="1" t="s">
        <v>9234</v>
      </c>
      <c r="J477" s="1" t="s">
        <v>9230</v>
      </c>
      <c r="K477" s="1">
        <v>2004</v>
      </c>
      <c r="L477" s="1" t="s">
        <v>9231</v>
      </c>
      <c r="M477" s="1" t="s">
        <v>7659</v>
      </c>
      <c r="N477" s="17" t="s">
        <v>7945</v>
      </c>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c r="CA477" s="33"/>
      <c r="CB477" s="33"/>
      <c r="CC477" s="33"/>
      <c r="CD477" s="33"/>
      <c r="CE477" s="33"/>
      <c r="CF477" s="33"/>
      <c r="CG477" s="33"/>
      <c r="CH477" s="33"/>
      <c r="CI477" s="33"/>
      <c r="CJ477" s="33"/>
      <c r="CK477" s="33"/>
      <c r="CL477" s="33"/>
      <c r="CM477" s="33"/>
      <c r="CN477" s="33"/>
      <c r="CO477" s="33"/>
      <c r="CP477" s="33"/>
      <c r="CQ477" s="33"/>
      <c r="CR477" s="33"/>
      <c r="CS477" s="33"/>
      <c r="CT477" s="33"/>
      <c r="CU477" s="33"/>
      <c r="CV477" s="33"/>
      <c r="CW477" s="33"/>
      <c r="CX477" s="33"/>
      <c r="CY477" s="33"/>
      <c r="CZ477" s="33"/>
      <c r="DA477" s="33"/>
      <c r="DB477" s="33"/>
      <c r="DC477" s="33"/>
      <c r="DD477" s="33"/>
      <c r="DE477" s="33"/>
      <c r="DF477" s="33"/>
      <c r="DG477" s="33"/>
      <c r="DH477" s="33"/>
      <c r="DI477" s="33"/>
      <c r="DJ477" s="33"/>
      <c r="DK477" s="33"/>
      <c r="DL477" s="33"/>
      <c r="DM477" s="33"/>
      <c r="DN477" s="33"/>
      <c r="DO477" s="33"/>
      <c r="DP477" s="33"/>
      <c r="DQ477" s="33"/>
      <c r="DR477" s="33"/>
      <c r="DS477" s="33"/>
      <c r="DT477" s="33"/>
      <c r="DU477" s="33"/>
      <c r="DV477" s="33"/>
      <c r="DW477" s="33"/>
      <c r="DX477" s="33"/>
      <c r="DY477" s="33"/>
      <c r="DZ477" s="33"/>
      <c r="EA477" s="33"/>
      <c r="EB477" s="33"/>
      <c r="EC477" s="33"/>
      <c r="ED477" s="33"/>
      <c r="EE477" s="33"/>
      <c r="EF477" s="33"/>
      <c r="EG477" s="33"/>
      <c r="EH477" s="33"/>
      <c r="EI477" s="33"/>
      <c r="EJ477" s="33"/>
      <c r="EK477" s="33"/>
      <c r="EL477" s="33"/>
      <c r="EM477" s="33"/>
      <c r="EN477" s="33"/>
      <c r="EO477" s="33"/>
      <c r="EP477" s="33"/>
      <c r="EQ477" s="33"/>
      <c r="ER477" s="33"/>
      <c r="ES477" s="33"/>
      <c r="ET477" s="33"/>
      <c r="EU477" s="33"/>
      <c r="EV477" s="33"/>
      <c r="EW477" s="33"/>
      <c r="EX477" s="33"/>
      <c r="EY477" s="33"/>
      <c r="EZ477" s="33"/>
      <c r="FA477" s="33"/>
      <c r="FB477" s="33"/>
      <c r="FC477" s="33"/>
      <c r="FD477" s="33"/>
      <c r="FE477" s="33"/>
      <c r="FF477" s="33"/>
      <c r="FG477" s="33"/>
      <c r="FH477" s="33"/>
      <c r="FI477" s="33"/>
      <c r="FJ477" s="33"/>
      <c r="FK477" s="33"/>
      <c r="FL477" s="33"/>
      <c r="FM477" s="33"/>
      <c r="FN477" s="33"/>
      <c r="FO477" s="33"/>
      <c r="FP477" s="33"/>
      <c r="FQ477" s="33"/>
      <c r="FR477" s="33"/>
      <c r="FS477" s="33"/>
      <c r="FT477" s="33"/>
      <c r="FU477" s="33"/>
      <c r="FV477" s="33"/>
      <c r="FW477" s="33"/>
      <c r="FX477" s="33"/>
      <c r="FY477" s="33"/>
      <c r="FZ477" s="33"/>
      <c r="GA477" s="33"/>
      <c r="GB477" s="33"/>
      <c r="GC477" s="33"/>
      <c r="GD477" s="33"/>
      <c r="GE477" s="33"/>
      <c r="GF477" s="33"/>
      <c r="GG477" s="33"/>
      <c r="GH477" s="33"/>
      <c r="GI477" s="33"/>
      <c r="GJ477" s="33"/>
      <c r="GK477" s="33"/>
      <c r="GL477" s="33"/>
      <c r="GM477" s="33"/>
      <c r="GN477" s="33"/>
      <c r="GO477" s="33"/>
      <c r="GP477" s="33"/>
      <c r="GQ477" s="33"/>
      <c r="GR477" s="33"/>
      <c r="GS477" s="33"/>
      <c r="GT477" s="33"/>
      <c r="GU477" s="33"/>
      <c r="GV477" s="33"/>
      <c r="GW477" s="33"/>
      <c r="GX477" s="33"/>
      <c r="GY477" s="33"/>
      <c r="GZ477" s="33"/>
      <c r="HA477" s="33"/>
      <c r="HB477" s="33"/>
      <c r="HC477" s="33"/>
      <c r="HD477" s="33"/>
      <c r="HE477" s="33"/>
      <c r="HF477" s="33"/>
      <c r="HG477" s="33"/>
      <c r="HH477" s="33"/>
      <c r="HI477" s="33"/>
      <c r="HJ477" s="33"/>
      <c r="HK477" s="33"/>
      <c r="HL477" s="33"/>
      <c r="HM477" s="33"/>
      <c r="HN477" s="33"/>
      <c r="HO477" s="33"/>
      <c r="HP477" s="33"/>
      <c r="HQ477" s="33"/>
      <c r="HR477" s="33"/>
      <c r="HS477" s="33"/>
      <c r="HT477" s="33"/>
      <c r="HU477" s="33"/>
      <c r="HV477" s="33"/>
      <c r="HW477" s="33"/>
      <c r="HX477" s="33"/>
      <c r="HY477" s="33"/>
      <c r="HZ477" s="33"/>
      <c r="IA477" s="33"/>
      <c r="IB477" s="33"/>
      <c r="IC477" s="33"/>
      <c r="ID477" s="33"/>
      <c r="IE477" s="33"/>
      <c r="IF477" s="33"/>
      <c r="IG477" s="33"/>
      <c r="IH477" s="33"/>
      <c r="II477" s="33"/>
      <c r="IJ477" s="33"/>
      <c r="IK477" s="33"/>
      <c r="IL477" s="33"/>
      <c r="IM477" s="33"/>
      <c r="IN477" s="33"/>
      <c r="IO477" s="33"/>
      <c r="IP477" s="33"/>
      <c r="IQ477" s="33"/>
      <c r="IR477" s="33"/>
      <c r="IS477" s="33"/>
      <c r="IT477" s="33"/>
      <c r="IU477" s="33"/>
      <c r="IV477" s="33"/>
      <c r="IW477" s="33"/>
      <c r="IX477" s="33"/>
      <c r="IY477" s="33"/>
      <c r="IZ477" s="33"/>
      <c r="JA477" s="33"/>
      <c r="JB477" s="33"/>
      <c r="JC477" s="33"/>
      <c r="JD477" s="33"/>
      <c r="JE477" s="33"/>
      <c r="JF477" s="33"/>
      <c r="JG477" s="33"/>
      <c r="JH477" s="33"/>
      <c r="JI477" s="33"/>
      <c r="JJ477" s="33"/>
      <c r="JK477" s="33"/>
      <c r="JL477" s="33"/>
      <c r="JM477" s="33"/>
      <c r="JN477" s="33"/>
      <c r="JO477" s="33"/>
      <c r="JP477" s="33"/>
      <c r="JQ477" s="33"/>
      <c r="JR477" s="33"/>
      <c r="KZ477" s="33"/>
      <c r="LA477" s="33"/>
      <c r="LB477" s="33"/>
      <c r="LC477" s="33"/>
      <c r="LD477" s="33"/>
      <c r="LE477" s="33"/>
      <c r="LF477" s="33"/>
      <c r="LG477" s="33"/>
      <c r="LH477" s="33"/>
      <c r="LI477" s="33"/>
      <c r="LJ477" s="33"/>
      <c r="LK477" s="33" t="s">
        <v>15</v>
      </c>
      <c r="LL477" s="33"/>
      <c r="LM477" s="33"/>
      <c r="LN477" s="33"/>
      <c r="LO477" s="33"/>
      <c r="LP477" s="44"/>
      <c r="LQ477" s="44"/>
      <c r="LR477" s="44"/>
      <c r="LS477" s="44"/>
      <c r="LT477" s="44"/>
      <c r="LU477" s="44"/>
      <c r="LV477" s="44"/>
    </row>
    <row r="478" spans="1:334" x14ac:dyDescent="0.2">
      <c r="A478" s="1" t="s">
        <v>9235</v>
      </c>
      <c r="B478" s="1" t="s">
        <v>9236</v>
      </c>
      <c r="D478" s="1" t="s">
        <v>9237</v>
      </c>
      <c r="E478" s="1" t="s">
        <v>7</v>
      </c>
      <c r="F478" s="1" t="s">
        <v>8194</v>
      </c>
      <c r="J478" s="1" t="s">
        <v>9238</v>
      </c>
      <c r="K478" s="1">
        <v>2008</v>
      </c>
      <c r="L478" s="1" t="s">
        <v>9239</v>
      </c>
      <c r="M478" s="1" t="s">
        <v>7659</v>
      </c>
      <c r="N478" s="17" t="s">
        <v>7945</v>
      </c>
      <c r="O478" s="33"/>
      <c r="P478" s="33"/>
      <c r="Q478" s="33"/>
      <c r="R478" s="33"/>
      <c r="S478" s="33">
        <v>9</v>
      </c>
      <c r="T478" s="33"/>
      <c r="U478" s="33"/>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33"/>
      <c r="BC478" s="33"/>
      <c r="BD478" s="33"/>
      <c r="BE478" s="33"/>
      <c r="BF478" s="33"/>
      <c r="BG478" s="33"/>
      <c r="BH478" s="33"/>
      <c r="BI478" s="33"/>
      <c r="BJ478" s="33"/>
      <c r="BK478" s="33"/>
      <c r="BL478" s="33"/>
      <c r="BM478" s="33"/>
      <c r="BN478" s="33"/>
      <c r="BO478" s="33"/>
      <c r="BP478" s="33"/>
      <c r="BQ478" s="33"/>
      <c r="BR478" s="33"/>
      <c r="BS478" s="33"/>
      <c r="BT478" s="33"/>
      <c r="BU478" s="33"/>
      <c r="BV478" s="33"/>
      <c r="BW478" s="33"/>
      <c r="BX478" s="33"/>
      <c r="BY478" s="33"/>
      <c r="BZ478" s="33"/>
      <c r="CA478" s="33"/>
      <c r="CB478" s="33"/>
      <c r="CC478" s="33"/>
      <c r="CD478" s="33"/>
      <c r="CE478" s="33"/>
      <c r="CF478" s="33"/>
      <c r="CG478" s="33"/>
      <c r="CH478" s="33"/>
      <c r="CI478" s="33"/>
      <c r="CJ478" s="33"/>
      <c r="CK478" s="33"/>
      <c r="CL478" s="33"/>
      <c r="CM478" s="33"/>
      <c r="CN478" s="33"/>
      <c r="CO478" s="33"/>
      <c r="CP478" s="33"/>
      <c r="CQ478" s="33"/>
      <c r="CR478" s="33"/>
      <c r="CS478" s="33">
        <v>3.1395</v>
      </c>
      <c r="CT478" s="33"/>
      <c r="CU478" s="33"/>
      <c r="CV478" s="33"/>
      <c r="CW478" s="33"/>
      <c r="CX478" s="33"/>
      <c r="CY478" s="33"/>
      <c r="CZ478" s="33"/>
      <c r="DA478" s="33">
        <v>0.40039999999999998</v>
      </c>
      <c r="DB478" s="33"/>
      <c r="DC478" s="33"/>
      <c r="DD478" s="33"/>
      <c r="DE478" s="33"/>
      <c r="DF478" s="33"/>
      <c r="DG478" s="33"/>
      <c r="DH478" s="33"/>
      <c r="DI478" s="33"/>
      <c r="DJ478" s="33"/>
      <c r="DK478" s="33"/>
      <c r="DL478" s="33"/>
      <c r="DM478" s="33"/>
      <c r="DN478" s="33"/>
      <c r="DO478" s="33"/>
      <c r="DP478" s="33"/>
      <c r="DQ478" s="33"/>
      <c r="DR478" s="33"/>
      <c r="DS478" s="33"/>
      <c r="DT478" s="33"/>
      <c r="DU478" s="33"/>
      <c r="DV478" s="33"/>
      <c r="DW478" s="33"/>
      <c r="DX478" s="33"/>
      <c r="DY478" s="33"/>
      <c r="DZ478" s="33"/>
      <c r="EA478" s="33"/>
      <c r="EB478" s="33"/>
      <c r="EC478" s="33"/>
      <c r="ED478" s="33"/>
      <c r="EE478" s="33"/>
      <c r="EF478" s="33"/>
      <c r="EG478" s="33"/>
      <c r="EH478" s="33"/>
      <c r="EI478" s="33"/>
      <c r="EJ478" s="33"/>
      <c r="EK478" s="33"/>
      <c r="EL478" s="33"/>
      <c r="EM478" s="33"/>
      <c r="EN478" s="33"/>
      <c r="EO478" s="33"/>
      <c r="EP478" s="33"/>
      <c r="EQ478" s="33"/>
      <c r="ER478" s="33"/>
      <c r="ES478" s="33"/>
      <c r="ET478" s="33"/>
      <c r="EU478" s="33"/>
      <c r="EV478" s="33"/>
      <c r="EW478" s="33"/>
      <c r="EX478" s="33"/>
      <c r="EY478" s="33"/>
      <c r="EZ478" s="33"/>
      <c r="FA478" s="33"/>
      <c r="FB478" s="33"/>
      <c r="FC478" s="33"/>
      <c r="FD478" s="33"/>
      <c r="FE478" s="33"/>
      <c r="FF478" s="33"/>
      <c r="FG478" s="33"/>
      <c r="FH478" s="33"/>
      <c r="FI478" s="33"/>
      <c r="FJ478" s="33"/>
      <c r="FK478" s="33"/>
      <c r="FL478" s="33"/>
      <c r="FM478" s="33"/>
      <c r="FN478" s="33"/>
      <c r="FO478" s="33"/>
      <c r="FP478" s="33"/>
      <c r="FQ478" s="33"/>
      <c r="FR478" s="33"/>
      <c r="FS478" s="33"/>
      <c r="FT478" s="33"/>
      <c r="FU478" s="33"/>
      <c r="FV478" s="33"/>
      <c r="FW478" s="33"/>
      <c r="FX478" s="33"/>
      <c r="FY478" s="33"/>
      <c r="FZ478" s="33"/>
      <c r="GA478" s="33"/>
      <c r="GB478" s="33"/>
      <c r="GC478" s="33"/>
      <c r="GD478" s="33"/>
      <c r="GE478" s="33"/>
      <c r="GF478" s="33"/>
      <c r="GG478" s="33"/>
      <c r="GH478" s="33"/>
      <c r="GI478" s="33"/>
      <c r="GJ478" s="33"/>
      <c r="GK478" s="33"/>
      <c r="GL478" s="33"/>
      <c r="GM478" s="33"/>
      <c r="GN478" s="33"/>
      <c r="GO478" s="33"/>
      <c r="GP478" s="33"/>
      <c r="GQ478" s="33"/>
      <c r="GR478" s="33"/>
      <c r="GS478" s="33"/>
      <c r="GT478" s="33"/>
      <c r="GU478" s="33"/>
      <c r="GV478" s="33"/>
      <c r="GW478" s="33"/>
      <c r="GX478" s="33"/>
      <c r="GY478" s="33"/>
      <c r="GZ478" s="33"/>
      <c r="HA478" s="33"/>
      <c r="HB478" s="33"/>
      <c r="HC478" s="33"/>
      <c r="HD478" s="33"/>
      <c r="HE478" s="33"/>
      <c r="HF478" s="33"/>
      <c r="HG478" s="33"/>
      <c r="HH478" s="33"/>
      <c r="HI478" s="33"/>
      <c r="HJ478" s="33"/>
      <c r="HK478" s="33"/>
      <c r="HL478" s="33"/>
      <c r="HM478" s="33"/>
      <c r="HN478" s="33"/>
      <c r="HO478" s="33"/>
      <c r="HP478" s="33"/>
      <c r="HQ478" s="33"/>
      <c r="HR478" s="33"/>
      <c r="HS478" s="33"/>
      <c r="HT478" s="33"/>
      <c r="HU478" s="33"/>
      <c r="HV478" s="33"/>
      <c r="HW478" s="33"/>
      <c r="HX478" s="33"/>
      <c r="HY478" s="33"/>
      <c r="HZ478" s="33"/>
      <c r="IA478" s="33"/>
      <c r="IB478" s="33"/>
      <c r="IC478" s="33"/>
      <c r="ID478" s="33"/>
      <c r="IE478" s="33"/>
      <c r="IF478" s="33"/>
      <c r="IG478" s="33"/>
      <c r="IH478" s="33"/>
      <c r="II478" s="33"/>
      <c r="IJ478" s="33"/>
      <c r="IK478" s="33"/>
      <c r="IL478" s="33"/>
      <c r="IM478" s="33"/>
      <c r="IN478" s="33"/>
      <c r="IO478" s="33"/>
      <c r="IP478" s="33"/>
      <c r="IQ478" s="33"/>
      <c r="IR478" s="33"/>
      <c r="IS478" s="33"/>
      <c r="IT478" s="33"/>
      <c r="IU478" s="33"/>
      <c r="IV478" s="33"/>
      <c r="IW478" s="33"/>
      <c r="IX478" s="33"/>
      <c r="IY478" s="33"/>
      <c r="IZ478" s="33"/>
      <c r="JA478" s="33"/>
      <c r="JB478" s="33"/>
      <c r="JC478" s="33"/>
      <c r="JD478" s="33"/>
      <c r="JE478" s="33"/>
      <c r="JF478" s="33"/>
      <c r="JG478" s="33"/>
      <c r="JH478" s="33"/>
      <c r="JI478" s="33"/>
      <c r="JJ478" s="33"/>
      <c r="JK478" s="33"/>
      <c r="JL478" s="33"/>
      <c r="JM478" s="33"/>
      <c r="JN478" s="33"/>
      <c r="JO478" s="33"/>
      <c r="JP478" s="33"/>
      <c r="JQ478" s="33"/>
      <c r="JR478" s="33"/>
      <c r="KZ478" s="33"/>
      <c r="LA478" s="33">
        <v>50.96</v>
      </c>
      <c r="LB478" s="33"/>
      <c r="LC478" s="33"/>
      <c r="LD478" s="33"/>
      <c r="LE478" s="33"/>
      <c r="LF478" s="33"/>
      <c r="LG478" s="33"/>
      <c r="LH478" s="33"/>
      <c r="LI478" s="33"/>
      <c r="LJ478" s="33"/>
      <c r="LK478" s="33"/>
      <c r="LL478" s="33"/>
      <c r="LM478" s="33"/>
      <c r="LN478" s="33"/>
      <c r="LO478" s="33"/>
      <c r="LP478" s="44"/>
      <c r="LQ478" s="44"/>
      <c r="LR478" s="44"/>
      <c r="LS478" s="44"/>
      <c r="LT478" s="44"/>
      <c r="LU478" s="44"/>
      <c r="LV478" s="44"/>
    </row>
    <row r="479" spans="1:334" x14ac:dyDescent="0.2">
      <c r="A479" s="1" t="s">
        <v>9240</v>
      </c>
      <c r="B479" s="1" t="s">
        <v>9236</v>
      </c>
      <c r="D479" s="1" t="s">
        <v>9241</v>
      </c>
      <c r="E479" s="1" t="s">
        <v>7</v>
      </c>
      <c r="F479" s="1" t="s">
        <v>688</v>
      </c>
      <c r="J479" s="1" t="s">
        <v>9238</v>
      </c>
      <c r="K479" s="1">
        <v>2008</v>
      </c>
      <c r="L479" s="1" t="s">
        <v>9239</v>
      </c>
      <c r="M479" s="1" t="s">
        <v>7659</v>
      </c>
      <c r="N479" s="17" t="s">
        <v>7945</v>
      </c>
      <c r="O479" s="33"/>
      <c r="P479" s="33"/>
      <c r="Q479" s="33"/>
      <c r="R479" s="33"/>
      <c r="S479" s="33">
        <v>9</v>
      </c>
      <c r="T479" s="33"/>
      <c r="U479" s="33"/>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33"/>
      <c r="BE479" s="33"/>
      <c r="BF479" s="33"/>
      <c r="BG479" s="33"/>
      <c r="BH479" s="33"/>
      <c r="BI479" s="33"/>
      <c r="BJ479" s="33"/>
      <c r="BK479" s="33"/>
      <c r="BL479" s="33"/>
      <c r="BM479" s="33"/>
      <c r="BN479" s="33"/>
      <c r="BO479" s="33"/>
      <c r="BP479" s="33"/>
      <c r="BQ479" s="33"/>
      <c r="BR479" s="33"/>
      <c r="BS479" s="33"/>
      <c r="BT479" s="33"/>
      <c r="BU479" s="33"/>
      <c r="BV479" s="33"/>
      <c r="BW479" s="33"/>
      <c r="BX479" s="33"/>
      <c r="BY479" s="33"/>
      <c r="BZ479" s="33"/>
      <c r="CA479" s="33"/>
      <c r="CB479" s="33"/>
      <c r="CC479" s="33"/>
      <c r="CD479" s="33"/>
      <c r="CE479" s="33"/>
      <c r="CF479" s="33"/>
      <c r="CG479" s="33"/>
      <c r="CH479" s="33"/>
      <c r="CI479" s="33"/>
      <c r="CJ479" s="33"/>
      <c r="CK479" s="33"/>
      <c r="CL479" s="33"/>
      <c r="CM479" s="33"/>
      <c r="CN479" s="33"/>
      <c r="CO479" s="33"/>
      <c r="CP479" s="33"/>
      <c r="CQ479" s="33"/>
      <c r="CR479" s="33"/>
      <c r="CS479" s="33">
        <v>3.7946999999999997</v>
      </c>
      <c r="CT479" s="33"/>
      <c r="CU479" s="33"/>
      <c r="CV479" s="33"/>
      <c r="CW479" s="33"/>
      <c r="CX479" s="33"/>
      <c r="CY479" s="33"/>
      <c r="CZ479" s="33"/>
      <c r="DA479" s="33">
        <v>2.1111999999999997</v>
      </c>
      <c r="DB479" s="33"/>
      <c r="DC479" s="33"/>
      <c r="DD479" s="33"/>
      <c r="DE479" s="33"/>
      <c r="DF479" s="33"/>
      <c r="DG479" s="33"/>
      <c r="DH479" s="33"/>
      <c r="DI479" s="33"/>
      <c r="DJ479" s="33"/>
      <c r="DK479" s="33"/>
      <c r="DL479" s="33"/>
      <c r="DM479" s="33"/>
      <c r="DN479" s="33"/>
      <c r="DO479" s="33"/>
      <c r="DP479" s="33"/>
      <c r="DQ479" s="33"/>
      <c r="DR479" s="33"/>
      <c r="DS479" s="33"/>
      <c r="DT479" s="33"/>
      <c r="DU479" s="33"/>
      <c r="DV479" s="33"/>
      <c r="DW479" s="33"/>
      <c r="DX479" s="33"/>
      <c r="DY479" s="33"/>
      <c r="DZ479" s="33"/>
      <c r="EA479" s="33"/>
      <c r="EB479" s="33"/>
      <c r="EC479" s="33"/>
      <c r="ED479" s="33"/>
      <c r="EE479" s="33"/>
      <c r="EF479" s="33"/>
      <c r="EG479" s="33"/>
      <c r="EH479" s="33"/>
      <c r="EI479" s="33"/>
      <c r="EJ479" s="33"/>
      <c r="EK479" s="33"/>
      <c r="EL479" s="33"/>
      <c r="EM479" s="33"/>
      <c r="EN479" s="33"/>
      <c r="EO479" s="33"/>
      <c r="EP479" s="33"/>
      <c r="EQ479" s="33"/>
      <c r="ER479" s="33"/>
      <c r="ES479" s="33"/>
      <c r="ET479" s="33"/>
      <c r="EU479" s="33"/>
      <c r="EV479" s="33"/>
      <c r="EW479" s="33"/>
      <c r="EX479" s="33"/>
      <c r="EY479" s="33"/>
      <c r="EZ479" s="33"/>
      <c r="FA479" s="33"/>
      <c r="FB479" s="33"/>
      <c r="FC479" s="33"/>
      <c r="FD479" s="33"/>
      <c r="FE479" s="33"/>
      <c r="FF479" s="33"/>
      <c r="FG479" s="33"/>
      <c r="FH479" s="33"/>
      <c r="FI479" s="33"/>
      <c r="FJ479" s="33"/>
      <c r="FK479" s="33"/>
      <c r="FL479" s="33"/>
      <c r="FM479" s="33"/>
      <c r="FN479" s="33"/>
      <c r="FO479" s="33"/>
      <c r="FP479" s="33"/>
      <c r="FQ479" s="33"/>
      <c r="FR479" s="33"/>
      <c r="FS479" s="33"/>
      <c r="FT479" s="33"/>
      <c r="FU479" s="33"/>
      <c r="FV479" s="33"/>
      <c r="FW479" s="33"/>
      <c r="FX479" s="33"/>
      <c r="FY479" s="33"/>
      <c r="FZ479" s="33"/>
      <c r="GA479" s="33"/>
      <c r="GB479" s="33"/>
      <c r="GC479" s="33"/>
      <c r="GD479" s="33"/>
      <c r="GE479" s="33"/>
      <c r="GF479" s="33"/>
      <c r="GG479" s="33"/>
      <c r="GH479" s="33"/>
      <c r="GI479" s="33"/>
      <c r="GJ479" s="33"/>
      <c r="GK479" s="33"/>
      <c r="GL479" s="33"/>
      <c r="GM479" s="33"/>
      <c r="GN479" s="33"/>
      <c r="GO479" s="33"/>
      <c r="GP479" s="33"/>
      <c r="GQ479" s="33"/>
      <c r="GR479" s="33"/>
      <c r="GS479" s="33"/>
      <c r="GT479" s="33"/>
      <c r="GU479" s="33"/>
      <c r="GV479" s="33"/>
      <c r="GW479" s="33"/>
      <c r="GX479" s="33"/>
      <c r="GY479" s="33"/>
      <c r="GZ479" s="33"/>
      <c r="HA479" s="33"/>
      <c r="HB479" s="33"/>
      <c r="HC479" s="33"/>
      <c r="HD479" s="33"/>
      <c r="HE479" s="33"/>
      <c r="HF479" s="33"/>
      <c r="HG479" s="33"/>
      <c r="HH479" s="33"/>
      <c r="HI479" s="33"/>
      <c r="HJ479" s="33"/>
      <c r="HK479" s="33"/>
      <c r="HL479" s="33"/>
      <c r="HM479" s="33"/>
      <c r="HN479" s="33"/>
      <c r="HO479" s="33"/>
      <c r="HP479" s="33"/>
      <c r="HQ479" s="33"/>
      <c r="HR479" s="33"/>
      <c r="HS479" s="33"/>
      <c r="HT479" s="33"/>
      <c r="HU479" s="33"/>
      <c r="HV479" s="33"/>
      <c r="HW479" s="33"/>
      <c r="HX479" s="33"/>
      <c r="HY479" s="33"/>
      <c r="HZ479" s="33"/>
      <c r="IA479" s="33"/>
      <c r="IB479" s="33"/>
      <c r="IC479" s="33"/>
      <c r="ID479" s="33"/>
      <c r="IE479" s="33"/>
      <c r="IF479" s="33"/>
      <c r="IG479" s="33"/>
      <c r="IH479" s="33"/>
      <c r="II479" s="33"/>
      <c r="IJ479" s="33"/>
      <c r="IK479" s="33"/>
      <c r="IL479" s="33"/>
      <c r="IM479" s="33"/>
      <c r="IN479" s="33"/>
      <c r="IO479" s="33"/>
      <c r="IP479" s="33"/>
      <c r="IQ479" s="33"/>
      <c r="IR479" s="33"/>
      <c r="IS479" s="33"/>
      <c r="IT479" s="33"/>
      <c r="IU479" s="33"/>
      <c r="IV479" s="33"/>
      <c r="IW479" s="33"/>
      <c r="IX479" s="33"/>
      <c r="IY479" s="33"/>
      <c r="IZ479" s="33"/>
      <c r="JA479" s="33"/>
      <c r="JB479" s="33"/>
      <c r="JC479" s="33"/>
      <c r="JD479" s="33"/>
      <c r="JE479" s="33"/>
      <c r="JF479" s="33"/>
      <c r="JG479" s="33"/>
      <c r="JH479" s="33"/>
      <c r="JI479" s="33"/>
      <c r="JJ479" s="33"/>
      <c r="JK479" s="33"/>
      <c r="JL479" s="33"/>
      <c r="JM479" s="33"/>
      <c r="JN479" s="33"/>
      <c r="JO479" s="33"/>
      <c r="JP479" s="33"/>
      <c r="JQ479" s="33"/>
      <c r="JR479" s="33"/>
      <c r="KZ479" s="33"/>
      <c r="LA479" s="33">
        <v>63.7</v>
      </c>
      <c r="LB479" s="33"/>
      <c r="LC479" s="33"/>
      <c r="LD479" s="33"/>
      <c r="LE479" s="33"/>
      <c r="LF479" s="33"/>
      <c r="LG479" s="33"/>
      <c r="LH479" s="33"/>
      <c r="LI479" s="33"/>
      <c r="LJ479" s="33"/>
      <c r="LK479" s="33"/>
      <c r="LL479" s="33"/>
      <c r="LM479" s="33"/>
      <c r="LN479" s="33"/>
      <c r="LO479" s="33"/>
      <c r="LP479" s="44"/>
      <c r="LQ479" s="44"/>
      <c r="LR479" s="44"/>
      <c r="LS479" s="44"/>
      <c r="LT479" s="44"/>
      <c r="LU479" s="44"/>
      <c r="LV479" s="44"/>
    </row>
    <row r="480" spans="1:334" x14ac:dyDescent="0.2">
      <c r="A480" s="1" t="s">
        <v>9242</v>
      </c>
      <c r="B480" s="1" t="s">
        <v>9236</v>
      </c>
      <c r="D480" s="1" t="s">
        <v>9243</v>
      </c>
      <c r="E480" s="1" t="s">
        <v>7</v>
      </c>
      <c r="F480" s="1" t="s">
        <v>8024</v>
      </c>
      <c r="J480" s="1" t="s">
        <v>9238</v>
      </c>
      <c r="K480" s="1">
        <v>2008</v>
      </c>
      <c r="L480" s="1" t="s">
        <v>9239</v>
      </c>
      <c r="M480" s="1" t="s">
        <v>7659</v>
      </c>
      <c r="N480" s="17" t="s">
        <v>7945</v>
      </c>
      <c r="O480" s="33"/>
      <c r="P480" s="33"/>
      <c r="Q480" s="33"/>
      <c r="R480" s="33"/>
      <c r="S480" s="33">
        <v>9</v>
      </c>
      <c r="T480" s="33"/>
      <c r="U480" s="33"/>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33"/>
      <c r="BC480" s="33"/>
      <c r="BD480" s="33"/>
      <c r="BE480" s="33"/>
      <c r="BF480" s="33"/>
      <c r="BG480" s="33"/>
      <c r="BH480" s="33"/>
      <c r="BI480" s="33"/>
      <c r="BJ480" s="33"/>
      <c r="BK480" s="33"/>
      <c r="BL480" s="33"/>
      <c r="BM480" s="33"/>
      <c r="BN480" s="33"/>
      <c r="BO480" s="33"/>
      <c r="BP480" s="33"/>
      <c r="BQ480" s="33"/>
      <c r="BR480" s="33"/>
      <c r="BS480" s="33"/>
      <c r="BT480" s="33"/>
      <c r="BU480" s="33"/>
      <c r="BV480" s="33"/>
      <c r="BW480" s="33"/>
      <c r="BX480" s="33"/>
      <c r="BY480" s="33"/>
      <c r="BZ480" s="33"/>
      <c r="CA480" s="33"/>
      <c r="CB480" s="33"/>
      <c r="CC480" s="33"/>
      <c r="CD480" s="33"/>
      <c r="CE480" s="33"/>
      <c r="CF480" s="33"/>
      <c r="CG480" s="33"/>
      <c r="CH480" s="33"/>
      <c r="CI480" s="33"/>
      <c r="CJ480" s="33"/>
      <c r="CK480" s="33"/>
      <c r="CL480" s="33"/>
      <c r="CM480" s="33"/>
      <c r="CN480" s="33"/>
      <c r="CO480" s="33"/>
      <c r="CP480" s="33"/>
      <c r="CQ480" s="33"/>
      <c r="CR480" s="33"/>
      <c r="CS480" s="33">
        <v>4.8503000000000007</v>
      </c>
      <c r="CT480" s="33"/>
      <c r="CU480" s="33"/>
      <c r="CV480" s="33"/>
      <c r="CW480" s="33"/>
      <c r="CX480" s="33"/>
      <c r="CY480" s="33"/>
      <c r="CZ480" s="33"/>
      <c r="DA480" s="33">
        <v>2.7664</v>
      </c>
      <c r="DB480" s="33"/>
      <c r="DC480" s="33"/>
      <c r="DD480" s="33"/>
      <c r="DE480" s="33"/>
      <c r="DF480" s="33"/>
      <c r="DG480" s="33"/>
      <c r="DH480" s="33"/>
      <c r="DI480" s="33"/>
      <c r="DJ480" s="33"/>
      <c r="DK480" s="33"/>
      <c r="DL480" s="33"/>
      <c r="DM480" s="33"/>
      <c r="DN480" s="33"/>
      <c r="DO480" s="33"/>
      <c r="DP480" s="33"/>
      <c r="DQ480" s="33"/>
      <c r="DR480" s="33"/>
      <c r="DS480" s="33"/>
      <c r="DT480" s="33"/>
      <c r="DU480" s="33"/>
      <c r="DV480" s="33"/>
      <c r="DW480" s="33"/>
      <c r="DX480" s="33"/>
      <c r="DY480" s="33"/>
      <c r="DZ480" s="33"/>
      <c r="EA480" s="33"/>
      <c r="EB480" s="33"/>
      <c r="EC480" s="33"/>
      <c r="ED480" s="33"/>
      <c r="EE480" s="33"/>
      <c r="EF480" s="33"/>
      <c r="EG480" s="33"/>
      <c r="EH480" s="33"/>
      <c r="EI480" s="33"/>
      <c r="EJ480" s="33"/>
      <c r="EK480" s="33"/>
      <c r="EL480" s="33"/>
      <c r="EM480" s="33"/>
      <c r="EN480" s="33"/>
      <c r="EO480" s="33"/>
      <c r="EP480" s="33"/>
      <c r="EQ480" s="33"/>
      <c r="ER480" s="33"/>
      <c r="ES480" s="33"/>
      <c r="ET480" s="33"/>
      <c r="EU480" s="33"/>
      <c r="EV480" s="33"/>
      <c r="EW480" s="33"/>
      <c r="EX480" s="33"/>
      <c r="EY480" s="33"/>
      <c r="EZ480" s="33"/>
      <c r="FA480" s="33"/>
      <c r="FB480" s="33"/>
      <c r="FC480" s="33"/>
      <c r="FD480" s="33"/>
      <c r="FE480" s="33"/>
      <c r="FF480" s="33"/>
      <c r="FG480" s="33"/>
      <c r="FH480" s="33"/>
      <c r="FI480" s="33"/>
      <c r="FJ480" s="33"/>
      <c r="FK480" s="33"/>
      <c r="FL480" s="33"/>
      <c r="FM480" s="33"/>
      <c r="FN480" s="33"/>
      <c r="FO480" s="33"/>
      <c r="FP480" s="33"/>
      <c r="FQ480" s="33"/>
      <c r="FR480" s="33"/>
      <c r="FS480" s="33"/>
      <c r="FT480" s="33"/>
      <c r="FU480" s="33"/>
      <c r="FV480" s="33"/>
      <c r="FW480" s="33"/>
      <c r="FX480" s="33"/>
      <c r="FY480" s="33"/>
      <c r="FZ480" s="33"/>
      <c r="GA480" s="33"/>
      <c r="GB480" s="33"/>
      <c r="GC480" s="33"/>
      <c r="GD480" s="33"/>
      <c r="GE480" s="33"/>
      <c r="GF480" s="33"/>
      <c r="GG480" s="33"/>
      <c r="GH480" s="33"/>
      <c r="GI480" s="33"/>
      <c r="GJ480" s="33"/>
      <c r="GK480" s="33"/>
      <c r="GL480" s="33"/>
      <c r="GM480" s="33"/>
      <c r="GN480" s="33"/>
      <c r="GO480" s="33"/>
      <c r="GP480" s="33"/>
      <c r="GQ480" s="33"/>
      <c r="GR480" s="33"/>
      <c r="GS480" s="33"/>
      <c r="GT480" s="33"/>
      <c r="GU480" s="33"/>
      <c r="GV480" s="33"/>
      <c r="GW480" s="33"/>
      <c r="GX480" s="33"/>
      <c r="GY480" s="33"/>
      <c r="GZ480" s="33"/>
      <c r="HA480" s="33"/>
      <c r="HB480" s="33"/>
      <c r="HC480" s="33"/>
      <c r="HD480" s="33"/>
      <c r="HE480" s="33"/>
      <c r="HF480" s="33"/>
      <c r="HG480" s="33"/>
      <c r="HH480" s="33"/>
      <c r="HI480" s="33"/>
      <c r="HJ480" s="33"/>
      <c r="HK480" s="33"/>
      <c r="HL480" s="33"/>
      <c r="HM480" s="33"/>
      <c r="HN480" s="33"/>
      <c r="HO480" s="33"/>
      <c r="HP480" s="33"/>
      <c r="HQ480" s="33"/>
      <c r="HR480" s="33"/>
      <c r="HS480" s="33"/>
      <c r="HT480" s="33"/>
      <c r="HU480" s="33"/>
      <c r="HV480" s="33"/>
      <c r="HW480" s="33"/>
      <c r="HX480" s="33"/>
      <c r="HY480" s="33"/>
      <c r="HZ480" s="33"/>
      <c r="IA480" s="33"/>
      <c r="IB480" s="33"/>
      <c r="IC480" s="33"/>
      <c r="ID480" s="33"/>
      <c r="IE480" s="33"/>
      <c r="IF480" s="33"/>
      <c r="IG480" s="33"/>
      <c r="IH480" s="33"/>
      <c r="II480" s="33"/>
      <c r="IJ480" s="33"/>
      <c r="IK480" s="33"/>
      <c r="IL480" s="33"/>
      <c r="IM480" s="33"/>
      <c r="IN480" s="33"/>
      <c r="IO480" s="33"/>
      <c r="IP480" s="33"/>
      <c r="IQ480" s="33"/>
      <c r="IR480" s="33"/>
      <c r="IS480" s="33"/>
      <c r="IT480" s="33"/>
      <c r="IU480" s="33"/>
      <c r="IV480" s="33"/>
      <c r="IW480" s="33"/>
      <c r="IX480" s="33"/>
      <c r="IY480" s="33"/>
      <c r="IZ480" s="33"/>
      <c r="JA480" s="33"/>
      <c r="JB480" s="33"/>
      <c r="JC480" s="33"/>
      <c r="JD480" s="33"/>
      <c r="JE480" s="33"/>
      <c r="JF480" s="33"/>
      <c r="JG480" s="33"/>
      <c r="JH480" s="33"/>
      <c r="JI480" s="33"/>
      <c r="JJ480" s="33"/>
      <c r="JK480" s="33"/>
      <c r="JL480" s="33"/>
      <c r="JM480" s="33"/>
      <c r="JN480" s="33"/>
      <c r="JO480" s="33"/>
      <c r="JP480" s="33"/>
      <c r="JQ480" s="33"/>
      <c r="JR480" s="33"/>
      <c r="KZ480" s="33"/>
      <c r="LA480" s="33">
        <v>47.32</v>
      </c>
      <c r="LB480" s="33"/>
      <c r="LC480" s="33"/>
      <c r="LD480" s="33"/>
      <c r="LE480" s="33"/>
      <c r="LF480" s="33"/>
      <c r="LG480" s="33"/>
      <c r="LH480" s="33"/>
      <c r="LI480" s="33"/>
      <c r="LJ480" s="33"/>
      <c r="LK480" s="33"/>
      <c r="LL480" s="33"/>
      <c r="LM480" s="33"/>
      <c r="LN480" s="33"/>
      <c r="LO480" s="33"/>
      <c r="LP480" s="44"/>
      <c r="LQ480" s="44"/>
      <c r="LR480" s="44"/>
      <c r="LS480" s="44"/>
      <c r="LT480" s="44"/>
      <c r="LU480" s="44"/>
      <c r="LV480" s="44"/>
    </row>
    <row r="481" spans="1:334" x14ac:dyDescent="0.2">
      <c r="A481" s="1" t="s">
        <v>9244</v>
      </c>
      <c r="B481" s="1" t="s">
        <v>9245</v>
      </c>
      <c r="D481" s="1" t="s">
        <v>8123</v>
      </c>
      <c r="E481" s="1" t="s">
        <v>7</v>
      </c>
      <c r="F481" s="1" t="s">
        <v>688</v>
      </c>
      <c r="J481" s="1" t="s">
        <v>9246</v>
      </c>
      <c r="K481" s="1">
        <v>1994</v>
      </c>
      <c r="L481" s="1" t="s">
        <v>9247</v>
      </c>
      <c r="M481" s="1" t="s">
        <v>7659</v>
      </c>
      <c r="N481" s="17" t="s">
        <v>7945</v>
      </c>
      <c r="O481" s="33"/>
      <c r="P481" s="33"/>
      <c r="Q481" s="33"/>
      <c r="R481" s="33"/>
      <c r="S481" s="33">
        <v>9.8000000000000007</v>
      </c>
      <c r="T481" s="33"/>
      <c r="U481" s="33"/>
      <c r="V481" s="33"/>
      <c r="W481" s="33"/>
      <c r="X481" s="33"/>
      <c r="Y481" s="33"/>
      <c r="Z481" s="33"/>
      <c r="AA481" s="33"/>
      <c r="AB481" s="33"/>
      <c r="AC481" s="33"/>
      <c r="AD481" s="33"/>
      <c r="AE481" s="33"/>
      <c r="AF481" s="33"/>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33"/>
      <c r="BC481" s="33"/>
      <c r="BD481" s="33"/>
      <c r="BE481" s="33"/>
      <c r="BF481" s="33"/>
      <c r="BG481" s="33"/>
      <c r="BH481" s="33"/>
      <c r="BI481" s="33"/>
      <c r="BJ481" s="33"/>
      <c r="BK481" s="33"/>
      <c r="BL481" s="33"/>
      <c r="BM481" s="33"/>
      <c r="BN481" s="33"/>
      <c r="BO481" s="33"/>
      <c r="BP481" s="33"/>
      <c r="BQ481" s="33"/>
      <c r="BR481" s="33"/>
      <c r="BS481" s="33"/>
      <c r="BT481" s="33"/>
      <c r="BU481" s="33"/>
      <c r="BV481" s="33"/>
      <c r="BW481" s="33"/>
      <c r="BX481" s="33"/>
      <c r="BY481" s="33"/>
      <c r="BZ481" s="33"/>
      <c r="CA481" s="33"/>
      <c r="CB481" s="33"/>
      <c r="CC481" s="33"/>
      <c r="CD481" s="33"/>
      <c r="CE481" s="33"/>
      <c r="CF481" s="33"/>
      <c r="CG481" s="33"/>
      <c r="CH481" s="33"/>
      <c r="CI481" s="33"/>
      <c r="CJ481" s="33"/>
      <c r="CK481" s="33"/>
      <c r="CL481" s="33"/>
      <c r="CM481" s="33"/>
      <c r="CN481" s="33"/>
      <c r="CO481" s="33"/>
      <c r="CP481" s="33"/>
      <c r="CQ481" s="33"/>
      <c r="CR481" s="33"/>
      <c r="CS481" s="33"/>
      <c r="CT481" s="33"/>
      <c r="CU481" s="33"/>
      <c r="CV481" s="33"/>
      <c r="CW481" s="33"/>
      <c r="CX481" s="33"/>
      <c r="CY481" s="33"/>
      <c r="CZ481" s="33"/>
      <c r="DA481" s="33"/>
      <c r="DB481" s="33"/>
      <c r="DC481" s="33"/>
      <c r="DD481" s="33"/>
      <c r="DE481" s="33"/>
      <c r="DF481" s="33"/>
      <c r="DG481" s="33"/>
      <c r="DH481" s="33"/>
      <c r="DI481" s="33"/>
      <c r="DJ481" s="33"/>
      <c r="DK481" s="33"/>
      <c r="DL481" s="33"/>
      <c r="DM481" s="33"/>
      <c r="DN481" s="33"/>
      <c r="DO481" s="33"/>
      <c r="DP481" s="33"/>
      <c r="DQ481" s="33"/>
      <c r="DR481" s="33"/>
      <c r="DS481" s="33"/>
      <c r="DT481" s="33"/>
      <c r="DU481" s="33"/>
      <c r="DV481" s="33"/>
      <c r="DW481" s="33"/>
      <c r="DX481" s="33"/>
      <c r="DY481" s="33"/>
      <c r="DZ481" s="33"/>
      <c r="EA481" s="33"/>
      <c r="EB481" s="33"/>
      <c r="EC481" s="33"/>
      <c r="ED481" s="33"/>
      <c r="EE481" s="33"/>
      <c r="EF481" s="33"/>
      <c r="EG481" s="33"/>
      <c r="EH481" s="33"/>
      <c r="EI481" s="33"/>
      <c r="EJ481" s="33"/>
      <c r="EK481" s="33"/>
      <c r="EL481" s="33"/>
      <c r="EM481" s="33"/>
      <c r="EN481" s="33"/>
      <c r="EO481" s="33"/>
      <c r="EP481" s="33"/>
      <c r="EQ481" s="33"/>
      <c r="ER481" s="33"/>
      <c r="ES481" s="33"/>
      <c r="ET481" s="33"/>
      <c r="EU481" s="33"/>
      <c r="EV481" s="33"/>
      <c r="EW481" s="33"/>
      <c r="EX481" s="33"/>
      <c r="EY481" s="33"/>
      <c r="EZ481" s="33"/>
      <c r="FA481" s="33"/>
      <c r="FB481" s="33"/>
      <c r="FC481" s="33"/>
      <c r="FD481" s="33"/>
      <c r="FE481" s="33"/>
      <c r="FF481" s="33"/>
      <c r="FG481" s="33"/>
      <c r="FH481" s="33"/>
      <c r="FI481" s="33"/>
      <c r="FJ481" s="33"/>
      <c r="FK481" s="33"/>
      <c r="FL481" s="33"/>
      <c r="FM481" s="33"/>
      <c r="FN481" s="33"/>
      <c r="FO481" s="33"/>
      <c r="FP481" s="33"/>
      <c r="FQ481" s="33"/>
      <c r="FR481" s="33"/>
      <c r="FS481" s="33"/>
      <c r="FT481" s="33"/>
      <c r="FU481" s="33"/>
      <c r="FV481" s="33"/>
      <c r="FW481" s="33"/>
      <c r="FX481" s="33"/>
      <c r="FY481" s="33"/>
      <c r="FZ481" s="33"/>
      <c r="GA481" s="33"/>
      <c r="GB481" s="33"/>
      <c r="GC481" s="33"/>
      <c r="GD481" s="33"/>
      <c r="GE481" s="33"/>
      <c r="GF481" s="33"/>
      <c r="GG481" s="33"/>
      <c r="GH481" s="33"/>
      <c r="GI481" s="33"/>
      <c r="GJ481" s="33"/>
      <c r="GK481" s="33"/>
      <c r="GL481" s="33"/>
      <c r="GM481" s="33"/>
      <c r="GN481" s="33"/>
      <c r="GO481" s="33"/>
      <c r="GP481" s="33"/>
      <c r="GQ481" s="33"/>
      <c r="GR481" s="33"/>
      <c r="GS481" s="33"/>
      <c r="GT481" s="33"/>
      <c r="GU481" s="33"/>
      <c r="GV481" s="33"/>
      <c r="GW481" s="33"/>
      <c r="GX481" s="33"/>
      <c r="GY481" s="33"/>
      <c r="GZ481" s="33"/>
      <c r="HA481" s="33"/>
      <c r="HB481" s="33"/>
      <c r="HC481" s="33"/>
      <c r="HD481" s="33"/>
      <c r="HE481" s="33"/>
      <c r="HF481" s="33"/>
      <c r="HG481" s="33"/>
      <c r="HH481" s="33"/>
      <c r="HI481" s="33"/>
      <c r="HJ481" s="33"/>
      <c r="HK481" s="33"/>
      <c r="HL481" s="33"/>
      <c r="HM481" s="33"/>
      <c r="HN481" s="33"/>
      <c r="HO481" s="33"/>
      <c r="HP481" s="33"/>
      <c r="HQ481" s="33"/>
      <c r="HR481" s="33"/>
      <c r="HS481" s="33"/>
      <c r="HT481" s="33"/>
      <c r="HU481" s="33"/>
      <c r="HV481" s="33"/>
      <c r="HW481" s="33"/>
      <c r="HX481" s="33"/>
      <c r="HY481" s="33"/>
      <c r="HZ481" s="33"/>
      <c r="IA481" s="33"/>
      <c r="IB481" s="33"/>
      <c r="IC481" s="33"/>
      <c r="ID481" s="33"/>
      <c r="IE481" s="33"/>
      <c r="IF481" s="33"/>
      <c r="IG481" s="33"/>
      <c r="IH481" s="33"/>
      <c r="II481" s="33"/>
      <c r="IJ481" s="33"/>
      <c r="IK481" s="33"/>
      <c r="IL481" s="33"/>
      <c r="IM481" s="33"/>
      <c r="IN481" s="33"/>
      <c r="IO481" s="33"/>
      <c r="IP481" s="33"/>
      <c r="IQ481" s="33"/>
      <c r="IR481" s="33"/>
      <c r="IS481" s="33"/>
      <c r="IT481" s="33"/>
      <c r="IU481" s="33"/>
      <c r="IV481" s="33"/>
      <c r="IW481" s="33"/>
      <c r="IX481" s="33"/>
      <c r="IY481" s="33"/>
      <c r="IZ481" s="33"/>
      <c r="JA481" s="33"/>
      <c r="JB481" s="33"/>
      <c r="JC481" s="33"/>
      <c r="JD481" s="33"/>
      <c r="JE481" s="33"/>
      <c r="JF481" s="33"/>
      <c r="JG481" s="33"/>
      <c r="JH481" s="33"/>
      <c r="JI481" s="33"/>
      <c r="JJ481" s="33"/>
      <c r="JK481" s="33"/>
      <c r="JL481" s="33"/>
      <c r="JM481" s="33"/>
      <c r="JN481" s="33"/>
      <c r="JO481" s="33"/>
      <c r="JP481" s="33"/>
      <c r="JQ481" s="33"/>
      <c r="JR481" s="33"/>
      <c r="KZ481" s="33">
        <v>911.02</v>
      </c>
      <c r="LA481" s="33"/>
      <c r="LB481" s="33"/>
      <c r="LC481" s="33"/>
      <c r="LD481" s="33"/>
      <c r="LE481" s="33"/>
      <c r="LF481" s="33"/>
      <c r="LG481" s="33"/>
      <c r="LH481" s="33"/>
      <c r="LI481" s="33"/>
      <c r="LJ481" s="33"/>
      <c r="LK481" s="33"/>
      <c r="LL481" s="33"/>
      <c r="LM481" s="33"/>
      <c r="LN481" s="33"/>
      <c r="LO481" s="33"/>
      <c r="LP481" s="44"/>
      <c r="LQ481" s="44"/>
      <c r="LR481" s="44"/>
      <c r="LS481" s="44"/>
      <c r="LT481" s="44"/>
      <c r="LU481" s="44"/>
      <c r="LV481" s="44"/>
    </row>
    <row r="482" spans="1:334" x14ac:dyDescent="0.2">
      <c r="A482" s="1" t="s">
        <v>9248</v>
      </c>
      <c r="B482" s="1" t="s">
        <v>9245</v>
      </c>
      <c r="D482" s="1" t="s">
        <v>8148</v>
      </c>
      <c r="E482" s="1" t="s">
        <v>8099</v>
      </c>
      <c r="F482" s="1" t="s">
        <v>688</v>
      </c>
      <c r="J482" s="1" t="s">
        <v>9246</v>
      </c>
      <c r="K482" s="1">
        <v>1994</v>
      </c>
      <c r="L482" s="1" t="s">
        <v>9247</v>
      </c>
      <c r="M482" s="1" t="s">
        <v>7659</v>
      </c>
      <c r="N482" s="17" t="s">
        <v>7945</v>
      </c>
      <c r="O482" s="33"/>
      <c r="P482" s="33"/>
      <c r="Q482" s="33"/>
      <c r="R482" s="33"/>
      <c r="S482" s="33">
        <v>9.8000000000000007</v>
      </c>
      <c r="T482" s="33"/>
      <c r="U482" s="33"/>
      <c r="V482" s="33"/>
      <c r="W482" s="33"/>
      <c r="X482" s="33"/>
      <c r="Y482" s="33"/>
      <c r="Z482" s="33"/>
      <c r="AA482" s="33"/>
      <c r="AB482" s="33"/>
      <c r="AC482" s="33"/>
      <c r="AD482" s="33"/>
      <c r="AE482" s="33"/>
      <c r="AF482" s="33"/>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33"/>
      <c r="BE482" s="33"/>
      <c r="BF482" s="33"/>
      <c r="BG482" s="33"/>
      <c r="BH482" s="33"/>
      <c r="BI482" s="33"/>
      <c r="BJ482" s="33"/>
      <c r="BK482" s="33"/>
      <c r="BL482" s="33"/>
      <c r="BM482" s="33"/>
      <c r="BN482" s="33"/>
      <c r="BO482" s="33"/>
      <c r="BP482" s="33"/>
      <c r="BQ482" s="33"/>
      <c r="BR482" s="33"/>
      <c r="BS482" s="33"/>
      <c r="BT482" s="33"/>
      <c r="BU482" s="33"/>
      <c r="BV482" s="33"/>
      <c r="BW482" s="33"/>
      <c r="BX482" s="33"/>
      <c r="BY482" s="33"/>
      <c r="BZ482" s="33"/>
      <c r="CA482" s="33"/>
      <c r="CB482" s="33"/>
      <c r="CC482" s="33"/>
      <c r="CD482" s="33"/>
      <c r="CE482" s="33"/>
      <c r="CF482" s="33"/>
      <c r="CG482" s="33"/>
      <c r="CH482" s="33"/>
      <c r="CI482" s="33"/>
      <c r="CJ482" s="33"/>
      <c r="CK482" s="33"/>
      <c r="CL482" s="33"/>
      <c r="CM482" s="33"/>
      <c r="CN482" s="33"/>
      <c r="CO482" s="33"/>
      <c r="CP482" s="33"/>
      <c r="CQ482" s="33"/>
      <c r="CR482" s="33"/>
      <c r="CS482" s="33"/>
      <c r="CT482" s="33"/>
      <c r="CU482" s="33"/>
      <c r="CV482" s="33"/>
      <c r="CW482" s="33"/>
      <c r="CX482" s="33"/>
      <c r="CY482" s="33"/>
      <c r="CZ482" s="33"/>
      <c r="DA482" s="33"/>
      <c r="DB482" s="33"/>
      <c r="DC482" s="33"/>
      <c r="DD482" s="33"/>
      <c r="DE482" s="33"/>
      <c r="DF482" s="33"/>
      <c r="DG482" s="33"/>
      <c r="DH482" s="33"/>
      <c r="DI482" s="33"/>
      <c r="DJ482" s="33"/>
      <c r="DK482" s="33"/>
      <c r="DL482" s="33"/>
      <c r="DM482" s="33"/>
      <c r="DN482" s="33"/>
      <c r="DO482" s="33"/>
      <c r="DP482" s="33"/>
      <c r="DQ482" s="33"/>
      <c r="DR482" s="33"/>
      <c r="DS482" s="33"/>
      <c r="DT482" s="33"/>
      <c r="DU482" s="33"/>
      <c r="DV482" s="33"/>
      <c r="DW482" s="33"/>
      <c r="DX482" s="33"/>
      <c r="DY482" s="33"/>
      <c r="DZ482" s="33"/>
      <c r="EA482" s="33"/>
      <c r="EB482" s="33"/>
      <c r="EC482" s="33"/>
      <c r="ED482" s="33"/>
      <c r="EE482" s="33"/>
      <c r="EF482" s="33"/>
      <c r="EG482" s="33"/>
      <c r="EH482" s="33"/>
      <c r="EI482" s="33"/>
      <c r="EJ482" s="33"/>
      <c r="EK482" s="33"/>
      <c r="EL482" s="33"/>
      <c r="EM482" s="33"/>
      <c r="EN482" s="33"/>
      <c r="EO482" s="33"/>
      <c r="EP482" s="33"/>
      <c r="EQ482" s="33"/>
      <c r="ER482" s="33"/>
      <c r="ES482" s="33"/>
      <c r="ET482" s="33"/>
      <c r="EU482" s="33"/>
      <c r="EV482" s="33"/>
      <c r="EW482" s="33"/>
      <c r="EX482" s="33"/>
      <c r="EY482" s="33"/>
      <c r="EZ482" s="33"/>
      <c r="FA482" s="33"/>
      <c r="FB482" s="33"/>
      <c r="FC482" s="33"/>
      <c r="FD482" s="33"/>
      <c r="FE482" s="33"/>
      <c r="FF482" s="33"/>
      <c r="FG482" s="33"/>
      <c r="FH482" s="33"/>
      <c r="FI482" s="33"/>
      <c r="FJ482" s="33"/>
      <c r="FK482" s="33"/>
      <c r="FL482" s="33"/>
      <c r="FM482" s="33"/>
      <c r="FN482" s="33"/>
      <c r="FO482" s="33"/>
      <c r="FP482" s="33"/>
      <c r="FQ482" s="33"/>
      <c r="FR482" s="33"/>
      <c r="FS482" s="33"/>
      <c r="FT482" s="33"/>
      <c r="FU482" s="33"/>
      <c r="FV482" s="33"/>
      <c r="FW482" s="33"/>
      <c r="FX482" s="33"/>
      <c r="FY482" s="33"/>
      <c r="FZ482" s="33"/>
      <c r="GA482" s="33"/>
      <c r="GB482" s="33"/>
      <c r="GC482" s="33"/>
      <c r="GD482" s="33"/>
      <c r="GE482" s="33"/>
      <c r="GF482" s="33"/>
      <c r="GG482" s="33"/>
      <c r="GH482" s="33"/>
      <c r="GI482" s="33"/>
      <c r="GJ482" s="33"/>
      <c r="GK482" s="33"/>
      <c r="GL482" s="33"/>
      <c r="GM482" s="33"/>
      <c r="GN482" s="33"/>
      <c r="GO482" s="33"/>
      <c r="GP482" s="33"/>
      <c r="GQ482" s="33"/>
      <c r="GR482" s="33"/>
      <c r="GS482" s="33"/>
      <c r="GT482" s="33"/>
      <c r="GU482" s="33"/>
      <c r="GV482" s="33"/>
      <c r="GW482" s="33"/>
      <c r="GX482" s="33"/>
      <c r="GY482" s="33"/>
      <c r="GZ482" s="33"/>
      <c r="HA482" s="33"/>
      <c r="HB482" s="33"/>
      <c r="HC482" s="33"/>
      <c r="HD482" s="33"/>
      <c r="HE482" s="33"/>
      <c r="HF482" s="33"/>
      <c r="HG482" s="33"/>
      <c r="HH482" s="33"/>
      <c r="HI482" s="33"/>
      <c r="HJ482" s="33"/>
      <c r="HK482" s="33"/>
      <c r="HL482" s="33"/>
      <c r="HM482" s="33"/>
      <c r="HN482" s="33"/>
      <c r="HO482" s="33"/>
      <c r="HP482" s="33"/>
      <c r="HQ482" s="33"/>
      <c r="HR482" s="33"/>
      <c r="HS482" s="33"/>
      <c r="HT482" s="33"/>
      <c r="HU482" s="33"/>
      <c r="HV482" s="33"/>
      <c r="HW482" s="33"/>
      <c r="HX482" s="33"/>
      <c r="HY482" s="33"/>
      <c r="HZ482" s="33"/>
      <c r="IA482" s="33"/>
      <c r="IB482" s="33"/>
      <c r="IC482" s="33"/>
      <c r="ID482" s="33"/>
      <c r="IE482" s="33"/>
      <c r="IF482" s="33"/>
      <c r="IG482" s="33"/>
      <c r="IH482" s="33"/>
      <c r="II482" s="33"/>
      <c r="IJ482" s="33"/>
      <c r="IK482" s="33"/>
      <c r="IL482" s="33"/>
      <c r="IM482" s="33"/>
      <c r="IN482" s="33"/>
      <c r="IO482" s="33"/>
      <c r="IP482" s="33"/>
      <c r="IQ482" s="33"/>
      <c r="IR482" s="33"/>
      <c r="IS482" s="33"/>
      <c r="IT482" s="33"/>
      <c r="IU482" s="33"/>
      <c r="IV482" s="33"/>
      <c r="IW482" s="33"/>
      <c r="IX482" s="33"/>
      <c r="IY482" s="33"/>
      <c r="IZ482" s="33"/>
      <c r="JA482" s="33"/>
      <c r="JB482" s="33"/>
      <c r="JC482" s="33"/>
      <c r="JD482" s="33"/>
      <c r="JE482" s="33"/>
      <c r="JF482" s="33"/>
      <c r="JG482" s="33"/>
      <c r="JH482" s="33"/>
      <c r="JI482" s="33"/>
      <c r="JJ482" s="33"/>
      <c r="JK482" s="33"/>
      <c r="JL482" s="33"/>
      <c r="JM482" s="33"/>
      <c r="JN482" s="33"/>
      <c r="JO482" s="33"/>
      <c r="JP482" s="33"/>
      <c r="JQ482" s="33"/>
      <c r="JR482" s="33"/>
      <c r="KZ482" s="33">
        <v>820.82</v>
      </c>
      <c r="LA482" s="33"/>
      <c r="LB482" s="33"/>
      <c r="LC482" s="33"/>
      <c r="LD482" s="33"/>
      <c r="LE482" s="33"/>
      <c r="LF482" s="33"/>
      <c r="LG482" s="33"/>
      <c r="LH482" s="33"/>
      <c r="LI482" s="33"/>
      <c r="LJ482" s="33"/>
      <c r="LK482" s="33"/>
      <c r="LL482" s="33"/>
      <c r="LM482" s="33"/>
      <c r="LN482" s="33"/>
      <c r="LO482" s="33"/>
      <c r="LP482" s="44"/>
      <c r="LQ482" s="44"/>
      <c r="LR482" s="44"/>
      <c r="LS482" s="44"/>
      <c r="LT482" s="44"/>
      <c r="LU482" s="44"/>
      <c r="LV482" s="44"/>
    </row>
    <row r="483" spans="1:334" x14ac:dyDescent="0.2">
      <c r="A483" s="1" t="s">
        <v>9249</v>
      </c>
      <c r="B483" s="1" t="s">
        <v>9245</v>
      </c>
      <c r="D483" s="1" t="s">
        <v>9250</v>
      </c>
      <c r="E483" s="1" t="s">
        <v>7</v>
      </c>
      <c r="F483" s="1" t="s">
        <v>688</v>
      </c>
      <c r="J483" s="1" t="s">
        <v>9246</v>
      </c>
      <c r="K483" s="1">
        <v>1994</v>
      </c>
      <c r="L483" s="1" t="s">
        <v>9247</v>
      </c>
      <c r="M483" s="1" t="s">
        <v>7659</v>
      </c>
      <c r="N483" s="17" t="s">
        <v>7945</v>
      </c>
      <c r="O483" s="33"/>
      <c r="P483" s="33"/>
      <c r="Q483" s="33"/>
      <c r="R483" s="33"/>
      <c r="S483" s="33">
        <v>9.5</v>
      </c>
      <c r="T483" s="33"/>
      <c r="U483" s="33"/>
      <c r="V483" s="33"/>
      <c r="W483" s="33"/>
      <c r="X483" s="33"/>
      <c r="Y483" s="33"/>
      <c r="Z483" s="33"/>
      <c r="AA483" s="33"/>
      <c r="AB483" s="33"/>
      <c r="AC483" s="33"/>
      <c r="AD483" s="33"/>
      <c r="AE483" s="33"/>
      <c r="AF483" s="33"/>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c r="CM483" s="33"/>
      <c r="CN483" s="33"/>
      <c r="CO483" s="33"/>
      <c r="CP483" s="33"/>
      <c r="CQ483" s="33"/>
      <c r="CR483" s="33"/>
      <c r="CS483" s="33"/>
      <c r="CT483" s="33"/>
      <c r="CU483" s="33"/>
      <c r="CV483" s="33"/>
      <c r="CW483" s="33"/>
      <c r="CX483" s="33"/>
      <c r="CY483" s="33"/>
      <c r="CZ483" s="33"/>
      <c r="DA483" s="33"/>
      <c r="DB483" s="33"/>
      <c r="DC483" s="33"/>
      <c r="DD483" s="33"/>
      <c r="DE483" s="33"/>
      <c r="DF483" s="33"/>
      <c r="DG483" s="33"/>
      <c r="DH483" s="33"/>
      <c r="DI483" s="33"/>
      <c r="DJ483" s="33"/>
      <c r="DK483" s="33"/>
      <c r="DL483" s="33"/>
      <c r="DM483" s="33"/>
      <c r="DN483" s="33"/>
      <c r="DO483" s="33"/>
      <c r="DP483" s="33"/>
      <c r="DQ483" s="33"/>
      <c r="DR483" s="33"/>
      <c r="DS483" s="33"/>
      <c r="DT483" s="33"/>
      <c r="DU483" s="33"/>
      <c r="DV483" s="33"/>
      <c r="DW483" s="33"/>
      <c r="DX483" s="33"/>
      <c r="DY483" s="33"/>
      <c r="DZ483" s="33"/>
      <c r="EA483" s="33"/>
      <c r="EB483" s="33"/>
      <c r="EC483" s="33"/>
      <c r="ED483" s="33"/>
      <c r="EE483" s="33"/>
      <c r="EF483" s="33"/>
      <c r="EG483" s="33"/>
      <c r="EH483" s="33"/>
      <c r="EI483" s="33"/>
      <c r="EJ483" s="33"/>
      <c r="EK483" s="33"/>
      <c r="EL483" s="33"/>
      <c r="EM483" s="33"/>
      <c r="EN483" s="33"/>
      <c r="EO483" s="33"/>
      <c r="EP483" s="33"/>
      <c r="EQ483" s="33"/>
      <c r="ER483" s="33"/>
      <c r="ES483" s="33"/>
      <c r="ET483" s="33"/>
      <c r="EU483" s="33"/>
      <c r="EV483" s="33"/>
      <c r="EW483" s="33"/>
      <c r="EX483" s="33"/>
      <c r="EY483" s="33"/>
      <c r="EZ483" s="33"/>
      <c r="FA483" s="33"/>
      <c r="FB483" s="33"/>
      <c r="FC483" s="33"/>
      <c r="FD483" s="33"/>
      <c r="FE483" s="33"/>
      <c r="FF483" s="33"/>
      <c r="FG483" s="33"/>
      <c r="FH483" s="33"/>
      <c r="FI483" s="33"/>
      <c r="FJ483" s="33"/>
      <c r="FK483" s="33"/>
      <c r="FL483" s="33"/>
      <c r="FM483" s="33"/>
      <c r="FN483" s="33"/>
      <c r="FO483" s="33"/>
      <c r="FP483" s="33"/>
      <c r="FQ483" s="33"/>
      <c r="FR483" s="33"/>
      <c r="FS483" s="33"/>
      <c r="FT483" s="33"/>
      <c r="FU483" s="33"/>
      <c r="FV483" s="33"/>
      <c r="FW483" s="33"/>
      <c r="FX483" s="33"/>
      <c r="FY483" s="33"/>
      <c r="FZ483" s="33"/>
      <c r="GA483" s="33"/>
      <c r="GB483" s="33"/>
      <c r="GC483" s="33"/>
      <c r="GD483" s="33"/>
      <c r="GE483" s="33"/>
      <c r="GF483" s="33"/>
      <c r="GG483" s="33"/>
      <c r="GH483" s="33"/>
      <c r="GI483" s="33"/>
      <c r="GJ483" s="33"/>
      <c r="GK483" s="33"/>
      <c r="GL483" s="33"/>
      <c r="GM483" s="33"/>
      <c r="GN483" s="33"/>
      <c r="GO483" s="33"/>
      <c r="GP483" s="33"/>
      <c r="GQ483" s="33"/>
      <c r="GR483" s="33"/>
      <c r="GS483" s="33"/>
      <c r="GT483" s="33"/>
      <c r="GU483" s="33"/>
      <c r="GV483" s="33"/>
      <c r="GW483" s="33"/>
      <c r="GX483" s="33"/>
      <c r="GY483" s="33"/>
      <c r="GZ483" s="33"/>
      <c r="HA483" s="33"/>
      <c r="HB483" s="33"/>
      <c r="HC483" s="33"/>
      <c r="HD483" s="33"/>
      <c r="HE483" s="33"/>
      <c r="HF483" s="33"/>
      <c r="HG483" s="33"/>
      <c r="HH483" s="33"/>
      <c r="HI483" s="33"/>
      <c r="HJ483" s="33"/>
      <c r="HK483" s="33"/>
      <c r="HL483" s="33"/>
      <c r="HM483" s="33"/>
      <c r="HN483" s="33"/>
      <c r="HO483" s="33"/>
      <c r="HP483" s="33"/>
      <c r="HQ483" s="33"/>
      <c r="HR483" s="33"/>
      <c r="HS483" s="33"/>
      <c r="HT483" s="33"/>
      <c r="HU483" s="33"/>
      <c r="HV483" s="33"/>
      <c r="HW483" s="33"/>
      <c r="HX483" s="33"/>
      <c r="HY483" s="33"/>
      <c r="HZ483" s="33"/>
      <c r="IA483" s="33"/>
      <c r="IB483" s="33"/>
      <c r="IC483" s="33"/>
      <c r="ID483" s="33"/>
      <c r="IE483" s="33"/>
      <c r="IF483" s="33"/>
      <c r="IG483" s="33"/>
      <c r="IH483" s="33"/>
      <c r="II483" s="33"/>
      <c r="IJ483" s="33"/>
      <c r="IK483" s="33"/>
      <c r="IL483" s="33"/>
      <c r="IM483" s="33"/>
      <c r="IN483" s="33"/>
      <c r="IO483" s="33"/>
      <c r="IP483" s="33"/>
      <c r="IQ483" s="33"/>
      <c r="IR483" s="33"/>
      <c r="IS483" s="33"/>
      <c r="IT483" s="33"/>
      <c r="IU483" s="33"/>
      <c r="IV483" s="33"/>
      <c r="IW483" s="33"/>
      <c r="IX483" s="33"/>
      <c r="IY483" s="33"/>
      <c r="IZ483" s="33"/>
      <c r="JA483" s="33"/>
      <c r="JB483" s="33"/>
      <c r="JC483" s="33"/>
      <c r="JD483" s="33"/>
      <c r="JE483" s="33"/>
      <c r="JF483" s="33"/>
      <c r="JG483" s="33"/>
      <c r="JH483" s="33"/>
      <c r="JI483" s="33"/>
      <c r="JJ483" s="33"/>
      <c r="JK483" s="33"/>
      <c r="JL483" s="33"/>
      <c r="JM483" s="33"/>
      <c r="JN483" s="33"/>
      <c r="JO483" s="33"/>
      <c r="JP483" s="33"/>
      <c r="JQ483" s="33"/>
      <c r="JR483" s="33"/>
      <c r="KZ483" s="33">
        <v>597.29999999999995</v>
      </c>
      <c r="LA483" s="33"/>
      <c r="LB483" s="33"/>
      <c r="LC483" s="33"/>
      <c r="LD483" s="33"/>
      <c r="LE483" s="33"/>
      <c r="LF483" s="33"/>
      <c r="LG483" s="33"/>
      <c r="LH483" s="33"/>
      <c r="LI483" s="33"/>
      <c r="LJ483" s="33"/>
      <c r="LK483" s="33"/>
      <c r="LL483" s="33"/>
      <c r="LM483" s="33"/>
      <c r="LN483" s="33"/>
      <c r="LO483" s="33"/>
      <c r="LP483" s="44"/>
      <c r="LQ483" s="44"/>
      <c r="LR483" s="44"/>
      <c r="LS483" s="44"/>
      <c r="LT483" s="44"/>
      <c r="LU483" s="44"/>
      <c r="LV483" s="44"/>
    </row>
    <row r="484" spans="1:334" x14ac:dyDescent="0.2">
      <c r="A484" s="1" t="s">
        <v>9251</v>
      </c>
      <c r="B484" s="1" t="s">
        <v>9245</v>
      </c>
      <c r="D484" s="1" t="s">
        <v>8157</v>
      </c>
      <c r="E484" s="1" t="s">
        <v>8099</v>
      </c>
      <c r="F484" s="1" t="s">
        <v>8647</v>
      </c>
      <c r="J484" s="1" t="s">
        <v>9246</v>
      </c>
      <c r="K484" s="1">
        <v>1994</v>
      </c>
      <c r="L484" s="1" t="s">
        <v>9247</v>
      </c>
      <c r="M484" s="1" t="s">
        <v>7659</v>
      </c>
      <c r="N484" s="17" t="s">
        <v>7945</v>
      </c>
      <c r="O484" s="33"/>
      <c r="P484" s="33"/>
      <c r="Q484" s="33"/>
      <c r="R484" s="33"/>
      <c r="S484" s="33">
        <v>10.9</v>
      </c>
      <c r="T484" s="33"/>
      <c r="U484" s="33"/>
      <c r="V484" s="33"/>
      <c r="W484" s="33"/>
      <c r="X484" s="33"/>
      <c r="Y484" s="33"/>
      <c r="Z484" s="33"/>
      <c r="AA484" s="33"/>
      <c r="AB484" s="33"/>
      <c r="AC484" s="33"/>
      <c r="AD484" s="33"/>
      <c r="AE484" s="33"/>
      <c r="AF484" s="33"/>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33"/>
      <c r="BE484" s="33"/>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c r="CD484" s="33"/>
      <c r="CE484" s="33"/>
      <c r="CF484" s="33"/>
      <c r="CG484" s="33"/>
      <c r="CH484" s="33"/>
      <c r="CI484" s="33"/>
      <c r="CJ484" s="33"/>
      <c r="CK484" s="33"/>
      <c r="CL484" s="33"/>
      <c r="CM484" s="33"/>
      <c r="CN484" s="33"/>
      <c r="CO484" s="33"/>
      <c r="CP484" s="33"/>
      <c r="CQ484" s="33"/>
      <c r="CR484" s="33"/>
      <c r="CS484" s="33"/>
      <c r="CT484" s="33"/>
      <c r="CU484" s="33"/>
      <c r="CV484" s="33"/>
      <c r="CW484" s="33"/>
      <c r="CX484" s="33"/>
      <c r="CY484" s="33"/>
      <c r="CZ484" s="33"/>
      <c r="DA484" s="33"/>
      <c r="DB484" s="33"/>
      <c r="DC484" s="33"/>
      <c r="DD484" s="33"/>
      <c r="DE484" s="33"/>
      <c r="DF484" s="33"/>
      <c r="DG484" s="33"/>
      <c r="DH484" s="33"/>
      <c r="DI484" s="33"/>
      <c r="DJ484" s="33"/>
      <c r="DK484" s="33"/>
      <c r="DL484" s="33"/>
      <c r="DM484" s="33"/>
      <c r="DN484" s="33"/>
      <c r="DO484" s="33"/>
      <c r="DP484" s="33"/>
      <c r="DQ484" s="33"/>
      <c r="DR484" s="33"/>
      <c r="DS484" s="33"/>
      <c r="DT484" s="33"/>
      <c r="DU484" s="33"/>
      <c r="DV484" s="33"/>
      <c r="DW484" s="33"/>
      <c r="DX484" s="33"/>
      <c r="DY484" s="33"/>
      <c r="DZ484" s="33"/>
      <c r="EA484" s="33"/>
      <c r="EB484" s="33"/>
      <c r="EC484" s="33"/>
      <c r="ED484" s="33"/>
      <c r="EE484" s="33"/>
      <c r="EF484" s="33"/>
      <c r="EG484" s="33"/>
      <c r="EH484" s="33"/>
      <c r="EI484" s="33"/>
      <c r="EJ484" s="33"/>
      <c r="EK484" s="33"/>
      <c r="EL484" s="33"/>
      <c r="EM484" s="33"/>
      <c r="EN484" s="33"/>
      <c r="EO484" s="33"/>
      <c r="EP484" s="33"/>
      <c r="EQ484" s="33"/>
      <c r="ER484" s="33"/>
      <c r="ES484" s="33"/>
      <c r="ET484" s="33"/>
      <c r="EU484" s="33"/>
      <c r="EV484" s="33"/>
      <c r="EW484" s="33"/>
      <c r="EX484" s="33"/>
      <c r="EY484" s="33"/>
      <c r="EZ484" s="33"/>
      <c r="FA484" s="33"/>
      <c r="FB484" s="33"/>
      <c r="FC484" s="33"/>
      <c r="FD484" s="33"/>
      <c r="FE484" s="33"/>
      <c r="FF484" s="33"/>
      <c r="FG484" s="33"/>
      <c r="FH484" s="33"/>
      <c r="FI484" s="33"/>
      <c r="FJ484" s="33"/>
      <c r="FK484" s="33"/>
      <c r="FL484" s="33"/>
      <c r="FM484" s="33"/>
      <c r="FN484" s="33"/>
      <c r="FO484" s="33"/>
      <c r="FP484" s="33"/>
      <c r="FQ484" s="33"/>
      <c r="FR484" s="33"/>
      <c r="FS484" s="33"/>
      <c r="FT484" s="33"/>
      <c r="FU484" s="33"/>
      <c r="FV484" s="33"/>
      <c r="FW484" s="33"/>
      <c r="FX484" s="33"/>
      <c r="FY484" s="33"/>
      <c r="FZ484" s="33"/>
      <c r="GA484" s="33"/>
      <c r="GB484" s="33"/>
      <c r="GC484" s="33"/>
      <c r="GD484" s="33"/>
      <c r="GE484" s="33"/>
      <c r="GF484" s="33"/>
      <c r="GG484" s="33"/>
      <c r="GH484" s="33"/>
      <c r="GI484" s="33"/>
      <c r="GJ484" s="33"/>
      <c r="GK484" s="33"/>
      <c r="GL484" s="33"/>
      <c r="GM484" s="33"/>
      <c r="GN484" s="33"/>
      <c r="GO484" s="33"/>
      <c r="GP484" s="33"/>
      <c r="GQ484" s="33"/>
      <c r="GR484" s="33"/>
      <c r="GS484" s="33"/>
      <c r="GT484" s="33"/>
      <c r="GU484" s="33"/>
      <c r="GV484" s="33"/>
      <c r="GW484" s="33"/>
      <c r="GX484" s="33"/>
      <c r="GY484" s="33"/>
      <c r="GZ484" s="33"/>
      <c r="HA484" s="33"/>
      <c r="HB484" s="33"/>
      <c r="HC484" s="33"/>
      <c r="HD484" s="33"/>
      <c r="HE484" s="33"/>
      <c r="HF484" s="33"/>
      <c r="HG484" s="33"/>
      <c r="HH484" s="33"/>
      <c r="HI484" s="33"/>
      <c r="HJ484" s="33"/>
      <c r="HK484" s="33"/>
      <c r="HL484" s="33"/>
      <c r="HM484" s="33"/>
      <c r="HN484" s="33"/>
      <c r="HO484" s="33"/>
      <c r="HP484" s="33"/>
      <c r="HQ484" s="33"/>
      <c r="HR484" s="33"/>
      <c r="HS484" s="33"/>
      <c r="HT484" s="33"/>
      <c r="HU484" s="33"/>
      <c r="HV484" s="33"/>
      <c r="HW484" s="33"/>
      <c r="HX484" s="33"/>
      <c r="HY484" s="33"/>
      <c r="HZ484" s="33"/>
      <c r="IA484" s="33"/>
      <c r="IB484" s="33"/>
      <c r="IC484" s="33"/>
      <c r="ID484" s="33"/>
      <c r="IE484" s="33"/>
      <c r="IF484" s="33"/>
      <c r="IG484" s="33"/>
      <c r="IH484" s="33"/>
      <c r="II484" s="33"/>
      <c r="IJ484" s="33"/>
      <c r="IK484" s="33"/>
      <c r="IL484" s="33"/>
      <c r="IM484" s="33"/>
      <c r="IN484" s="33"/>
      <c r="IO484" s="33"/>
      <c r="IP484" s="33"/>
      <c r="IQ484" s="33"/>
      <c r="IR484" s="33"/>
      <c r="IS484" s="33"/>
      <c r="IT484" s="33"/>
      <c r="IU484" s="33"/>
      <c r="IV484" s="33"/>
      <c r="IW484" s="33"/>
      <c r="IX484" s="33"/>
      <c r="IY484" s="33"/>
      <c r="IZ484" s="33"/>
      <c r="JA484" s="33"/>
      <c r="JB484" s="33"/>
      <c r="JC484" s="33"/>
      <c r="JD484" s="33"/>
      <c r="JE484" s="33"/>
      <c r="JF484" s="33"/>
      <c r="JG484" s="33"/>
      <c r="JH484" s="33"/>
      <c r="JI484" s="33"/>
      <c r="JJ484" s="33"/>
      <c r="JK484" s="33"/>
      <c r="JL484" s="33"/>
      <c r="JM484" s="33"/>
      <c r="JN484" s="33"/>
      <c r="JO484" s="33"/>
      <c r="JP484" s="33"/>
      <c r="JQ484" s="33"/>
      <c r="JR484" s="33"/>
      <c r="KZ484" s="33">
        <v>712.8</v>
      </c>
      <c r="LA484" s="33"/>
      <c r="LB484" s="33"/>
      <c r="LC484" s="33"/>
      <c r="LD484" s="33"/>
      <c r="LE484" s="33"/>
      <c r="LF484" s="33"/>
      <c r="LG484" s="33"/>
      <c r="LH484" s="33"/>
      <c r="LI484" s="33"/>
      <c r="LJ484" s="33"/>
      <c r="LK484" s="33"/>
      <c r="LL484" s="33"/>
      <c r="LM484" s="33"/>
      <c r="LN484" s="33"/>
      <c r="LO484" s="33"/>
      <c r="LP484" s="44"/>
      <c r="LQ484" s="44"/>
      <c r="LR484" s="44"/>
      <c r="LS484" s="44"/>
      <c r="LT484" s="44"/>
      <c r="LU484" s="44"/>
      <c r="LV484" s="44"/>
    </row>
    <row r="485" spans="1:334" x14ac:dyDescent="0.2">
      <c r="A485" s="1" t="s">
        <v>9252</v>
      </c>
      <c r="B485" s="1" t="s">
        <v>9245</v>
      </c>
      <c r="D485" s="1" t="s">
        <v>8162</v>
      </c>
      <c r="E485" s="1" t="s">
        <v>8099</v>
      </c>
      <c r="F485" s="1" t="s">
        <v>8650</v>
      </c>
      <c r="J485" s="1" t="s">
        <v>9246</v>
      </c>
      <c r="K485" s="1">
        <v>1994</v>
      </c>
      <c r="L485" s="1" t="s">
        <v>9247</v>
      </c>
      <c r="M485" s="1" t="s">
        <v>7659</v>
      </c>
      <c r="N485" s="17" t="s">
        <v>7945</v>
      </c>
      <c r="O485" s="33"/>
      <c r="P485" s="33"/>
      <c r="Q485" s="33"/>
      <c r="R485" s="33"/>
      <c r="S485" s="33">
        <v>10.1</v>
      </c>
      <c r="T485" s="33"/>
      <c r="U485" s="33"/>
      <c r="V485" s="33"/>
      <c r="W485" s="33"/>
      <c r="X485" s="33"/>
      <c r="Y485" s="33"/>
      <c r="Z485" s="33"/>
      <c r="AA485" s="33"/>
      <c r="AB485" s="33"/>
      <c r="AC485" s="33"/>
      <c r="AD485" s="33"/>
      <c r="AE485" s="33"/>
      <c r="AF485" s="33"/>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33"/>
      <c r="BE485" s="33"/>
      <c r="BF485" s="33"/>
      <c r="BG485" s="33"/>
      <c r="BH485" s="33"/>
      <c r="BI485" s="33"/>
      <c r="BJ485" s="33"/>
      <c r="BK485" s="33"/>
      <c r="BL485" s="33"/>
      <c r="BM485" s="33"/>
      <c r="BN485" s="33"/>
      <c r="BO485" s="33"/>
      <c r="BP485" s="33"/>
      <c r="BQ485" s="33"/>
      <c r="BR485" s="33"/>
      <c r="BS485" s="33"/>
      <c r="BT485" s="33"/>
      <c r="BU485" s="33"/>
      <c r="BV485" s="33"/>
      <c r="BW485" s="33"/>
      <c r="BX485" s="33"/>
      <c r="BY485" s="33"/>
      <c r="BZ485" s="33"/>
      <c r="CA485" s="33"/>
      <c r="CB485" s="33"/>
      <c r="CC485" s="33"/>
      <c r="CD485" s="33"/>
      <c r="CE485" s="33"/>
      <c r="CF485" s="33"/>
      <c r="CG485" s="33"/>
      <c r="CH485" s="33"/>
      <c r="CI485" s="33"/>
      <c r="CJ485" s="33"/>
      <c r="CK485" s="33"/>
      <c r="CL485" s="33"/>
      <c r="CM485" s="33"/>
      <c r="CN485" s="33"/>
      <c r="CO485" s="33"/>
      <c r="CP485" s="33"/>
      <c r="CQ485" s="33"/>
      <c r="CR485" s="33"/>
      <c r="CS485" s="33"/>
      <c r="CT485" s="33"/>
      <c r="CU485" s="33"/>
      <c r="CV485" s="33"/>
      <c r="CW485" s="33"/>
      <c r="CX485" s="33"/>
      <c r="CY485" s="33"/>
      <c r="CZ485" s="33"/>
      <c r="DA485" s="33"/>
      <c r="DB485" s="33"/>
      <c r="DC485" s="33"/>
      <c r="DD485" s="33"/>
      <c r="DE485" s="33"/>
      <c r="DF485" s="33"/>
      <c r="DG485" s="33"/>
      <c r="DH485" s="33"/>
      <c r="DI485" s="33"/>
      <c r="DJ485" s="33"/>
      <c r="DK485" s="33"/>
      <c r="DL485" s="33"/>
      <c r="DM485" s="33"/>
      <c r="DN485" s="33"/>
      <c r="DO485" s="33"/>
      <c r="DP485" s="33"/>
      <c r="DQ485" s="33"/>
      <c r="DR485" s="33"/>
      <c r="DS485" s="33"/>
      <c r="DT485" s="33"/>
      <c r="DU485" s="33"/>
      <c r="DV485" s="33"/>
      <c r="DW485" s="33"/>
      <c r="DX485" s="33"/>
      <c r="DY485" s="33"/>
      <c r="DZ485" s="33"/>
      <c r="EA485" s="33"/>
      <c r="EB485" s="33"/>
      <c r="EC485" s="33"/>
      <c r="ED485" s="33"/>
      <c r="EE485" s="33"/>
      <c r="EF485" s="33"/>
      <c r="EG485" s="33"/>
      <c r="EH485" s="33"/>
      <c r="EI485" s="33"/>
      <c r="EJ485" s="33"/>
      <c r="EK485" s="33"/>
      <c r="EL485" s="33"/>
      <c r="EM485" s="33"/>
      <c r="EN485" s="33"/>
      <c r="EO485" s="33"/>
      <c r="EP485" s="33"/>
      <c r="EQ485" s="33"/>
      <c r="ER485" s="33"/>
      <c r="ES485" s="33"/>
      <c r="ET485" s="33"/>
      <c r="EU485" s="33"/>
      <c r="EV485" s="33"/>
      <c r="EW485" s="33"/>
      <c r="EX485" s="33"/>
      <c r="EY485" s="33"/>
      <c r="EZ485" s="33"/>
      <c r="FA485" s="33"/>
      <c r="FB485" s="33"/>
      <c r="FC485" s="33"/>
      <c r="FD485" s="33"/>
      <c r="FE485" s="33"/>
      <c r="FF485" s="33"/>
      <c r="FG485" s="33"/>
      <c r="FH485" s="33"/>
      <c r="FI485" s="33"/>
      <c r="FJ485" s="33"/>
      <c r="FK485" s="33"/>
      <c r="FL485" s="33"/>
      <c r="FM485" s="33"/>
      <c r="FN485" s="33"/>
      <c r="FO485" s="33"/>
      <c r="FP485" s="33"/>
      <c r="FQ485" s="33"/>
      <c r="FR485" s="33"/>
      <c r="FS485" s="33"/>
      <c r="FT485" s="33"/>
      <c r="FU485" s="33"/>
      <c r="FV485" s="33"/>
      <c r="FW485" s="33"/>
      <c r="FX485" s="33"/>
      <c r="FY485" s="33"/>
      <c r="FZ485" s="33"/>
      <c r="GA485" s="33"/>
      <c r="GB485" s="33"/>
      <c r="GC485" s="33"/>
      <c r="GD485" s="33"/>
      <c r="GE485" s="33"/>
      <c r="GF485" s="33"/>
      <c r="GG485" s="33"/>
      <c r="GH485" s="33"/>
      <c r="GI485" s="33"/>
      <c r="GJ485" s="33"/>
      <c r="GK485" s="33"/>
      <c r="GL485" s="33"/>
      <c r="GM485" s="33"/>
      <c r="GN485" s="33"/>
      <c r="GO485" s="33"/>
      <c r="GP485" s="33"/>
      <c r="GQ485" s="33"/>
      <c r="GR485" s="33"/>
      <c r="GS485" s="33"/>
      <c r="GT485" s="33"/>
      <c r="GU485" s="33"/>
      <c r="GV485" s="33"/>
      <c r="GW485" s="33"/>
      <c r="GX485" s="33"/>
      <c r="GY485" s="33"/>
      <c r="GZ485" s="33"/>
      <c r="HA485" s="33"/>
      <c r="HB485" s="33"/>
      <c r="HC485" s="33"/>
      <c r="HD485" s="33"/>
      <c r="HE485" s="33"/>
      <c r="HF485" s="33"/>
      <c r="HG485" s="33"/>
      <c r="HH485" s="33"/>
      <c r="HI485" s="33"/>
      <c r="HJ485" s="33"/>
      <c r="HK485" s="33"/>
      <c r="HL485" s="33"/>
      <c r="HM485" s="33"/>
      <c r="HN485" s="33"/>
      <c r="HO485" s="33"/>
      <c r="HP485" s="33"/>
      <c r="HQ485" s="33"/>
      <c r="HR485" s="33"/>
      <c r="HS485" s="33"/>
      <c r="HT485" s="33"/>
      <c r="HU485" s="33"/>
      <c r="HV485" s="33"/>
      <c r="HW485" s="33"/>
      <c r="HX485" s="33"/>
      <c r="HY485" s="33"/>
      <c r="HZ485" s="33"/>
      <c r="IA485" s="33"/>
      <c r="IB485" s="33"/>
      <c r="IC485" s="33"/>
      <c r="ID485" s="33"/>
      <c r="IE485" s="33"/>
      <c r="IF485" s="33"/>
      <c r="IG485" s="33"/>
      <c r="IH485" s="33"/>
      <c r="II485" s="33"/>
      <c r="IJ485" s="33"/>
      <c r="IK485" s="33"/>
      <c r="IL485" s="33"/>
      <c r="IM485" s="33"/>
      <c r="IN485" s="33"/>
      <c r="IO485" s="33"/>
      <c r="IP485" s="33"/>
      <c r="IQ485" s="33"/>
      <c r="IR485" s="33"/>
      <c r="IS485" s="33"/>
      <c r="IT485" s="33"/>
      <c r="IU485" s="33"/>
      <c r="IV485" s="33"/>
      <c r="IW485" s="33"/>
      <c r="IX485" s="33"/>
      <c r="IY485" s="33"/>
      <c r="IZ485" s="33"/>
      <c r="JA485" s="33"/>
      <c r="JB485" s="33"/>
      <c r="JC485" s="33"/>
      <c r="JD485" s="33"/>
      <c r="JE485" s="33"/>
      <c r="JF485" s="33"/>
      <c r="JG485" s="33"/>
      <c r="JH485" s="33"/>
      <c r="JI485" s="33"/>
      <c r="JJ485" s="33"/>
      <c r="JK485" s="33"/>
      <c r="JL485" s="33"/>
      <c r="JM485" s="33"/>
      <c r="JN485" s="33"/>
      <c r="JO485" s="33"/>
      <c r="JP485" s="33"/>
      <c r="JQ485" s="33"/>
      <c r="JR485" s="33"/>
      <c r="KZ485" s="33">
        <v>970.92</v>
      </c>
      <c r="LA485" s="33"/>
      <c r="LB485" s="33"/>
      <c r="LC485" s="33"/>
      <c r="LD485" s="33"/>
      <c r="LE485" s="33"/>
      <c r="LF485" s="33"/>
      <c r="LG485" s="33"/>
      <c r="LH485" s="33"/>
      <c r="LI485" s="33"/>
      <c r="LJ485" s="33"/>
      <c r="LK485" s="33"/>
      <c r="LL485" s="33"/>
      <c r="LM485" s="33"/>
      <c r="LN485" s="33"/>
      <c r="LO485" s="33"/>
      <c r="LP485" s="44"/>
      <c r="LQ485" s="44"/>
      <c r="LR485" s="44"/>
      <c r="LS485" s="44"/>
      <c r="LT485" s="44"/>
      <c r="LU485" s="44"/>
      <c r="LV485" s="44"/>
    </row>
    <row r="486" spans="1:334" x14ac:dyDescent="0.2">
      <c r="A486" s="1" t="s">
        <v>9253</v>
      </c>
      <c r="B486" s="1" t="s">
        <v>9245</v>
      </c>
      <c r="D486" s="1" t="s">
        <v>9243</v>
      </c>
      <c r="E486" s="1" t="s">
        <v>7</v>
      </c>
      <c r="F486" s="1" t="s">
        <v>8395</v>
      </c>
      <c r="J486" s="1" t="s">
        <v>9246</v>
      </c>
      <c r="K486" s="1">
        <v>1994</v>
      </c>
      <c r="L486" s="1" t="s">
        <v>9247</v>
      </c>
      <c r="M486" s="1" t="s">
        <v>7659</v>
      </c>
      <c r="N486" s="17" t="s">
        <v>7945</v>
      </c>
      <c r="O486" s="33"/>
      <c r="P486" s="33"/>
      <c r="Q486" s="33"/>
      <c r="R486" s="33"/>
      <c r="S486" s="33">
        <v>10.9</v>
      </c>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c r="CD486" s="33"/>
      <c r="CE486" s="33"/>
      <c r="CF486" s="33"/>
      <c r="CG486" s="33"/>
      <c r="CH486" s="33"/>
      <c r="CI486" s="33"/>
      <c r="CJ486" s="33"/>
      <c r="CK486" s="33"/>
      <c r="CL486" s="33"/>
      <c r="CM486" s="33"/>
      <c r="CN486" s="33"/>
      <c r="CO486" s="33"/>
      <c r="CP486" s="33"/>
      <c r="CQ486" s="33"/>
      <c r="CR486" s="33"/>
      <c r="CS486" s="33"/>
      <c r="CT486" s="33"/>
      <c r="CU486" s="33"/>
      <c r="CV486" s="33"/>
      <c r="CW486" s="33"/>
      <c r="CX486" s="33"/>
      <c r="CY486" s="33"/>
      <c r="CZ486" s="33"/>
      <c r="DA486" s="33"/>
      <c r="DB486" s="33"/>
      <c r="DC486" s="33"/>
      <c r="DD486" s="33"/>
      <c r="DE486" s="33"/>
      <c r="DF486" s="33"/>
      <c r="DG486" s="33"/>
      <c r="DH486" s="33"/>
      <c r="DI486" s="33"/>
      <c r="DJ486" s="33"/>
      <c r="DK486" s="33"/>
      <c r="DL486" s="33"/>
      <c r="DM486" s="33"/>
      <c r="DN486" s="33"/>
      <c r="DO486" s="33"/>
      <c r="DP486" s="33"/>
      <c r="DQ486" s="33"/>
      <c r="DR486" s="33"/>
      <c r="DS486" s="33"/>
      <c r="DT486" s="33"/>
      <c r="DU486" s="33"/>
      <c r="DV486" s="33"/>
      <c r="DW486" s="33"/>
      <c r="DX486" s="33"/>
      <c r="DY486" s="33"/>
      <c r="DZ486" s="33"/>
      <c r="EA486" s="33"/>
      <c r="EB486" s="33"/>
      <c r="EC486" s="33"/>
      <c r="ED486" s="33"/>
      <c r="EE486" s="33"/>
      <c r="EF486" s="33"/>
      <c r="EG486" s="33"/>
      <c r="EH486" s="33"/>
      <c r="EI486" s="33"/>
      <c r="EJ486" s="33"/>
      <c r="EK486" s="33"/>
      <c r="EL486" s="33"/>
      <c r="EM486" s="33"/>
      <c r="EN486" s="33"/>
      <c r="EO486" s="33"/>
      <c r="EP486" s="33"/>
      <c r="EQ486" s="33"/>
      <c r="ER486" s="33"/>
      <c r="ES486" s="33"/>
      <c r="ET486" s="33"/>
      <c r="EU486" s="33"/>
      <c r="EV486" s="33"/>
      <c r="EW486" s="33"/>
      <c r="EX486" s="33"/>
      <c r="EY486" s="33"/>
      <c r="EZ486" s="33"/>
      <c r="FA486" s="33"/>
      <c r="FB486" s="33"/>
      <c r="FC486" s="33"/>
      <c r="FD486" s="33"/>
      <c r="FE486" s="33"/>
      <c r="FF486" s="33"/>
      <c r="FG486" s="33"/>
      <c r="FH486" s="33"/>
      <c r="FI486" s="33"/>
      <c r="FJ486" s="33"/>
      <c r="FK486" s="33"/>
      <c r="FL486" s="33"/>
      <c r="FM486" s="33"/>
      <c r="FN486" s="33"/>
      <c r="FO486" s="33"/>
      <c r="FP486" s="33"/>
      <c r="FQ486" s="33"/>
      <c r="FR486" s="33"/>
      <c r="FS486" s="33"/>
      <c r="FT486" s="33"/>
      <c r="FU486" s="33"/>
      <c r="FV486" s="33"/>
      <c r="FW486" s="33"/>
      <c r="FX486" s="33"/>
      <c r="FY486" s="33"/>
      <c r="FZ486" s="33"/>
      <c r="GA486" s="33"/>
      <c r="GB486" s="33"/>
      <c r="GC486" s="33"/>
      <c r="GD486" s="33"/>
      <c r="GE486" s="33"/>
      <c r="GF486" s="33"/>
      <c r="GG486" s="33"/>
      <c r="GH486" s="33"/>
      <c r="GI486" s="33"/>
      <c r="GJ486" s="33"/>
      <c r="GK486" s="33"/>
      <c r="GL486" s="33"/>
      <c r="GM486" s="33"/>
      <c r="GN486" s="33"/>
      <c r="GO486" s="33"/>
      <c r="GP486" s="33"/>
      <c r="GQ486" s="33"/>
      <c r="GR486" s="33"/>
      <c r="GS486" s="33"/>
      <c r="GT486" s="33"/>
      <c r="GU486" s="33"/>
      <c r="GV486" s="33"/>
      <c r="GW486" s="33"/>
      <c r="GX486" s="33"/>
      <c r="GY486" s="33"/>
      <c r="GZ486" s="33"/>
      <c r="HA486" s="33"/>
      <c r="HB486" s="33"/>
      <c r="HC486" s="33"/>
      <c r="HD486" s="33"/>
      <c r="HE486" s="33"/>
      <c r="HF486" s="33"/>
      <c r="HG486" s="33"/>
      <c r="HH486" s="33"/>
      <c r="HI486" s="33"/>
      <c r="HJ486" s="33"/>
      <c r="HK486" s="33"/>
      <c r="HL486" s="33"/>
      <c r="HM486" s="33"/>
      <c r="HN486" s="33"/>
      <c r="HO486" s="33"/>
      <c r="HP486" s="33"/>
      <c r="HQ486" s="33"/>
      <c r="HR486" s="33"/>
      <c r="HS486" s="33"/>
      <c r="HT486" s="33"/>
      <c r="HU486" s="33"/>
      <c r="HV486" s="33"/>
      <c r="HW486" s="33"/>
      <c r="HX486" s="33"/>
      <c r="HY486" s="33"/>
      <c r="HZ486" s="33"/>
      <c r="IA486" s="33"/>
      <c r="IB486" s="33"/>
      <c r="IC486" s="33"/>
      <c r="ID486" s="33"/>
      <c r="IE486" s="33"/>
      <c r="IF486" s="33"/>
      <c r="IG486" s="33"/>
      <c r="IH486" s="33"/>
      <c r="II486" s="33"/>
      <c r="IJ486" s="33"/>
      <c r="IK486" s="33"/>
      <c r="IL486" s="33"/>
      <c r="IM486" s="33"/>
      <c r="IN486" s="33"/>
      <c r="IO486" s="33"/>
      <c r="IP486" s="33"/>
      <c r="IQ486" s="33"/>
      <c r="IR486" s="33"/>
      <c r="IS486" s="33"/>
      <c r="IT486" s="33"/>
      <c r="IU486" s="33"/>
      <c r="IV486" s="33"/>
      <c r="IW486" s="33"/>
      <c r="IX486" s="33"/>
      <c r="IY486" s="33"/>
      <c r="IZ486" s="33"/>
      <c r="JA486" s="33"/>
      <c r="JB486" s="33"/>
      <c r="JC486" s="33"/>
      <c r="JD486" s="33"/>
      <c r="JE486" s="33"/>
      <c r="JF486" s="33"/>
      <c r="JG486" s="33"/>
      <c r="JH486" s="33"/>
      <c r="JI486" s="33"/>
      <c r="JJ486" s="33"/>
      <c r="JK486" s="33"/>
      <c r="JL486" s="33"/>
      <c r="JM486" s="33"/>
      <c r="JN486" s="33"/>
      <c r="JO486" s="33"/>
      <c r="JP486" s="33"/>
      <c r="JQ486" s="33"/>
      <c r="JR486" s="33"/>
      <c r="KZ486" s="33">
        <v>899.91</v>
      </c>
      <c r="LA486" s="33"/>
      <c r="LB486" s="33"/>
      <c r="LC486" s="33"/>
      <c r="LD486" s="33"/>
      <c r="LE486" s="33"/>
      <c r="LF486" s="33"/>
      <c r="LG486" s="33"/>
      <c r="LH486" s="33"/>
      <c r="LI486" s="33"/>
      <c r="LJ486" s="33"/>
      <c r="LK486" s="33"/>
      <c r="LL486" s="33"/>
      <c r="LM486" s="33"/>
      <c r="LN486" s="33"/>
      <c r="LO486" s="33"/>
      <c r="LP486" s="44"/>
      <c r="LQ486" s="44"/>
      <c r="LR486" s="44"/>
      <c r="LS486" s="44"/>
      <c r="LT486" s="44"/>
      <c r="LU486" s="44"/>
      <c r="LV486" s="44"/>
    </row>
    <row r="487" spans="1:334" x14ac:dyDescent="0.2">
      <c r="A487" s="1" t="s">
        <v>9254</v>
      </c>
      <c r="B487" s="1" t="s">
        <v>9255</v>
      </c>
      <c r="C487" s="1" t="s">
        <v>9256</v>
      </c>
      <c r="D487" s="1" t="s">
        <v>9257</v>
      </c>
      <c r="E487" s="1" t="s">
        <v>11</v>
      </c>
      <c r="F487" s="1" t="s">
        <v>8110</v>
      </c>
      <c r="H487" s="1" t="s">
        <v>9258</v>
      </c>
      <c r="I487" s="1">
        <v>2</v>
      </c>
      <c r="J487" s="1" t="s">
        <v>9259</v>
      </c>
      <c r="K487" s="1">
        <v>2004</v>
      </c>
      <c r="L487" s="1" t="s">
        <v>9260</v>
      </c>
      <c r="M487" s="1" t="s">
        <v>7661</v>
      </c>
      <c r="N487" s="17" t="s">
        <v>7945</v>
      </c>
      <c r="O487" s="33"/>
      <c r="P487" s="33"/>
      <c r="Q487" s="33"/>
      <c r="R487" s="33"/>
      <c r="S487" s="33">
        <v>87.2</v>
      </c>
      <c r="T487" s="33"/>
      <c r="U487" s="33"/>
      <c r="V487" s="33"/>
      <c r="W487" s="33"/>
      <c r="X487" s="33"/>
      <c r="Y487" s="33"/>
      <c r="Z487" s="33"/>
      <c r="AA487" s="33"/>
      <c r="AB487" s="33"/>
      <c r="AC487" s="33"/>
      <c r="AD487" s="33"/>
      <c r="AE487" s="33"/>
      <c r="AF487" s="33"/>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c r="CA487" s="33"/>
      <c r="CB487" s="33"/>
      <c r="CC487" s="33"/>
      <c r="CD487" s="33"/>
      <c r="CE487" s="33"/>
      <c r="CF487" s="33"/>
      <c r="CG487" s="33"/>
      <c r="CH487" s="33"/>
      <c r="CI487" s="33"/>
      <c r="CJ487" s="33"/>
      <c r="CK487" s="33"/>
      <c r="CL487" s="33"/>
      <c r="CM487" s="33"/>
      <c r="CN487" s="33"/>
      <c r="CO487" s="33"/>
      <c r="CP487" s="33">
        <v>21</v>
      </c>
      <c r="CQ487" s="33"/>
      <c r="CR487" s="33"/>
      <c r="CS487" s="33">
        <v>3.5</v>
      </c>
      <c r="CT487" s="33"/>
      <c r="CU487" s="33"/>
      <c r="CV487" s="33"/>
      <c r="CW487" s="33"/>
      <c r="CX487" s="33"/>
      <c r="CY487" s="33">
        <v>63</v>
      </c>
      <c r="CZ487" s="33"/>
      <c r="DA487" s="33">
        <v>0.43</v>
      </c>
      <c r="DB487" s="33"/>
      <c r="DC487" s="33"/>
      <c r="DD487" s="33"/>
      <c r="DE487" s="33"/>
      <c r="DF487" s="33"/>
      <c r="DG487" s="33"/>
      <c r="DH487" s="33"/>
      <c r="DI487" s="33"/>
      <c r="DJ487" s="33"/>
      <c r="DK487" s="33"/>
      <c r="DL487" s="33"/>
      <c r="DM487" s="33"/>
      <c r="DN487" s="33"/>
      <c r="DO487" s="33"/>
      <c r="DP487" s="33"/>
      <c r="DQ487" s="33"/>
      <c r="DR487" s="33"/>
      <c r="DS487" s="33"/>
      <c r="DT487" s="33"/>
      <c r="DU487" s="33"/>
      <c r="DV487" s="33"/>
      <c r="DW487" s="33"/>
      <c r="DX487" s="33"/>
      <c r="DY487" s="33"/>
      <c r="DZ487" s="33"/>
      <c r="EA487" s="33"/>
      <c r="EB487" s="33"/>
      <c r="EC487" s="33"/>
      <c r="ED487" s="33"/>
      <c r="EE487" s="33"/>
      <c r="EF487" s="33"/>
      <c r="EG487" s="33"/>
      <c r="EH487" s="33"/>
      <c r="EI487" s="33"/>
      <c r="EJ487" s="33"/>
      <c r="EK487" s="33"/>
      <c r="EL487" s="33"/>
      <c r="EM487" s="33"/>
      <c r="EN487" s="33"/>
      <c r="EO487" s="33"/>
      <c r="EP487" s="33"/>
      <c r="EQ487" s="33"/>
      <c r="ER487" s="33"/>
      <c r="ES487" s="33"/>
      <c r="ET487" s="33"/>
      <c r="EU487" s="33"/>
      <c r="EV487" s="33"/>
      <c r="EW487" s="33"/>
      <c r="EX487" s="33"/>
      <c r="EY487" s="33"/>
      <c r="EZ487" s="33"/>
      <c r="FA487" s="33"/>
      <c r="FB487" s="33"/>
      <c r="FC487" s="33"/>
      <c r="FD487" s="33"/>
      <c r="FE487" s="33"/>
      <c r="FF487" s="33"/>
      <c r="FG487" s="33"/>
      <c r="FH487" s="33"/>
      <c r="FI487" s="33"/>
      <c r="FJ487" s="33"/>
      <c r="FK487" s="33"/>
      <c r="FL487" s="33"/>
      <c r="FM487" s="33"/>
      <c r="FN487" s="33"/>
      <c r="FO487" s="33"/>
      <c r="FP487" s="33"/>
      <c r="FQ487" s="33"/>
      <c r="FR487" s="33"/>
      <c r="FS487" s="33"/>
      <c r="FT487" s="33"/>
      <c r="FU487" s="33"/>
      <c r="FV487" s="33"/>
      <c r="FW487" s="33"/>
      <c r="FX487" s="33"/>
      <c r="FY487" s="33"/>
      <c r="FZ487" s="33"/>
      <c r="GA487" s="33"/>
      <c r="GB487" s="33"/>
      <c r="GC487" s="33"/>
      <c r="GD487" s="33"/>
      <c r="GE487" s="33"/>
      <c r="GF487" s="33"/>
      <c r="GG487" s="33"/>
      <c r="GH487" s="33"/>
      <c r="GI487" s="33"/>
      <c r="GJ487" s="33"/>
      <c r="GK487" s="33"/>
      <c r="GL487" s="33"/>
      <c r="GM487" s="33"/>
      <c r="GN487" s="33"/>
      <c r="GO487" s="33"/>
      <c r="GP487" s="33"/>
      <c r="GQ487" s="33"/>
      <c r="GR487" s="33"/>
      <c r="GS487" s="33"/>
      <c r="GT487" s="33"/>
      <c r="GU487" s="33"/>
      <c r="GV487" s="33"/>
      <c r="GW487" s="33"/>
      <c r="GX487" s="33"/>
      <c r="GY487" s="33"/>
      <c r="GZ487" s="33"/>
      <c r="HA487" s="33"/>
      <c r="HB487" s="33"/>
      <c r="HC487" s="33"/>
      <c r="HD487" s="33"/>
      <c r="HE487" s="33"/>
      <c r="HF487" s="33"/>
      <c r="HG487" s="33"/>
      <c r="HH487" s="33"/>
      <c r="HI487" s="33"/>
      <c r="HJ487" s="33"/>
      <c r="HK487" s="33"/>
      <c r="HL487" s="33"/>
      <c r="HM487" s="33"/>
      <c r="HN487" s="33"/>
      <c r="HO487" s="33"/>
      <c r="HP487" s="33"/>
      <c r="HQ487" s="33"/>
      <c r="HR487" s="33"/>
      <c r="HS487" s="33"/>
      <c r="HT487" s="33"/>
      <c r="HU487" s="33"/>
      <c r="HV487" s="33"/>
      <c r="HW487" s="33"/>
      <c r="HX487" s="33"/>
      <c r="HY487" s="33"/>
      <c r="HZ487" s="33"/>
      <c r="IA487" s="33"/>
      <c r="IB487" s="33"/>
      <c r="IC487" s="33"/>
      <c r="ID487" s="33"/>
      <c r="IE487" s="33"/>
      <c r="IF487" s="33"/>
      <c r="IG487" s="33"/>
      <c r="IH487" s="33"/>
      <c r="II487" s="33"/>
      <c r="IJ487" s="33"/>
      <c r="IK487" s="33"/>
      <c r="IL487" s="33"/>
      <c r="IM487" s="33"/>
      <c r="IN487" s="33"/>
      <c r="IO487" s="33"/>
      <c r="IP487" s="33"/>
      <c r="IQ487" s="33"/>
      <c r="IR487" s="33"/>
      <c r="IS487" s="33"/>
      <c r="IT487" s="33"/>
      <c r="IU487" s="33"/>
      <c r="IV487" s="33"/>
      <c r="IW487" s="33"/>
      <c r="IX487" s="33"/>
      <c r="IY487" s="33"/>
      <c r="IZ487" s="33"/>
      <c r="JA487" s="33"/>
      <c r="JB487" s="33"/>
      <c r="JC487" s="33"/>
      <c r="JD487" s="33"/>
      <c r="JE487" s="33"/>
      <c r="JF487" s="33"/>
      <c r="JG487" s="33"/>
      <c r="JH487" s="33"/>
      <c r="JI487" s="33"/>
      <c r="JJ487" s="33"/>
      <c r="JK487" s="33"/>
      <c r="JL487" s="33"/>
      <c r="JM487" s="33"/>
      <c r="JN487" s="33"/>
      <c r="JO487" s="33"/>
      <c r="JP487" s="33"/>
      <c r="JQ487" s="33"/>
      <c r="JR487" s="33"/>
      <c r="KZ487" s="33"/>
      <c r="LA487" s="33"/>
      <c r="LB487" s="33"/>
      <c r="LC487" s="33">
        <v>108</v>
      </c>
      <c r="LD487" s="33">
        <v>30.24</v>
      </c>
      <c r="LE487" s="33"/>
      <c r="LF487" s="33"/>
      <c r="LG487" s="33"/>
      <c r="LH487" s="33"/>
      <c r="LI487" s="33"/>
      <c r="LJ487" s="33"/>
      <c r="LK487" s="33"/>
      <c r="LL487" s="33"/>
      <c r="LM487" s="33"/>
      <c r="LN487" s="33"/>
      <c r="LO487" s="33"/>
      <c r="LP487" s="44">
        <v>28.2</v>
      </c>
      <c r="LQ487" s="44"/>
      <c r="LR487" s="44"/>
      <c r="LS487" s="44"/>
      <c r="LT487" s="44"/>
      <c r="LU487" s="44"/>
      <c r="LV487" s="44"/>
    </row>
    <row r="488" spans="1:334" x14ac:dyDescent="0.2">
      <c r="A488" s="1" t="s">
        <v>9261</v>
      </c>
      <c r="B488" s="1" t="s">
        <v>9255</v>
      </c>
      <c r="C488" s="1" t="s">
        <v>9256</v>
      </c>
      <c r="D488" s="1" t="s">
        <v>9262</v>
      </c>
      <c r="E488" s="1" t="s">
        <v>11</v>
      </c>
      <c r="F488" s="1" t="s">
        <v>8586</v>
      </c>
      <c r="H488" s="1" t="s">
        <v>9258</v>
      </c>
      <c r="I488" s="1">
        <v>2</v>
      </c>
      <c r="J488" s="1" t="s">
        <v>9259</v>
      </c>
      <c r="K488" s="1">
        <v>2004</v>
      </c>
      <c r="L488" s="1" t="s">
        <v>9260</v>
      </c>
      <c r="M488" s="1" t="s">
        <v>7661</v>
      </c>
      <c r="N488" s="17" t="s">
        <v>7945</v>
      </c>
      <c r="O488" s="33"/>
      <c r="P488" s="33"/>
      <c r="Q488" s="33"/>
      <c r="R488" s="33"/>
      <c r="S488" s="33">
        <v>74.400000000000006</v>
      </c>
      <c r="T488" s="33"/>
      <c r="U488" s="33"/>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c r="CA488" s="33"/>
      <c r="CB488" s="33"/>
      <c r="CC488" s="33"/>
      <c r="CD488" s="33"/>
      <c r="CE488" s="33"/>
      <c r="CF488" s="33"/>
      <c r="CG488" s="33"/>
      <c r="CH488" s="33"/>
      <c r="CI488" s="33"/>
      <c r="CJ488" s="33"/>
      <c r="CK488" s="33"/>
      <c r="CL488" s="33"/>
      <c r="CM488" s="33"/>
      <c r="CN488" s="33"/>
      <c r="CO488" s="33"/>
      <c r="CP488" s="33">
        <v>28.1</v>
      </c>
      <c r="CQ488" s="33"/>
      <c r="CR488" s="33"/>
      <c r="CS488" s="33">
        <v>4.5999999999999996</v>
      </c>
      <c r="CT488" s="33"/>
      <c r="CU488" s="33"/>
      <c r="CV488" s="33"/>
      <c r="CW488" s="33"/>
      <c r="CX488" s="33"/>
      <c r="CY488" s="33">
        <v>118</v>
      </c>
      <c r="CZ488" s="33"/>
      <c r="DA488" s="33">
        <v>0.77</v>
      </c>
      <c r="DB488" s="33"/>
      <c r="DC488" s="33"/>
      <c r="DD488" s="33"/>
      <c r="DE488" s="33"/>
      <c r="DF488" s="33"/>
      <c r="DG488" s="33"/>
      <c r="DH488" s="33"/>
      <c r="DI488" s="33"/>
      <c r="DJ488" s="33"/>
      <c r="DK488" s="33"/>
      <c r="DL488" s="33"/>
      <c r="DM488" s="33"/>
      <c r="DN488" s="33"/>
      <c r="DO488" s="33"/>
      <c r="DP488" s="33"/>
      <c r="DQ488" s="33"/>
      <c r="DR488" s="33"/>
      <c r="DS488" s="33"/>
      <c r="DT488" s="33"/>
      <c r="DU488" s="33"/>
      <c r="DV488" s="33"/>
      <c r="DW488" s="33"/>
      <c r="DX488" s="33"/>
      <c r="DY488" s="33"/>
      <c r="DZ488" s="33"/>
      <c r="EA488" s="33"/>
      <c r="EB488" s="33"/>
      <c r="EC488" s="33"/>
      <c r="ED488" s="33"/>
      <c r="EE488" s="33"/>
      <c r="EF488" s="33"/>
      <c r="EG488" s="33"/>
      <c r="EH488" s="33"/>
      <c r="EI488" s="33"/>
      <c r="EJ488" s="33"/>
      <c r="EK488" s="33"/>
      <c r="EL488" s="33"/>
      <c r="EM488" s="33"/>
      <c r="EN488" s="33"/>
      <c r="EO488" s="33"/>
      <c r="EP488" s="33"/>
      <c r="EQ488" s="33"/>
      <c r="ER488" s="33"/>
      <c r="ES488" s="33"/>
      <c r="ET488" s="33"/>
      <c r="EU488" s="33"/>
      <c r="EV488" s="33"/>
      <c r="EW488" s="33"/>
      <c r="EX488" s="33"/>
      <c r="EY488" s="33"/>
      <c r="EZ488" s="33"/>
      <c r="FA488" s="33"/>
      <c r="FB488" s="33"/>
      <c r="FC488" s="33"/>
      <c r="FD488" s="33"/>
      <c r="FE488" s="33"/>
      <c r="FF488" s="33"/>
      <c r="FG488" s="33"/>
      <c r="FH488" s="33"/>
      <c r="FI488" s="33"/>
      <c r="FJ488" s="33"/>
      <c r="FK488" s="33"/>
      <c r="FL488" s="33"/>
      <c r="FM488" s="33"/>
      <c r="FN488" s="33"/>
      <c r="FO488" s="33"/>
      <c r="FP488" s="33"/>
      <c r="FQ488" s="33"/>
      <c r="FR488" s="33"/>
      <c r="FS488" s="33"/>
      <c r="FT488" s="33"/>
      <c r="FU488" s="33"/>
      <c r="FV488" s="33"/>
      <c r="FW488" s="33"/>
      <c r="FX488" s="33"/>
      <c r="FY488" s="33"/>
      <c r="FZ488" s="33"/>
      <c r="GA488" s="33"/>
      <c r="GB488" s="33"/>
      <c r="GC488" s="33"/>
      <c r="GD488" s="33"/>
      <c r="GE488" s="33"/>
      <c r="GF488" s="33"/>
      <c r="GG488" s="33"/>
      <c r="GH488" s="33"/>
      <c r="GI488" s="33"/>
      <c r="GJ488" s="33"/>
      <c r="GK488" s="33"/>
      <c r="GL488" s="33"/>
      <c r="GM488" s="33"/>
      <c r="GN488" s="33"/>
      <c r="GO488" s="33"/>
      <c r="GP488" s="33"/>
      <c r="GQ488" s="33"/>
      <c r="GR488" s="33"/>
      <c r="GS488" s="33"/>
      <c r="GT488" s="33"/>
      <c r="GU488" s="33"/>
      <c r="GV488" s="33"/>
      <c r="GW488" s="33"/>
      <c r="GX488" s="33"/>
      <c r="GY488" s="33"/>
      <c r="GZ488" s="33"/>
      <c r="HA488" s="33"/>
      <c r="HB488" s="33"/>
      <c r="HC488" s="33"/>
      <c r="HD488" s="33"/>
      <c r="HE488" s="33"/>
      <c r="HF488" s="33"/>
      <c r="HG488" s="33"/>
      <c r="HH488" s="33"/>
      <c r="HI488" s="33"/>
      <c r="HJ488" s="33"/>
      <c r="HK488" s="33"/>
      <c r="HL488" s="33"/>
      <c r="HM488" s="33"/>
      <c r="HN488" s="33"/>
      <c r="HO488" s="33"/>
      <c r="HP488" s="33"/>
      <c r="HQ488" s="33"/>
      <c r="HR488" s="33"/>
      <c r="HS488" s="33"/>
      <c r="HT488" s="33"/>
      <c r="HU488" s="33"/>
      <c r="HV488" s="33"/>
      <c r="HW488" s="33"/>
      <c r="HX488" s="33"/>
      <c r="HY488" s="33"/>
      <c r="HZ488" s="33"/>
      <c r="IA488" s="33"/>
      <c r="IB488" s="33"/>
      <c r="IC488" s="33"/>
      <c r="ID488" s="33"/>
      <c r="IE488" s="33"/>
      <c r="IF488" s="33"/>
      <c r="IG488" s="33"/>
      <c r="IH488" s="33"/>
      <c r="II488" s="33"/>
      <c r="IJ488" s="33"/>
      <c r="IK488" s="33"/>
      <c r="IL488" s="33"/>
      <c r="IM488" s="33"/>
      <c r="IN488" s="33"/>
      <c r="IO488" s="33"/>
      <c r="IP488" s="33"/>
      <c r="IQ488" s="33"/>
      <c r="IR488" s="33"/>
      <c r="IS488" s="33"/>
      <c r="IT488" s="33"/>
      <c r="IU488" s="33"/>
      <c r="IV488" s="33"/>
      <c r="IW488" s="33"/>
      <c r="IX488" s="33"/>
      <c r="IY488" s="33"/>
      <c r="IZ488" s="33"/>
      <c r="JA488" s="33"/>
      <c r="JB488" s="33"/>
      <c r="JC488" s="33"/>
      <c r="JD488" s="33"/>
      <c r="JE488" s="33"/>
      <c r="JF488" s="33"/>
      <c r="JG488" s="33"/>
      <c r="JH488" s="33"/>
      <c r="JI488" s="33"/>
      <c r="JJ488" s="33"/>
      <c r="JK488" s="33"/>
      <c r="JL488" s="33"/>
      <c r="JM488" s="33"/>
      <c r="JN488" s="33"/>
      <c r="JO488" s="33"/>
      <c r="JP488" s="33"/>
      <c r="JQ488" s="33"/>
      <c r="JR488" s="33"/>
      <c r="KZ488" s="33"/>
      <c r="LA488" s="33"/>
      <c r="LB488" s="33"/>
      <c r="LC488" s="33">
        <v>292</v>
      </c>
      <c r="LD488" s="33">
        <v>81.42</v>
      </c>
      <c r="LE488" s="33"/>
      <c r="LF488" s="33"/>
      <c r="LG488" s="33"/>
      <c r="LH488" s="33"/>
      <c r="LI488" s="33"/>
      <c r="LJ488" s="33"/>
      <c r="LK488" s="33"/>
      <c r="LL488" s="33"/>
      <c r="LM488" s="33"/>
      <c r="LN488" s="33"/>
      <c r="LO488" s="33"/>
      <c r="LP488" s="44">
        <v>0</v>
      </c>
      <c r="LQ488" s="44"/>
      <c r="LR488" s="44"/>
      <c r="LS488" s="44"/>
      <c r="LT488" s="44"/>
      <c r="LU488" s="44"/>
      <c r="LV488" s="44"/>
    </row>
    <row r="489" spans="1:334" x14ac:dyDescent="0.2">
      <c r="A489" s="1" t="s">
        <v>9263</v>
      </c>
      <c r="B489" s="1" t="s">
        <v>9255</v>
      </c>
      <c r="C489" s="1" t="s">
        <v>9256</v>
      </c>
      <c r="D489" s="1" t="s">
        <v>9264</v>
      </c>
      <c r="E489" s="1" t="s">
        <v>11</v>
      </c>
      <c r="F489" s="1" t="s">
        <v>9265</v>
      </c>
      <c r="H489" s="1" t="s">
        <v>9258</v>
      </c>
      <c r="I489" s="1">
        <v>2</v>
      </c>
      <c r="J489" s="1" t="s">
        <v>9259</v>
      </c>
      <c r="K489" s="1">
        <v>2004</v>
      </c>
      <c r="L489" s="1" t="s">
        <v>9260</v>
      </c>
      <c r="M489" s="1" t="s">
        <v>7661</v>
      </c>
      <c r="N489" s="17" t="s">
        <v>7945</v>
      </c>
      <c r="O489" s="33"/>
      <c r="P489" s="33"/>
      <c r="Q489" s="33"/>
      <c r="R489" s="33"/>
      <c r="S489" s="33">
        <v>82.2</v>
      </c>
      <c r="T489" s="33"/>
      <c r="U489" s="33"/>
      <c r="V489" s="33"/>
      <c r="W489" s="33"/>
      <c r="X489" s="33"/>
      <c r="Y489" s="33"/>
      <c r="Z489" s="33"/>
      <c r="AA489" s="33"/>
      <c r="AB489" s="33"/>
      <c r="AC489" s="33"/>
      <c r="AD489" s="33"/>
      <c r="AE489" s="33"/>
      <c r="AF489" s="33"/>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33"/>
      <c r="BC489" s="33"/>
      <c r="BD489" s="33"/>
      <c r="BE489" s="33"/>
      <c r="BF489" s="33"/>
      <c r="BG489" s="33"/>
      <c r="BH489" s="33"/>
      <c r="BI489" s="33"/>
      <c r="BJ489" s="33"/>
      <c r="BK489" s="33"/>
      <c r="BL489" s="33"/>
      <c r="BM489" s="33"/>
      <c r="BN489" s="33"/>
      <c r="BO489" s="33"/>
      <c r="BP489" s="33"/>
      <c r="BQ489" s="33"/>
      <c r="BR489" s="33"/>
      <c r="BS489" s="33"/>
      <c r="BT489" s="33"/>
      <c r="BU489" s="33"/>
      <c r="BV489" s="33"/>
      <c r="BW489" s="33"/>
      <c r="BX489" s="33"/>
      <c r="BY489" s="33"/>
      <c r="BZ489" s="33"/>
      <c r="CA489" s="33"/>
      <c r="CB489" s="33"/>
      <c r="CC489" s="33"/>
      <c r="CD489" s="33"/>
      <c r="CE489" s="33"/>
      <c r="CF489" s="33"/>
      <c r="CG489" s="33"/>
      <c r="CH489" s="33"/>
      <c r="CI489" s="33"/>
      <c r="CJ489" s="33"/>
      <c r="CK489" s="33"/>
      <c r="CL489" s="33"/>
      <c r="CM489" s="33"/>
      <c r="CN489" s="33"/>
      <c r="CO489" s="33"/>
      <c r="CP489" s="33">
        <v>25.9</v>
      </c>
      <c r="CQ489" s="33"/>
      <c r="CR489" s="33"/>
      <c r="CS489" s="33">
        <v>4.2</v>
      </c>
      <c r="CT489" s="33"/>
      <c r="CU489" s="33"/>
      <c r="CV489" s="33"/>
      <c r="CW489" s="33"/>
      <c r="CX489" s="33"/>
      <c r="CY489" s="33">
        <v>65</v>
      </c>
      <c r="CZ489" s="33"/>
      <c r="DA489" s="33">
        <v>0.68</v>
      </c>
      <c r="DB489" s="33"/>
      <c r="DC489" s="33"/>
      <c r="DD489" s="33"/>
      <c r="DE489" s="33"/>
      <c r="DF489" s="33"/>
      <c r="DG489" s="33"/>
      <c r="DH489" s="33"/>
      <c r="DI489" s="33"/>
      <c r="DJ489" s="33"/>
      <c r="DK489" s="33"/>
      <c r="DL489" s="33"/>
      <c r="DM489" s="33"/>
      <c r="DN489" s="33"/>
      <c r="DO489" s="33"/>
      <c r="DP489" s="33"/>
      <c r="DQ489" s="33"/>
      <c r="DR489" s="33"/>
      <c r="DS489" s="33"/>
      <c r="DT489" s="33"/>
      <c r="DU489" s="33"/>
      <c r="DV489" s="33"/>
      <c r="DW489" s="33"/>
      <c r="DX489" s="33"/>
      <c r="DY489" s="33"/>
      <c r="DZ489" s="33"/>
      <c r="EA489" s="33"/>
      <c r="EB489" s="33"/>
      <c r="EC489" s="33"/>
      <c r="ED489" s="33"/>
      <c r="EE489" s="33"/>
      <c r="EF489" s="33"/>
      <c r="EG489" s="33"/>
      <c r="EH489" s="33"/>
      <c r="EI489" s="33"/>
      <c r="EJ489" s="33"/>
      <c r="EK489" s="33"/>
      <c r="EL489" s="33"/>
      <c r="EM489" s="33"/>
      <c r="EN489" s="33"/>
      <c r="EO489" s="33"/>
      <c r="EP489" s="33"/>
      <c r="EQ489" s="33"/>
      <c r="ER489" s="33"/>
      <c r="ES489" s="33"/>
      <c r="ET489" s="33"/>
      <c r="EU489" s="33"/>
      <c r="EV489" s="33"/>
      <c r="EW489" s="33"/>
      <c r="EX489" s="33"/>
      <c r="EY489" s="33"/>
      <c r="EZ489" s="33"/>
      <c r="FA489" s="33"/>
      <c r="FB489" s="33"/>
      <c r="FC489" s="33"/>
      <c r="FD489" s="33"/>
      <c r="FE489" s="33"/>
      <c r="FF489" s="33"/>
      <c r="FG489" s="33"/>
      <c r="FH489" s="33"/>
      <c r="FI489" s="33"/>
      <c r="FJ489" s="33"/>
      <c r="FK489" s="33"/>
      <c r="FL489" s="33"/>
      <c r="FM489" s="33"/>
      <c r="FN489" s="33"/>
      <c r="FO489" s="33"/>
      <c r="FP489" s="33"/>
      <c r="FQ489" s="33"/>
      <c r="FR489" s="33"/>
      <c r="FS489" s="33"/>
      <c r="FT489" s="33"/>
      <c r="FU489" s="33"/>
      <c r="FV489" s="33"/>
      <c r="FW489" s="33"/>
      <c r="FX489" s="33"/>
      <c r="FY489" s="33"/>
      <c r="FZ489" s="33"/>
      <c r="GA489" s="33"/>
      <c r="GB489" s="33"/>
      <c r="GC489" s="33"/>
      <c r="GD489" s="33"/>
      <c r="GE489" s="33"/>
      <c r="GF489" s="33"/>
      <c r="GG489" s="33"/>
      <c r="GH489" s="33"/>
      <c r="GI489" s="33"/>
      <c r="GJ489" s="33"/>
      <c r="GK489" s="33"/>
      <c r="GL489" s="33"/>
      <c r="GM489" s="33"/>
      <c r="GN489" s="33"/>
      <c r="GO489" s="33"/>
      <c r="GP489" s="33"/>
      <c r="GQ489" s="33"/>
      <c r="GR489" s="33"/>
      <c r="GS489" s="33"/>
      <c r="GT489" s="33"/>
      <c r="GU489" s="33"/>
      <c r="GV489" s="33"/>
      <c r="GW489" s="33"/>
      <c r="GX489" s="33"/>
      <c r="GY489" s="33"/>
      <c r="GZ489" s="33"/>
      <c r="HA489" s="33"/>
      <c r="HB489" s="33"/>
      <c r="HC489" s="33"/>
      <c r="HD489" s="33"/>
      <c r="HE489" s="33"/>
      <c r="HF489" s="33"/>
      <c r="HG489" s="33"/>
      <c r="HH489" s="33"/>
      <c r="HI489" s="33"/>
      <c r="HJ489" s="33"/>
      <c r="HK489" s="33"/>
      <c r="HL489" s="33"/>
      <c r="HM489" s="33"/>
      <c r="HN489" s="33"/>
      <c r="HO489" s="33"/>
      <c r="HP489" s="33"/>
      <c r="HQ489" s="33"/>
      <c r="HR489" s="33"/>
      <c r="HS489" s="33"/>
      <c r="HT489" s="33"/>
      <c r="HU489" s="33"/>
      <c r="HV489" s="33"/>
      <c r="HW489" s="33"/>
      <c r="HX489" s="33"/>
      <c r="HY489" s="33"/>
      <c r="HZ489" s="33"/>
      <c r="IA489" s="33"/>
      <c r="IB489" s="33"/>
      <c r="IC489" s="33"/>
      <c r="ID489" s="33"/>
      <c r="IE489" s="33"/>
      <c r="IF489" s="33"/>
      <c r="IG489" s="33"/>
      <c r="IH489" s="33"/>
      <c r="II489" s="33"/>
      <c r="IJ489" s="33"/>
      <c r="IK489" s="33"/>
      <c r="IL489" s="33"/>
      <c r="IM489" s="33"/>
      <c r="IN489" s="33"/>
      <c r="IO489" s="33"/>
      <c r="IP489" s="33"/>
      <c r="IQ489" s="33"/>
      <c r="IR489" s="33"/>
      <c r="IS489" s="33"/>
      <c r="IT489" s="33"/>
      <c r="IU489" s="33"/>
      <c r="IV489" s="33"/>
      <c r="IW489" s="33"/>
      <c r="IX489" s="33"/>
      <c r="IY489" s="33"/>
      <c r="IZ489" s="33"/>
      <c r="JA489" s="33"/>
      <c r="JB489" s="33"/>
      <c r="JC489" s="33"/>
      <c r="JD489" s="33"/>
      <c r="JE489" s="33"/>
      <c r="JF489" s="33"/>
      <c r="JG489" s="33"/>
      <c r="JH489" s="33"/>
      <c r="JI489" s="33"/>
      <c r="JJ489" s="33"/>
      <c r="JK489" s="33"/>
      <c r="JL489" s="33"/>
      <c r="JM489" s="33"/>
      <c r="JN489" s="33"/>
      <c r="JO489" s="33"/>
      <c r="JP489" s="33"/>
      <c r="JQ489" s="33"/>
      <c r="JR489" s="33"/>
      <c r="KZ489" s="33"/>
      <c r="LA489" s="33"/>
      <c r="LB489" s="33"/>
      <c r="LC489" s="33">
        <v>152</v>
      </c>
      <c r="LD489" s="33">
        <v>40.950000000000003</v>
      </c>
      <c r="LE489" s="33"/>
      <c r="LF489" s="33"/>
      <c r="LG489" s="33"/>
      <c r="LH489" s="33"/>
      <c r="LI489" s="33"/>
      <c r="LJ489" s="33"/>
      <c r="LK489" s="33"/>
      <c r="LL489" s="33"/>
      <c r="LM489" s="33"/>
      <c r="LN489" s="33"/>
      <c r="LO489" s="33"/>
      <c r="LP489" s="44">
        <v>0</v>
      </c>
      <c r="LQ489" s="44"/>
      <c r="LR489" s="44"/>
      <c r="LS489" s="44"/>
      <c r="LT489" s="44"/>
      <c r="LU489" s="44"/>
      <c r="LV489" s="44"/>
    </row>
    <row r="490" spans="1:334" x14ac:dyDescent="0.2">
      <c r="A490" s="1" t="s">
        <v>9266</v>
      </c>
      <c r="B490" s="1" t="s">
        <v>9255</v>
      </c>
      <c r="C490" s="1" t="s">
        <v>9256</v>
      </c>
      <c r="D490" s="1" t="s">
        <v>9267</v>
      </c>
      <c r="E490" s="1" t="s">
        <v>11</v>
      </c>
      <c r="F490" s="1" t="s">
        <v>9198</v>
      </c>
      <c r="H490" s="1" t="s">
        <v>9268</v>
      </c>
      <c r="I490" s="1">
        <v>5</v>
      </c>
      <c r="J490" s="1" t="s">
        <v>9259</v>
      </c>
      <c r="K490" s="1">
        <v>2004</v>
      </c>
      <c r="L490" s="1" t="s">
        <v>9260</v>
      </c>
      <c r="M490" s="1" t="s">
        <v>7661</v>
      </c>
      <c r="N490" s="17" t="s">
        <v>7945</v>
      </c>
      <c r="O490" s="33"/>
      <c r="P490" s="33"/>
      <c r="Q490" s="33"/>
      <c r="R490" s="33"/>
      <c r="S490" s="33">
        <v>77.5</v>
      </c>
      <c r="T490" s="33"/>
      <c r="U490" s="33"/>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c r="CA490" s="33"/>
      <c r="CB490" s="33"/>
      <c r="CC490" s="33"/>
      <c r="CD490" s="33"/>
      <c r="CE490" s="33"/>
      <c r="CF490" s="33"/>
      <c r="CG490" s="33"/>
      <c r="CH490" s="33"/>
      <c r="CI490" s="33"/>
      <c r="CJ490" s="33"/>
      <c r="CK490" s="33"/>
      <c r="CL490" s="33"/>
      <c r="CM490" s="33"/>
      <c r="CN490" s="33"/>
      <c r="CO490" s="33"/>
      <c r="CP490" s="33">
        <v>16.899999999999999</v>
      </c>
      <c r="CQ490" s="33"/>
      <c r="CR490" s="33"/>
      <c r="CS490" s="33">
        <v>3.9</v>
      </c>
      <c r="CT490" s="33"/>
      <c r="CU490" s="33"/>
      <c r="CV490" s="33"/>
      <c r="CW490" s="33"/>
      <c r="CX490" s="33"/>
      <c r="CY490" s="33">
        <v>103</v>
      </c>
      <c r="CZ490" s="33"/>
      <c r="DA490" s="33">
        <v>1.03</v>
      </c>
      <c r="DB490" s="33"/>
      <c r="DC490" s="33"/>
      <c r="DD490" s="33"/>
      <c r="DE490" s="33"/>
      <c r="DF490" s="33"/>
      <c r="DG490" s="33"/>
      <c r="DH490" s="33"/>
      <c r="DI490" s="33"/>
      <c r="DJ490" s="33"/>
      <c r="DK490" s="33"/>
      <c r="DL490" s="33"/>
      <c r="DM490" s="33"/>
      <c r="DN490" s="33"/>
      <c r="DO490" s="33"/>
      <c r="DP490" s="33"/>
      <c r="DQ490" s="33"/>
      <c r="DR490" s="33"/>
      <c r="DS490" s="33"/>
      <c r="DT490" s="33"/>
      <c r="DU490" s="33"/>
      <c r="DV490" s="33"/>
      <c r="DW490" s="33"/>
      <c r="DX490" s="33"/>
      <c r="DY490" s="33"/>
      <c r="DZ490" s="33"/>
      <c r="EA490" s="33"/>
      <c r="EB490" s="33"/>
      <c r="EC490" s="33"/>
      <c r="ED490" s="33"/>
      <c r="EE490" s="33"/>
      <c r="EF490" s="33"/>
      <c r="EG490" s="33"/>
      <c r="EH490" s="33"/>
      <c r="EI490" s="33"/>
      <c r="EJ490" s="33"/>
      <c r="EK490" s="33"/>
      <c r="EL490" s="33"/>
      <c r="EM490" s="33"/>
      <c r="EN490" s="33"/>
      <c r="EO490" s="33"/>
      <c r="EP490" s="33"/>
      <c r="EQ490" s="33"/>
      <c r="ER490" s="33"/>
      <c r="ES490" s="33"/>
      <c r="ET490" s="33"/>
      <c r="EU490" s="33"/>
      <c r="EV490" s="33"/>
      <c r="EW490" s="33"/>
      <c r="EX490" s="33"/>
      <c r="EY490" s="33"/>
      <c r="EZ490" s="33"/>
      <c r="FA490" s="33"/>
      <c r="FB490" s="33"/>
      <c r="FC490" s="33"/>
      <c r="FD490" s="33"/>
      <c r="FE490" s="33"/>
      <c r="FF490" s="33"/>
      <c r="FG490" s="33"/>
      <c r="FH490" s="33"/>
      <c r="FI490" s="33"/>
      <c r="FJ490" s="33"/>
      <c r="FK490" s="33"/>
      <c r="FL490" s="33"/>
      <c r="FM490" s="33"/>
      <c r="FN490" s="33"/>
      <c r="FO490" s="33"/>
      <c r="FP490" s="33"/>
      <c r="FQ490" s="33"/>
      <c r="FR490" s="33"/>
      <c r="FS490" s="33"/>
      <c r="FT490" s="33"/>
      <c r="FU490" s="33"/>
      <c r="FV490" s="33"/>
      <c r="FW490" s="33"/>
      <c r="FX490" s="33"/>
      <c r="FY490" s="33"/>
      <c r="FZ490" s="33"/>
      <c r="GA490" s="33"/>
      <c r="GB490" s="33"/>
      <c r="GC490" s="33"/>
      <c r="GD490" s="33"/>
      <c r="GE490" s="33"/>
      <c r="GF490" s="33"/>
      <c r="GG490" s="33"/>
      <c r="GH490" s="33"/>
      <c r="GI490" s="33"/>
      <c r="GJ490" s="33"/>
      <c r="GK490" s="33"/>
      <c r="GL490" s="33"/>
      <c r="GM490" s="33"/>
      <c r="GN490" s="33"/>
      <c r="GO490" s="33"/>
      <c r="GP490" s="33"/>
      <c r="GQ490" s="33"/>
      <c r="GR490" s="33"/>
      <c r="GS490" s="33"/>
      <c r="GT490" s="33"/>
      <c r="GU490" s="33"/>
      <c r="GV490" s="33"/>
      <c r="GW490" s="33"/>
      <c r="GX490" s="33"/>
      <c r="GY490" s="33"/>
      <c r="GZ490" s="33"/>
      <c r="HA490" s="33"/>
      <c r="HB490" s="33"/>
      <c r="HC490" s="33"/>
      <c r="HD490" s="33"/>
      <c r="HE490" s="33"/>
      <c r="HF490" s="33"/>
      <c r="HG490" s="33"/>
      <c r="HH490" s="33"/>
      <c r="HI490" s="33"/>
      <c r="HJ490" s="33"/>
      <c r="HK490" s="33"/>
      <c r="HL490" s="33"/>
      <c r="HM490" s="33"/>
      <c r="HN490" s="33"/>
      <c r="HO490" s="33"/>
      <c r="HP490" s="33"/>
      <c r="HQ490" s="33"/>
      <c r="HR490" s="33"/>
      <c r="HS490" s="33"/>
      <c r="HT490" s="33"/>
      <c r="HU490" s="33"/>
      <c r="HV490" s="33"/>
      <c r="HW490" s="33"/>
      <c r="HX490" s="33"/>
      <c r="HY490" s="33"/>
      <c r="HZ490" s="33"/>
      <c r="IA490" s="33"/>
      <c r="IB490" s="33"/>
      <c r="IC490" s="33"/>
      <c r="ID490" s="33"/>
      <c r="IE490" s="33"/>
      <c r="IF490" s="33"/>
      <c r="IG490" s="33"/>
      <c r="IH490" s="33"/>
      <c r="II490" s="33"/>
      <c r="IJ490" s="33"/>
      <c r="IK490" s="33"/>
      <c r="IL490" s="33"/>
      <c r="IM490" s="33"/>
      <c r="IN490" s="33"/>
      <c r="IO490" s="33"/>
      <c r="IP490" s="33"/>
      <c r="IQ490" s="33"/>
      <c r="IR490" s="33"/>
      <c r="IS490" s="33"/>
      <c r="IT490" s="33"/>
      <c r="IU490" s="33"/>
      <c r="IV490" s="33"/>
      <c r="IW490" s="33"/>
      <c r="IX490" s="33"/>
      <c r="IY490" s="33"/>
      <c r="IZ490" s="33"/>
      <c r="JA490" s="33"/>
      <c r="JB490" s="33"/>
      <c r="JC490" s="33"/>
      <c r="JD490" s="33"/>
      <c r="JE490" s="33"/>
      <c r="JF490" s="33"/>
      <c r="JG490" s="33"/>
      <c r="JH490" s="33"/>
      <c r="JI490" s="33"/>
      <c r="JJ490" s="33"/>
      <c r="JK490" s="33"/>
      <c r="JL490" s="33"/>
      <c r="JM490" s="33"/>
      <c r="JN490" s="33"/>
      <c r="JO490" s="33"/>
      <c r="JP490" s="33"/>
      <c r="JQ490" s="33"/>
      <c r="JR490" s="33"/>
      <c r="KZ490" s="33"/>
      <c r="LA490" s="33"/>
      <c r="LB490" s="33"/>
      <c r="LC490" s="33">
        <v>196</v>
      </c>
      <c r="LD490" s="33">
        <v>60.77</v>
      </c>
      <c r="LE490" s="33"/>
      <c r="LF490" s="33"/>
      <c r="LG490" s="33"/>
      <c r="LH490" s="33"/>
      <c r="LI490" s="33"/>
      <c r="LJ490" s="33"/>
      <c r="LK490" s="33"/>
      <c r="LL490" s="33"/>
      <c r="LM490" s="33"/>
      <c r="LN490" s="33"/>
      <c r="LO490" s="33"/>
      <c r="LP490" s="44">
        <v>53.6</v>
      </c>
      <c r="LQ490" s="44"/>
      <c r="LR490" s="44"/>
      <c r="LS490" s="44"/>
      <c r="LT490" s="44"/>
      <c r="LU490" s="44"/>
      <c r="LV490" s="44"/>
    </row>
    <row r="491" spans="1:334" x14ac:dyDescent="0.2">
      <c r="A491" s="1" t="s">
        <v>9269</v>
      </c>
      <c r="B491" s="1" t="s">
        <v>9255</v>
      </c>
      <c r="C491" s="1" t="s">
        <v>9256</v>
      </c>
      <c r="D491" s="1" t="s">
        <v>9270</v>
      </c>
      <c r="E491" s="1" t="s">
        <v>11</v>
      </c>
      <c r="F491" s="1" t="s">
        <v>9271</v>
      </c>
      <c r="H491" s="1" t="s">
        <v>9268</v>
      </c>
      <c r="I491" s="1">
        <v>2</v>
      </c>
      <c r="J491" s="1" t="s">
        <v>9259</v>
      </c>
      <c r="K491" s="1">
        <v>2004</v>
      </c>
      <c r="L491" s="1" t="s">
        <v>9260</v>
      </c>
      <c r="M491" s="1" t="s">
        <v>7661</v>
      </c>
      <c r="N491" s="17" t="s">
        <v>7945</v>
      </c>
      <c r="O491" s="33"/>
      <c r="P491" s="33"/>
      <c r="Q491" s="33"/>
      <c r="R491" s="33"/>
      <c r="S491" s="33">
        <v>86.1</v>
      </c>
      <c r="T491" s="33"/>
      <c r="U491" s="33"/>
      <c r="V491" s="33"/>
      <c r="W491" s="33"/>
      <c r="X491" s="33"/>
      <c r="Y491" s="33"/>
      <c r="Z491" s="33"/>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c r="CD491" s="33"/>
      <c r="CE491" s="33"/>
      <c r="CF491" s="33"/>
      <c r="CG491" s="33"/>
      <c r="CH491" s="33"/>
      <c r="CI491" s="33"/>
      <c r="CJ491" s="33"/>
      <c r="CK491" s="33"/>
      <c r="CL491" s="33"/>
      <c r="CM491" s="33"/>
      <c r="CN491" s="33"/>
      <c r="CO491" s="33"/>
      <c r="CP491" s="33">
        <v>18.8</v>
      </c>
      <c r="CQ491" s="33"/>
      <c r="CR491" s="33"/>
      <c r="CS491" s="33">
        <v>3.3</v>
      </c>
      <c r="CT491" s="33"/>
      <c r="CU491" s="33"/>
      <c r="CV491" s="33"/>
      <c r="CW491" s="33"/>
      <c r="CX491" s="33"/>
      <c r="CY491" s="33">
        <v>74</v>
      </c>
      <c r="CZ491" s="33"/>
      <c r="DA491" s="33">
        <v>0.56000000000000005</v>
      </c>
      <c r="DB491" s="33"/>
      <c r="DC491" s="33"/>
      <c r="DD491" s="33"/>
      <c r="DE491" s="33"/>
      <c r="DF491" s="33"/>
      <c r="DG491" s="33"/>
      <c r="DH491" s="33"/>
      <c r="DI491" s="33"/>
      <c r="DJ491" s="33"/>
      <c r="DK491" s="33"/>
      <c r="DL491" s="33"/>
      <c r="DM491" s="33"/>
      <c r="DN491" s="33"/>
      <c r="DO491" s="33"/>
      <c r="DP491" s="33"/>
      <c r="DQ491" s="33"/>
      <c r="DR491" s="33"/>
      <c r="DS491" s="33"/>
      <c r="DT491" s="33"/>
      <c r="DU491" s="33"/>
      <c r="DV491" s="33"/>
      <c r="DW491" s="33"/>
      <c r="DX491" s="33"/>
      <c r="DY491" s="33"/>
      <c r="DZ491" s="33"/>
      <c r="EA491" s="33"/>
      <c r="EB491" s="33"/>
      <c r="EC491" s="33"/>
      <c r="ED491" s="33"/>
      <c r="EE491" s="33"/>
      <c r="EF491" s="33"/>
      <c r="EG491" s="33"/>
      <c r="EH491" s="33"/>
      <c r="EI491" s="33"/>
      <c r="EJ491" s="33"/>
      <c r="EK491" s="33"/>
      <c r="EL491" s="33"/>
      <c r="EM491" s="33"/>
      <c r="EN491" s="33"/>
      <c r="EO491" s="33"/>
      <c r="EP491" s="33"/>
      <c r="EQ491" s="33"/>
      <c r="ER491" s="33"/>
      <c r="ES491" s="33"/>
      <c r="ET491" s="33"/>
      <c r="EU491" s="33"/>
      <c r="EV491" s="33"/>
      <c r="EW491" s="33"/>
      <c r="EX491" s="33"/>
      <c r="EY491" s="33"/>
      <c r="EZ491" s="33"/>
      <c r="FA491" s="33"/>
      <c r="FB491" s="33"/>
      <c r="FC491" s="33"/>
      <c r="FD491" s="33"/>
      <c r="FE491" s="33"/>
      <c r="FF491" s="33"/>
      <c r="FG491" s="33"/>
      <c r="FH491" s="33"/>
      <c r="FI491" s="33"/>
      <c r="FJ491" s="33"/>
      <c r="FK491" s="33"/>
      <c r="FL491" s="33"/>
      <c r="FM491" s="33"/>
      <c r="FN491" s="33"/>
      <c r="FO491" s="33"/>
      <c r="FP491" s="33"/>
      <c r="FQ491" s="33"/>
      <c r="FR491" s="33"/>
      <c r="FS491" s="33"/>
      <c r="FT491" s="33"/>
      <c r="FU491" s="33"/>
      <c r="FV491" s="33"/>
      <c r="FW491" s="33"/>
      <c r="FX491" s="33"/>
      <c r="FY491" s="33"/>
      <c r="FZ491" s="33"/>
      <c r="GA491" s="33"/>
      <c r="GB491" s="33"/>
      <c r="GC491" s="33"/>
      <c r="GD491" s="33"/>
      <c r="GE491" s="33"/>
      <c r="GF491" s="33"/>
      <c r="GG491" s="33"/>
      <c r="GH491" s="33"/>
      <c r="GI491" s="33"/>
      <c r="GJ491" s="33"/>
      <c r="GK491" s="33"/>
      <c r="GL491" s="33"/>
      <c r="GM491" s="33"/>
      <c r="GN491" s="33"/>
      <c r="GO491" s="33"/>
      <c r="GP491" s="33"/>
      <c r="GQ491" s="33"/>
      <c r="GR491" s="33"/>
      <c r="GS491" s="33"/>
      <c r="GT491" s="33"/>
      <c r="GU491" s="33"/>
      <c r="GV491" s="33"/>
      <c r="GW491" s="33"/>
      <c r="GX491" s="33"/>
      <c r="GY491" s="33"/>
      <c r="GZ491" s="33"/>
      <c r="HA491" s="33"/>
      <c r="HB491" s="33"/>
      <c r="HC491" s="33"/>
      <c r="HD491" s="33"/>
      <c r="HE491" s="33"/>
      <c r="HF491" s="33"/>
      <c r="HG491" s="33"/>
      <c r="HH491" s="33"/>
      <c r="HI491" s="33"/>
      <c r="HJ491" s="33"/>
      <c r="HK491" s="33"/>
      <c r="HL491" s="33"/>
      <c r="HM491" s="33"/>
      <c r="HN491" s="33"/>
      <c r="HO491" s="33"/>
      <c r="HP491" s="33"/>
      <c r="HQ491" s="33"/>
      <c r="HR491" s="33"/>
      <c r="HS491" s="33"/>
      <c r="HT491" s="33"/>
      <c r="HU491" s="33"/>
      <c r="HV491" s="33"/>
      <c r="HW491" s="33"/>
      <c r="HX491" s="33"/>
      <c r="HY491" s="33"/>
      <c r="HZ491" s="33"/>
      <c r="IA491" s="33"/>
      <c r="IB491" s="33"/>
      <c r="IC491" s="33"/>
      <c r="ID491" s="33"/>
      <c r="IE491" s="33"/>
      <c r="IF491" s="33"/>
      <c r="IG491" s="33"/>
      <c r="IH491" s="33"/>
      <c r="II491" s="33"/>
      <c r="IJ491" s="33"/>
      <c r="IK491" s="33"/>
      <c r="IL491" s="33"/>
      <c r="IM491" s="33"/>
      <c r="IN491" s="33"/>
      <c r="IO491" s="33"/>
      <c r="IP491" s="33"/>
      <c r="IQ491" s="33"/>
      <c r="IR491" s="33"/>
      <c r="IS491" s="33"/>
      <c r="IT491" s="33"/>
      <c r="IU491" s="33"/>
      <c r="IV491" s="33"/>
      <c r="IW491" s="33"/>
      <c r="IX491" s="33"/>
      <c r="IY491" s="33"/>
      <c r="IZ491" s="33"/>
      <c r="JA491" s="33"/>
      <c r="JB491" s="33"/>
      <c r="JC491" s="33"/>
      <c r="JD491" s="33"/>
      <c r="JE491" s="33"/>
      <c r="JF491" s="33"/>
      <c r="JG491" s="33"/>
      <c r="JH491" s="33"/>
      <c r="JI491" s="33"/>
      <c r="JJ491" s="33"/>
      <c r="JK491" s="33"/>
      <c r="JL491" s="33"/>
      <c r="JM491" s="33"/>
      <c r="JN491" s="33"/>
      <c r="JO491" s="33"/>
      <c r="JP491" s="33"/>
      <c r="JQ491" s="33"/>
      <c r="JR491" s="33"/>
      <c r="KZ491" s="33"/>
      <c r="LA491" s="33"/>
      <c r="LB491" s="33"/>
      <c r="LC491" s="33">
        <v>81</v>
      </c>
      <c r="LD491" s="33">
        <v>22.94</v>
      </c>
      <c r="LE491" s="33"/>
      <c r="LF491" s="33"/>
      <c r="LG491" s="33"/>
      <c r="LH491" s="33"/>
      <c r="LI491" s="33"/>
      <c r="LJ491" s="33"/>
      <c r="LK491" s="33"/>
      <c r="LL491" s="33"/>
      <c r="LM491" s="33"/>
      <c r="LN491" s="33"/>
      <c r="LO491" s="33"/>
      <c r="LP491" s="44">
        <v>51.8</v>
      </c>
      <c r="LQ491" s="44"/>
      <c r="LR491" s="44"/>
      <c r="LS491" s="44"/>
      <c r="LT491" s="44"/>
      <c r="LU491" s="44"/>
      <c r="LV491" s="44"/>
    </row>
    <row r="492" spans="1:334" x14ac:dyDescent="0.2">
      <c r="A492" s="1" t="s">
        <v>9272</v>
      </c>
      <c r="B492" s="1" t="s">
        <v>9255</v>
      </c>
      <c r="C492" s="1" t="s">
        <v>9256</v>
      </c>
      <c r="D492" s="1" t="s">
        <v>9273</v>
      </c>
      <c r="E492" s="1" t="s">
        <v>11</v>
      </c>
      <c r="F492" s="1" t="s">
        <v>9274</v>
      </c>
      <c r="H492" s="1" t="s">
        <v>9268</v>
      </c>
      <c r="I492" s="1">
        <v>2</v>
      </c>
      <c r="J492" s="1" t="s">
        <v>9259</v>
      </c>
      <c r="K492" s="1">
        <v>2004</v>
      </c>
      <c r="L492" s="1" t="s">
        <v>9260</v>
      </c>
      <c r="M492" s="1" t="s">
        <v>7661</v>
      </c>
      <c r="N492" s="17" t="s">
        <v>7945</v>
      </c>
      <c r="O492" s="33"/>
      <c r="P492" s="33"/>
      <c r="Q492" s="33"/>
      <c r="R492" s="33"/>
      <c r="S492" s="33">
        <v>76.599999999999994</v>
      </c>
      <c r="T492" s="33"/>
      <c r="U492" s="33"/>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c r="CA492" s="33"/>
      <c r="CB492" s="33"/>
      <c r="CC492" s="33"/>
      <c r="CD492" s="33"/>
      <c r="CE492" s="33"/>
      <c r="CF492" s="33"/>
      <c r="CG492" s="33"/>
      <c r="CH492" s="33"/>
      <c r="CI492" s="33"/>
      <c r="CJ492" s="33"/>
      <c r="CK492" s="33"/>
      <c r="CL492" s="33"/>
      <c r="CM492" s="33"/>
      <c r="CN492" s="33"/>
      <c r="CO492" s="33"/>
      <c r="CP492" s="33">
        <v>12.8</v>
      </c>
      <c r="CQ492" s="33"/>
      <c r="CR492" s="33"/>
      <c r="CS492" s="33">
        <v>5.2</v>
      </c>
      <c r="CT492" s="33"/>
      <c r="CU492" s="33"/>
      <c r="CV492" s="33"/>
      <c r="CW492" s="33"/>
      <c r="CX492" s="33"/>
      <c r="CY492" s="33">
        <v>75</v>
      </c>
      <c r="CZ492" s="33"/>
      <c r="DA492" s="33">
        <v>0.68</v>
      </c>
      <c r="DB492" s="33"/>
      <c r="DC492" s="33"/>
      <c r="DD492" s="33"/>
      <c r="DE492" s="33"/>
      <c r="DF492" s="33"/>
      <c r="DG492" s="33"/>
      <c r="DH492" s="33"/>
      <c r="DI492" s="33"/>
      <c r="DJ492" s="33"/>
      <c r="DK492" s="33"/>
      <c r="DL492" s="33"/>
      <c r="DM492" s="33"/>
      <c r="DN492" s="33"/>
      <c r="DO492" s="33"/>
      <c r="DP492" s="33"/>
      <c r="DQ492" s="33"/>
      <c r="DR492" s="33"/>
      <c r="DS492" s="33"/>
      <c r="DT492" s="33"/>
      <c r="DU492" s="33"/>
      <c r="DV492" s="33"/>
      <c r="DW492" s="33"/>
      <c r="DX492" s="33"/>
      <c r="DY492" s="33"/>
      <c r="DZ492" s="33"/>
      <c r="EA492" s="33"/>
      <c r="EB492" s="33"/>
      <c r="EC492" s="33"/>
      <c r="ED492" s="33"/>
      <c r="EE492" s="33"/>
      <c r="EF492" s="33"/>
      <c r="EG492" s="33"/>
      <c r="EH492" s="33"/>
      <c r="EI492" s="33"/>
      <c r="EJ492" s="33"/>
      <c r="EK492" s="33"/>
      <c r="EL492" s="33"/>
      <c r="EM492" s="33"/>
      <c r="EN492" s="33"/>
      <c r="EO492" s="33"/>
      <c r="EP492" s="33"/>
      <c r="EQ492" s="33"/>
      <c r="ER492" s="33"/>
      <c r="ES492" s="33"/>
      <c r="ET492" s="33"/>
      <c r="EU492" s="33"/>
      <c r="EV492" s="33"/>
      <c r="EW492" s="33"/>
      <c r="EX492" s="33"/>
      <c r="EY492" s="33"/>
      <c r="EZ492" s="33"/>
      <c r="FA492" s="33"/>
      <c r="FB492" s="33"/>
      <c r="FC492" s="33"/>
      <c r="FD492" s="33"/>
      <c r="FE492" s="33"/>
      <c r="FF492" s="33"/>
      <c r="FG492" s="33"/>
      <c r="FH492" s="33"/>
      <c r="FI492" s="33"/>
      <c r="FJ492" s="33"/>
      <c r="FK492" s="33"/>
      <c r="FL492" s="33"/>
      <c r="FM492" s="33"/>
      <c r="FN492" s="33"/>
      <c r="FO492" s="33"/>
      <c r="FP492" s="33"/>
      <c r="FQ492" s="33"/>
      <c r="FR492" s="33"/>
      <c r="FS492" s="33"/>
      <c r="FT492" s="33"/>
      <c r="FU492" s="33"/>
      <c r="FV492" s="33"/>
      <c r="FW492" s="33"/>
      <c r="FX492" s="33"/>
      <c r="FY492" s="33"/>
      <c r="FZ492" s="33"/>
      <c r="GA492" s="33"/>
      <c r="GB492" s="33"/>
      <c r="GC492" s="33"/>
      <c r="GD492" s="33"/>
      <c r="GE492" s="33"/>
      <c r="GF492" s="33"/>
      <c r="GG492" s="33"/>
      <c r="GH492" s="33"/>
      <c r="GI492" s="33"/>
      <c r="GJ492" s="33"/>
      <c r="GK492" s="33"/>
      <c r="GL492" s="33"/>
      <c r="GM492" s="33"/>
      <c r="GN492" s="33"/>
      <c r="GO492" s="33"/>
      <c r="GP492" s="33"/>
      <c r="GQ492" s="33"/>
      <c r="GR492" s="33"/>
      <c r="GS492" s="33"/>
      <c r="GT492" s="33"/>
      <c r="GU492" s="33"/>
      <c r="GV492" s="33"/>
      <c r="GW492" s="33"/>
      <c r="GX492" s="33"/>
      <c r="GY492" s="33"/>
      <c r="GZ492" s="33"/>
      <c r="HA492" s="33"/>
      <c r="HB492" s="33"/>
      <c r="HC492" s="33"/>
      <c r="HD492" s="33"/>
      <c r="HE492" s="33"/>
      <c r="HF492" s="33"/>
      <c r="HG492" s="33"/>
      <c r="HH492" s="33"/>
      <c r="HI492" s="33"/>
      <c r="HJ492" s="33"/>
      <c r="HK492" s="33"/>
      <c r="HL492" s="33"/>
      <c r="HM492" s="33"/>
      <c r="HN492" s="33"/>
      <c r="HO492" s="33"/>
      <c r="HP492" s="33"/>
      <c r="HQ492" s="33"/>
      <c r="HR492" s="33"/>
      <c r="HS492" s="33"/>
      <c r="HT492" s="33"/>
      <c r="HU492" s="33"/>
      <c r="HV492" s="33"/>
      <c r="HW492" s="33"/>
      <c r="HX492" s="33"/>
      <c r="HY492" s="33"/>
      <c r="HZ492" s="33"/>
      <c r="IA492" s="33"/>
      <c r="IB492" s="33"/>
      <c r="IC492" s="33"/>
      <c r="ID492" s="33"/>
      <c r="IE492" s="33"/>
      <c r="IF492" s="33"/>
      <c r="IG492" s="33"/>
      <c r="IH492" s="33"/>
      <c r="II492" s="33"/>
      <c r="IJ492" s="33"/>
      <c r="IK492" s="33"/>
      <c r="IL492" s="33"/>
      <c r="IM492" s="33"/>
      <c r="IN492" s="33"/>
      <c r="IO492" s="33"/>
      <c r="IP492" s="33"/>
      <c r="IQ492" s="33"/>
      <c r="IR492" s="33"/>
      <c r="IS492" s="33"/>
      <c r="IT492" s="33"/>
      <c r="IU492" s="33"/>
      <c r="IV492" s="33"/>
      <c r="IW492" s="33"/>
      <c r="IX492" s="33"/>
      <c r="IY492" s="33"/>
      <c r="IZ492" s="33"/>
      <c r="JA492" s="33"/>
      <c r="JB492" s="33"/>
      <c r="JC492" s="33"/>
      <c r="JD492" s="33"/>
      <c r="JE492" s="33"/>
      <c r="JF492" s="33"/>
      <c r="JG492" s="33"/>
      <c r="JH492" s="33"/>
      <c r="JI492" s="33"/>
      <c r="JJ492" s="33"/>
      <c r="JK492" s="33"/>
      <c r="JL492" s="33"/>
      <c r="JM492" s="33"/>
      <c r="JN492" s="33"/>
      <c r="JO492" s="33"/>
      <c r="JP492" s="33"/>
      <c r="JQ492" s="33"/>
      <c r="JR492" s="33"/>
      <c r="KZ492" s="33"/>
      <c r="LA492" s="33"/>
      <c r="LB492" s="33"/>
      <c r="LC492" s="33">
        <v>158</v>
      </c>
      <c r="LD492" s="33">
        <v>45</v>
      </c>
      <c r="LE492" s="33"/>
      <c r="LF492" s="33"/>
      <c r="LG492" s="33"/>
      <c r="LH492" s="33"/>
      <c r="LI492" s="33"/>
      <c r="LJ492" s="33"/>
      <c r="LK492" s="33"/>
      <c r="LL492" s="33"/>
      <c r="LM492" s="33"/>
      <c r="LN492" s="33"/>
      <c r="LO492" s="33"/>
      <c r="LP492" s="44">
        <v>29.6</v>
      </c>
      <c r="LQ492" s="44"/>
      <c r="LR492" s="44"/>
      <c r="LS492" s="44"/>
      <c r="LT492" s="44"/>
      <c r="LU492" s="44"/>
      <c r="LV492" s="44"/>
    </row>
    <row r="493" spans="1:334" x14ac:dyDescent="0.2">
      <c r="A493" s="1" t="s">
        <v>9275</v>
      </c>
      <c r="B493" s="1" t="s">
        <v>9276</v>
      </c>
      <c r="C493" s="1" t="s">
        <v>9277</v>
      </c>
      <c r="D493" s="1" t="s">
        <v>9278</v>
      </c>
      <c r="E493" s="1" t="s">
        <v>11</v>
      </c>
      <c r="F493" s="1" t="s">
        <v>9279</v>
      </c>
      <c r="H493" s="1" t="s">
        <v>9280</v>
      </c>
      <c r="I493" s="1">
        <v>4</v>
      </c>
      <c r="K493" s="1">
        <v>1988</v>
      </c>
      <c r="L493" s="1" t="s">
        <v>9281</v>
      </c>
      <c r="M493" s="1" t="s">
        <v>7661</v>
      </c>
      <c r="N493" s="17" t="s">
        <v>7945</v>
      </c>
      <c r="O493" s="33"/>
      <c r="P493" s="33"/>
      <c r="Q493" s="33"/>
      <c r="R493" s="33"/>
      <c r="S493" s="33">
        <v>68</v>
      </c>
      <c r="T493" s="33"/>
      <c r="U493" s="33"/>
      <c r="V493" s="33"/>
      <c r="W493" s="33"/>
      <c r="X493" s="33"/>
      <c r="Y493" s="33"/>
      <c r="Z493" s="33"/>
      <c r="AA493" s="33"/>
      <c r="AB493" s="33"/>
      <c r="AC493" s="33"/>
      <c r="AD493" s="33"/>
      <c r="AE493" s="33"/>
      <c r="AF493" s="33"/>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c r="CA493" s="33"/>
      <c r="CB493" s="33"/>
      <c r="CC493" s="33"/>
      <c r="CD493" s="33"/>
      <c r="CE493" s="33"/>
      <c r="CF493" s="33"/>
      <c r="CG493" s="33"/>
      <c r="CH493" s="33"/>
      <c r="CI493" s="33"/>
      <c r="CJ493" s="33"/>
      <c r="CK493" s="33"/>
      <c r="CL493" s="33"/>
      <c r="CM493" s="33"/>
      <c r="CN493" s="33"/>
      <c r="CO493" s="33"/>
      <c r="CP493" s="33">
        <v>22</v>
      </c>
      <c r="CQ493" s="33"/>
      <c r="CR493" s="33"/>
      <c r="CS493" s="33"/>
      <c r="CT493" s="33"/>
      <c r="CU493" s="33"/>
      <c r="CV493" s="33"/>
      <c r="CW493" s="33"/>
      <c r="CX493" s="33"/>
      <c r="CY493" s="33"/>
      <c r="CZ493" s="33"/>
      <c r="DA493" s="33">
        <v>1</v>
      </c>
      <c r="DB493" s="33"/>
      <c r="DC493" s="33"/>
      <c r="DD493" s="33"/>
      <c r="DE493" s="33"/>
      <c r="DF493" s="33"/>
      <c r="DG493" s="33"/>
      <c r="DH493" s="33"/>
      <c r="DI493" s="33"/>
      <c r="DJ493" s="33"/>
      <c r="DK493" s="33"/>
      <c r="DL493" s="33"/>
      <c r="DM493" s="33"/>
      <c r="DN493" s="33"/>
      <c r="DO493" s="33"/>
      <c r="DP493" s="33"/>
      <c r="DQ493" s="33"/>
      <c r="DR493" s="33"/>
      <c r="DS493" s="33"/>
      <c r="DT493" s="33"/>
      <c r="DU493" s="33"/>
      <c r="DV493" s="33"/>
      <c r="DW493" s="33"/>
      <c r="DX493" s="33"/>
      <c r="DY493" s="33"/>
      <c r="DZ493" s="33"/>
      <c r="EA493" s="33"/>
      <c r="EB493" s="33"/>
      <c r="EC493" s="33"/>
      <c r="ED493" s="33"/>
      <c r="EE493" s="33"/>
      <c r="EF493" s="33"/>
      <c r="EG493" s="33"/>
      <c r="EH493" s="33"/>
      <c r="EI493" s="33"/>
      <c r="EJ493" s="33"/>
      <c r="EK493" s="33"/>
      <c r="EL493" s="33"/>
      <c r="EM493" s="33"/>
      <c r="EN493" s="33"/>
      <c r="EO493" s="33"/>
      <c r="EP493" s="33"/>
      <c r="EQ493" s="33"/>
      <c r="ER493" s="33"/>
      <c r="ES493" s="33"/>
      <c r="ET493" s="33"/>
      <c r="EU493" s="33"/>
      <c r="EV493" s="33"/>
      <c r="EW493" s="33"/>
      <c r="EX493" s="33"/>
      <c r="EY493" s="33"/>
      <c r="EZ493" s="33"/>
      <c r="FA493" s="33"/>
      <c r="FB493" s="33"/>
      <c r="FC493" s="33"/>
      <c r="FD493" s="33"/>
      <c r="FE493" s="33"/>
      <c r="FF493" s="33"/>
      <c r="FG493" s="33"/>
      <c r="FH493" s="33"/>
      <c r="FI493" s="33"/>
      <c r="FJ493" s="33"/>
      <c r="FK493" s="33"/>
      <c r="FL493" s="33"/>
      <c r="FM493" s="33"/>
      <c r="FN493" s="33"/>
      <c r="FO493" s="33"/>
      <c r="FP493" s="33"/>
      <c r="FQ493" s="33"/>
      <c r="FR493" s="33"/>
      <c r="FS493" s="33"/>
      <c r="FT493" s="33"/>
      <c r="FU493" s="33"/>
      <c r="FV493" s="33"/>
      <c r="FW493" s="33"/>
      <c r="FX493" s="33"/>
      <c r="FY493" s="33"/>
      <c r="FZ493" s="33"/>
      <c r="GA493" s="33"/>
      <c r="GB493" s="33"/>
      <c r="GC493" s="33"/>
      <c r="GD493" s="33"/>
      <c r="GE493" s="33"/>
      <c r="GF493" s="33"/>
      <c r="GG493" s="33"/>
      <c r="GH493" s="33"/>
      <c r="GI493" s="33"/>
      <c r="GJ493" s="33"/>
      <c r="GK493" s="33"/>
      <c r="GL493" s="33"/>
      <c r="GM493" s="33"/>
      <c r="GN493" s="33"/>
      <c r="GO493" s="33"/>
      <c r="GP493" s="33"/>
      <c r="GQ493" s="33"/>
      <c r="GR493" s="33"/>
      <c r="GS493" s="33"/>
      <c r="GT493" s="33"/>
      <c r="GU493" s="33"/>
      <c r="GV493" s="33"/>
      <c r="GW493" s="33"/>
      <c r="GX493" s="33"/>
      <c r="GY493" s="33"/>
      <c r="GZ493" s="33"/>
      <c r="HA493" s="33"/>
      <c r="HB493" s="33"/>
      <c r="HC493" s="33"/>
      <c r="HD493" s="33"/>
      <c r="HE493" s="33"/>
      <c r="HF493" s="33"/>
      <c r="HG493" s="33"/>
      <c r="HH493" s="33"/>
      <c r="HI493" s="33"/>
      <c r="HJ493" s="33"/>
      <c r="HK493" s="33"/>
      <c r="HL493" s="33"/>
      <c r="HM493" s="33"/>
      <c r="HN493" s="33"/>
      <c r="HO493" s="33"/>
      <c r="HP493" s="33"/>
      <c r="HQ493" s="33"/>
      <c r="HR493" s="33"/>
      <c r="HS493" s="33"/>
      <c r="HT493" s="33"/>
      <c r="HU493" s="33"/>
      <c r="HV493" s="33"/>
      <c r="HW493" s="33"/>
      <c r="HX493" s="33"/>
      <c r="HY493" s="33"/>
      <c r="HZ493" s="33"/>
      <c r="IA493" s="33"/>
      <c r="IB493" s="33"/>
      <c r="IC493" s="33"/>
      <c r="ID493" s="33"/>
      <c r="IE493" s="33"/>
      <c r="IF493" s="33"/>
      <c r="IG493" s="33"/>
      <c r="IH493" s="33"/>
      <c r="II493" s="33"/>
      <c r="IJ493" s="33"/>
      <c r="IK493" s="33"/>
      <c r="IL493" s="33"/>
      <c r="IM493" s="33"/>
      <c r="IN493" s="33"/>
      <c r="IO493" s="33"/>
      <c r="IP493" s="33"/>
      <c r="IQ493" s="33"/>
      <c r="IR493" s="33"/>
      <c r="IS493" s="33"/>
      <c r="IT493" s="33"/>
      <c r="IU493" s="33"/>
      <c r="IV493" s="33"/>
      <c r="IW493" s="33"/>
      <c r="IX493" s="33"/>
      <c r="IY493" s="33"/>
      <c r="IZ493" s="33"/>
      <c r="JA493" s="33"/>
      <c r="JB493" s="33"/>
      <c r="JC493" s="33"/>
      <c r="JD493" s="33"/>
      <c r="JE493" s="33"/>
      <c r="JF493" s="33"/>
      <c r="JG493" s="33"/>
      <c r="JH493" s="33"/>
      <c r="JI493" s="33"/>
      <c r="JJ493" s="33"/>
      <c r="JK493" s="33"/>
      <c r="JL493" s="33"/>
      <c r="JM493" s="33"/>
      <c r="JN493" s="33"/>
      <c r="JO493" s="33"/>
      <c r="JP493" s="33"/>
      <c r="JQ493" s="33"/>
      <c r="JR493" s="33"/>
      <c r="KZ493" s="33"/>
      <c r="LA493" s="33">
        <v>349</v>
      </c>
      <c r="LB493" s="33"/>
      <c r="LC493" s="33"/>
      <c r="LD493" s="33"/>
      <c r="LE493" s="33"/>
      <c r="LF493" s="33"/>
      <c r="LG493" s="33"/>
      <c r="LH493" s="33"/>
      <c r="LI493" s="33"/>
      <c r="LJ493" s="33"/>
      <c r="LK493" s="33"/>
      <c r="LL493" s="33"/>
      <c r="LM493" s="33"/>
      <c r="LN493" s="33"/>
      <c r="LO493" s="33"/>
      <c r="LP493" s="44"/>
      <c r="LQ493" s="44"/>
      <c r="LR493" s="44"/>
      <c r="LS493" s="44"/>
      <c r="LT493" s="44"/>
      <c r="LU493" s="44"/>
      <c r="LV493" s="44"/>
    </row>
    <row r="494" spans="1:334" x14ac:dyDescent="0.2">
      <c r="A494" s="1" t="s">
        <v>9282</v>
      </c>
      <c r="B494" s="1" t="s">
        <v>9276</v>
      </c>
      <c r="C494" s="1" t="s">
        <v>9283</v>
      </c>
      <c r="D494" s="1" t="s">
        <v>9284</v>
      </c>
      <c r="E494" s="1" t="s">
        <v>9</v>
      </c>
      <c r="F494" s="1" t="s">
        <v>9285</v>
      </c>
      <c r="I494" s="1">
        <v>3</v>
      </c>
      <c r="K494" s="1">
        <v>1988</v>
      </c>
      <c r="L494" s="1" t="s">
        <v>9281</v>
      </c>
      <c r="M494" s="1" t="s">
        <v>7661</v>
      </c>
      <c r="N494" s="17" t="s">
        <v>7945</v>
      </c>
      <c r="O494" s="33"/>
      <c r="P494" s="33"/>
      <c r="Q494" s="33"/>
      <c r="R494" s="33"/>
      <c r="S494" s="33">
        <v>8</v>
      </c>
      <c r="T494" s="33"/>
      <c r="U494" s="33"/>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3"/>
      <c r="BP494" s="33"/>
      <c r="BQ494" s="33"/>
      <c r="BR494" s="33"/>
      <c r="BS494" s="33"/>
      <c r="BT494" s="33"/>
      <c r="BU494" s="33"/>
      <c r="BV494" s="33"/>
      <c r="BW494" s="33"/>
      <c r="BX494" s="33"/>
      <c r="BY494" s="33"/>
      <c r="BZ494" s="33"/>
      <c r="CA494" s="33"/>
      <c r="CB494" s="33"/>
      <c r="CC494" s="33"/>
      <c r="CD494" s="33"/>
      <c r="CE494" s="33"/>
      <c r="CF494" s="33"/>
      <c r="CG494" s="33"/>
      <c r="CH494" s="33"/>
      <c r="CI494" s="33"/>
      <c r="CJ494" s="33"/>
      <c r="CK494" s="33"/>
      <c r="CL494" s="33"/>
      <c r="CM494" s="33"/>
      <c r="CN494" s="33"/>
      <c r="CO494" s="33"/>
      <c r="CP494" s="33">
        <v>111</v>
      </c>
      <c r="CQ494" s="33"/>
      <c r="CR494" s="33"/>
      <c r="CS494" s="33"/>
      <c r="CT494" s="33"/>
      <c r="CU494" s="33"/>
      <c r="CV494" s="33"/>
      <c r="CW494" s="33"/>
      <c r="CX494" s="33"/>
      <c r="CY494" s="33"/>
      <c r="CZ494" s="33"/>
      <c r="DA494" s="33">
        <v>2.2000000000000002</v>
      </c>
      <c r="DB494" s="33"/>
      <c r="DC494" s="33"/>
      <c r="DD494" s="33"/>
      <c r="DE494" s="33"/>
      <c r="DF494" s="33"/>
      <c r="DG494" s="33"/>
      <c r="DH494" s="33"/>
      <c r="DI494" s="33"/>
      <c r="DJ494" s="33"/>
      <c r="DK494" s="33"/>
      <c r="DL494" s="33"/>
      <c r="DM494" s="33"/>
      <c r="DN494" s="33"/>
      <c r="DO494" s="33"/>
      <c r="DP494" s="33"/>
      <c r="DQ494" s="33"/>
      <c r="DR494" s="33"/>
      <c r="DS494" s="33"/>
      <c r="DT494" s="33"/>
      <c r="DU494" s="33"/>
      <c r="DV494" s="33"/>
      <c r="DW494" s="33"/>
      <c r="DX494" s="33"/>
      <c r="DY494" s="33"/>
      <c r="DZ494" s="33"/>
      <c r="EA494" s="33"/>
      <c r="EB494" s="33"/>
      <c r="EC494" s="33"/>
      <c r="ED494" s="33"/>
      <c r="EE494" s="33"/>
      <c r="EF494" s="33"/>
      <c r="EG494" s="33"/>
      <c r="EH494" s="33"/>
      <c r="EI494" s="33"/>
      <c r="EJ494" s="33"/>
      <c r="EK494" s="33"/>
      <c r="EL494" s="33"/>
      <c r="EM494" s="33"/>
      <c r="EN494" s="33"/>
      <c r="EO494" s="33"/>
      <c r="EP494" s="33"/>
      <c r="EQ494" s="33"/>
      <c r="ER494" s="33"/>
      <c r="ES494" s="33"/>
      <c r="ET494" s="33"/>
      <c r="EU494" s="33"/>
      <c r="EV494" s="33"/>
      <c r="EW494" s="33"/>
      <c r="EX494" s="33"/>
      <c r="EY494" s="33"/>
      <c r="EZ494" s="33"/>
      <c r="FA494" s="33"/>
      <c r="FB494" s="33"/>
      <c r="FC494" s="33"/>
      <c r="FD494" s="33"/>
      <c r="FE494" s="33"/>
      <c r="FF494" s="33"/>
      <c r="FG494" s="33"/>
      <c r="FH494" s="33"/>
      <c r="FI494" s="33"/>
      <c r="FJ494" s="33"/>
      <c r="FK494" s="33"/>
      <c r="FL494" s="33"/>
      <c r="FM494" s="33"/>
      <c r="FN494" s="33"/>
      <c r="FO494" s="33"/>
      <c r="FP494" s="33"/>
      <c r="FQ494" s="33"/>
      <c r="FR494" s="33"/>
      <c r="FS494" s="33"/>
      <c r="FT494" s="33"/>
      <c r="FU494" s="33"/>
      <c r="FV494" s="33"/>
      <c r="FW494" s="33"/>
      <c r="FX494" s="33"/>
      <c r="FY494" s="33"/>
      <c r="FZ494" s="33"/>
      <c r="GA494" s="33"/>
      <c r="GB494" s="33"/>
      <c r="GC494" s="33"/>
      <c r="GD494" s="33"/>
      <c r="GE494" s="33"/>
      <c r="GF494" s="33"/>
      <c r="GG494" s="33"/>
      <c r="GH494" s="33"/>
      <c r="GI494" s="33"/>
      <c r="GJ494" s="33"/>
      <c r="GK494" s="33"/>
      <c r="GL494" s="33"/>
      <c r="GM494" s="33"/>
      <c r="GN494" s="33"/>
      <c r="GO494" s="33"/>
      <c r="GP494" s="33"/>
      <c r="GQ494" s="33"/>
      <c r="GR494" s="33"/>
      <c r="GS494" s="33"/>
      <c r="GT494" s="33"/>
      <c r="GU494" s="33"/>
      <c r="GV494" s="33"/>
      <c r="GW494" s="33"/>
      <c r="GX494" s="33"/>
      <c r="GY494" s="33"/>
      <c r="GZ494" s="33"/>
      <c r="HA494" s="33"/>
      <c r="HB494" s="33"/>
      <c r="HC494" s="33"/>
      <c r="HD494" s="33"/>
      <c r="HE494" s="33"/>
      <c r="HF494" s="33"/>
      <c r="HG494" s="33"/>
      <c r="HH494" s="33"/>
      <c r="HI494" s="33"/>
      <c r="HJ494" s="33"/>
      <c r="HK494" s="33"/>
      <c r="HL494" s="33"/>
      <c r="HM494" s="33"/>
      <c r="HN494" s="33"/>
      <c r="HO494" s="33"/>
      <c r="HP494" s="33"/>
      <c r="HQ494" s="33"/>
      <c r="HR494" s="33"/>
      <c r="HS494" s="33"/>
      <c r="HT494" s="33"/>
      <c r="HU494" s="33"/>
      <c r="HV494" s="33"/>
      <c r="HW494" s="33"/>
      <c r="HX494" s="33"/>
      <c r="HY494" s="33"/>
      <c r="HZ494" s="33"/>
      <c r="IA494" s="33"/>
      <c r="IB494" s="33"/>
      <c r="IC494" s="33"/>
      <c r="ID494" s="33"/>
      <c r="IE494" s="33"/>
      <c r="IF494" s="33"/>
      <c r="IG494" s="33"/>
      <c r="IH494" s="33"/>
      <c r="II494" s="33"/>
      <c r="IJ494" s="33"/>
      <c r="IK494" s="33"/>
      <c r="IL494" s="33"/>
      <c r="IM494" s="33"/>
      <c r="IN494" s="33"/>
      <c r="IO494" s="33"/>
      <c r="IP494" s="33"/>
      <c r="IQ494" s="33"/>
      <c r="IR494" s="33"/>
      <c r="IS494" s="33"/>
      <c r="IT494" s="33"/>
      <c r="IU494" s="33"/>
      <c r="IV494" s="33"/>
      <c r="IW494" s="33"/>
      <c r="IX494" s="33"/>
      <c r="IY494" s="33"/>
      <c r="IZ494" s="33"/>
      <c r="JA494" s="33"/>
      <c r="JB494" s="33"/>
      <c r="JC494" s="33"/>
      <c r="JD494" s="33"/>
      <c r="JE494" s="33"/>
      <c r="JF494" s="33"/>
      <c r="JG494" s="33"/>
      <c r="JH494" s="33"/>
      <c r="JI494" s="33"/>
      <c r="JJ494" s="33"/>
      <c r="JK494" s="33"/>
      <c r="JL494" s="33"/>
      <c r="JM494" s="33"/>
      <c r="JN494" s="33"/>
      <c r="JO494" s="33"/>
      <c r="JP494" s="33"/>
      <c r="JQ494" s="33"/>
      <c r="JR494" s="33"/>
      <c r="KZ494" s="33"/>
      <c r="LA494" s="33">
        <v>727</v>
      </c>
      <c r="LB494" s="33"/>
      <c r="LC494" s="33"/>
      <c r="LD494" s="33"/>
      <c r="LE494" s="33"/>
      <c r="LF494" s="33"/>
      <c r="LG494" s="33"/>
      <c r="LH494" s="33"/>
      <c r="LI494" s="33"/>
      <c r="LJ494" s="33"/>
      <c r="LK494" s="33"/>
      <c r="LL494" s="33"/>
      <c r="LM494" s="33"/>
      <c r="LN494" s="33"/>
      <c r="LO494" s="33"/>
      <c r="LP494" s="44"/>
      <c r="LQ494" s="44"/>
      <c r="LR494" s="44"/>
      <c r="LS494" s="44"/>
      <c r="LT494" s="44"/>
      <c r="LU494" s="44"/>
      <c r="LV494" s="44"/>
    </row>
    <row r="495" spans="1:334" x14ac:dyDescent="0.2">
      <c r="A495" s="1" t="s">
        <v>9286</v>
      </c>
      <c r="B495" s="1" t="s">
        <v>9276</v>
      </c>
      <c r="C495" s="1" t="s">
        <v>9287</v>
      </c>
      <c r="D495" s="1" t="s">
        <v>9288</v>
      </c>
      <c r="E495" s="1" t="s">
        <v>11</v>
      </c>
      <c r="F495" s="1" t="s">
        <v>9289</v>
      </c>
      <c r="H495" s="1" t="s">
        <v>9280</v>
      </c>
      <c r="I495" s="1">
        <v>4</v>
      </c>
      <c r="K495" s="1">
        <v>1988</v>
      </c>
      <c r="L495" s="1" t="s">
        <v>9281</v>
      </c>
      <c r="M495" s="1" t="s">
        <v>7661</v>
      </c>
      <c r="N495" s="17" t="s">
        <v>7945</v>
      </c>
      <c r="O495" s="33"/>
      <c r="P495" s="33"/>
      <c r="Q495" s="33"/>
      <c r="R495" s="33"/>
      <c r="S495" s="33">
        <v>85</v>
      </c>
      <c r="T495" s="33"/>
      <c r="U495" s="33"/>
      <c r="V495" s="33"/>
      <c r="W495" s="33"/>
      <c r="X495" s="33"/>
      <c r="Y495" s="33"/>
      <c r="Z495" s="33"/>
      <c r="AA495" s="33"/>
      <c r="AB495" s="33"/>
      <c r="AC495" s="33"/>
      <c r="AD495" s="33"/>
      <c r="AE495" s="33"/>
      <c r="AF495" s="33"/>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33"/>
      <c r="BE495" s="33"/>
      <c r="BF495" s="33"/>
      <c r="BG495" s="33"/>
      <c r="BH495" s="33"/>
      <c r="BI495" s="33"/>
      <c r="BJ495" s="33"/>
      <c r="BK495" s="33"/>
      <c r="BL495" s="33"/>
      <c r="BM495" s="33"/>
      <c r="BN495" s="33"/>
      <c r="BO495" s="33"/>
      <c r="BP495" s="33"/>
      <c r="BQ495" s="33"/>
      <c r="BR495" s="33"/>
      <c r="BS495" s="33"/>
      <c r="BT495" s="33"/>
      <c r="BU495" s="33"/>
      <c r="BV495" s="33"/>
      <c r="BW495" s="33"/>
      <c r="BX495" s="33"/>
      <c r="BY495" s="33"/>
      <c r="BZ495" s="33"/>
      <c r="CA495" s="33"/>
      <c r="CB495" s="33"/>
      <c r="CC495" s="33"/>
      <c r="CD495" s="33"/>
      <c r="CE495" s="33"/>
      <c r="CF495" s="33"/>
      <c r="CG495" s="33"/>
      <c r="CH495" s="33"/>
      <c r="CI495" s="33"/>
      <c r="CJ495" s="33"/>
      <c r="CK495" s="33"/>
      <c r="CL495" s="33"/>
      <c r="CM495" s="33"/>
      <c r="CN495" s="33"/>
      <c r="CO495" s="33"/>
      <c r="CP495" s="33">
        <v>60</v>
      </c>
      <c r="CQ495" s="33"/>
      <c r="CR495" s="33"/>
      <c r="CS495" s="33"/>
      <c r="CT495" s="33"/>
      <c r="CU495" s="33"/>
      <c r="CV495" s="33"/>
      <c r="CW495" s="33"/>
      <c r="CX495" s="33"/>
      <c r="CY495" s="33"/>
      <c r="CZ495" s="33"/>
      <c r="DA495" s="33">
        <v>0.6</v>
      </c>
      <c r="DB495" s="33"/>
      <c r="DC495" s="33"/>
      <c r="DD495" s="33"/>
      <c r="DE495" s="33"/>
      <c r="DF495" s="33"/>
      <c r="DG495" s="33"/>
      <c r="DH495" s="33"/>
      <c r="DI495" s="33"/>
      <c r="DJ495" s="33"/>
      <c r="DK495" s="33"/>
      <c r="DL495" s="33"/>
      <c r="DM495" s="33"/>
      <c r="DN495" s="33"/>
      <c r="DO495" s="33"/>
      <c r="DP495" s="33"/>
      <c r="DQ495" s="33"/>
      <c r="DR495" s="33"/>
      <c r="DS495" s="33"/>
      <c r="DT495" s="33"/>
      <c r="DU495" s="33"/>
      <c r="DV495" s="33"/>
      <c r="DW495" s="33"/>
      <c r="DX495" s="33"/>
      <c r="DY495" s="33"/>
      <c r="DZ495" s="33"/>
      <c r="EA495" s="33"/>
      <c r="EB495" s="33"/>
      <c r="EC495" s="33"/>
      <c r="ED495" s="33"/>
      <c r="EE495" s="33"/>
      <c r="EF495" s="33"/>
      <c r="EG495" s="33"/>
      <c r="EH495" s="33"/>
      <c r="EI495" s="33"/>
      <c r="EJ495" s="33"/>
      <c r="EK495" s="33"/>
      <c r="EL495" s="33"/>
      <c r="EM495" s="33"/>
      <c r="EN495" s="33"/>
      <c r="EO495" s="33"/>
      <c r="EP495" s="33"/>
      <c r="EQ495" s="33"/>
      <c r="ER495" s="33"/>
      <c r="ES495" s="33"/>
      <c r="ET495" s="33"/>
      <c r="EU495" s="33"/>
      <c r="EV495" s="33"/>
      <c r="EW495" s="33"/>
      <c r="EX495" s="33"/>
      <c r="EY495" s="33"/>
      <c r="EZ495" s="33"/>
      <c r="FA495" s="33"/>
      <c r="FB495" s="33"/>
      <c r="FC495" s="33"/>
      <c r="FD495" s="33"/>
      <c r="FE495" s="33"/>
      <c r="FF495" s="33"/>
      <c r="FG495" s="33"/>
      <c r="FH495" s="33"/>
      <c r="FI495" s="33"/>
      <c r="FJ495" s="33"/>
      <c r="FK495" s="33"/>
      <c r="FL495" s="33"/>
      <c r="FM495" s="33"/>
      <c r="FN495" s="33"/>
      <c r="FO495" s="33"/>
      <c r="FP495" s="33"/>
      <c r="FQ495" s="33"/>
      <c r="FR495" s="33"/>
      <c r="FS495" s="33"/>
      <c r="FT495" s="33"/>
      <c r="FU495" s="33"/>
      <c r="FV495" s="33"/>
      <c r="FW495" s="33"/>
      <c r="FX495" s="33"/>
      <c r="FY495" s="33"/>
      <c r="FZ495" s="33"/>
      <c r="GA495" s="33"/>
      <c r="GB495" s="33"/>
      <c r="GC495" s="33"/>
      <c r="GD495" s="33"/>
      <c r="GE495" s="33"/>
      <c r="GF495" s="33"/>
      <c r="GG495" s="33"/>
      <c r="GH495" s="33"/>
      <c r="GI495" s="33"/>
      <c r="GJ495" s="33"/>
      <c r="GK495" s="33"/>
      <c r="GL495" s="33"/>
      <c r="GM495" s="33"/>
      <c r="GN495" s="33"/>
      <c r="GO495" s="33"/>
      <c r="GP495" s="33"/>
      <c r="GQ495" s="33"/>
      <c r="GR495" s="33"/>
      <c r="GS495" s="33"/>
      <c r="GT495" s="33"/>
      <c r="GU495" s="33"/>
      <c r="GV495" s="33"/>
      <c r="GW495" s="33"/>
      <c r="GX495" s="33"/>
      <c r="GY495" s="33"/>
      <c r="GZ495" s="33"/>
      <c r="HA495" s="33"/>
      <c r="HB495" s="33"/>
      <c r="HC495" s="33"/>
      <c r="HD495" s="33"/>
      <c r="HE495" s="33"/>
      <c r="HF495" s="33"/>
      <c r="HG495" s="33"/>
      <c r="HH495" s="33"/>
      <c r="HI495" s="33"/>
      <c r="HJ495" s="33"/>
      <c r="HK495" s="33"/>
      <c r="HL495" s="33"/>
      <c r="HM495" s="33"/>
      <c r="HN495" s="33"/>
      <c r="HO495" s="33"/>
      <c r="HP495" s="33"/>
      <c r="HQ495" s="33"/>
      <c r="HR495" s="33"/>
      <c r="HS495" s="33"/>
      <c r="HT495" s="33"/>
      <c r="HU495" s="33"/>
      <c r="HV495" s="33"/>
      <c r="HW495" s="33"/>
      <c r="HX495" s="33"/>
      <c r="HY495" s="33"/>
      <c r="HZ495" s="33"/>
      <c r="IA495" s="33"/>
      <c r="IB495" s="33"/>
      <c r="IC495" s="33"/>
      <c r="ID495" s="33"/>
      <c r="IE495" s="33"/>
      <c r="IF495" s="33"/>
      <c r="IG495" s="33"/>
      <c r="IH495" s="33"/>
      <c r="II495" s="33"/>
      <c r="IJ495" s="33"/>
      <c r="IK495" s="33"/>
      <c r="IL495" s="33"/>
      <c r="IM495" s="33"/>
      <c r="IN495" s="33"/>
      <c r="IO495" s="33"/>
      <c r="IP495" s="33"/>
      <c r="IQ495" s="33"/>
      <c r="IR495" s="33"/>
      <c r="IS495" s="33"/>
      <c r="IT495" s="33"/>
      <c r="IU495" s="33"/>
      <c r="IV495" s="33"/>
      <c r="IW495" s="33"/>
      <c r="IX495" s="33"/>
      <c r="IY495" s="33"/>
      <c r="IZ495" s="33"/>
      <c r="JA495" s="33"/>
      <c r="JB495" s="33"/>
      <c r="JC495" s="33"/>
      <c r="JD495" s="33"/>
      <c r="JE495" s="33"/>
      <c r="JF495" s="33"/>
      <c r="JG495" s="33"/>
      <c r="JH495" s="33"/>
      <c r="JI495" s="33"/>
      <c r="JJ495" s="33"/>
      <c r="JK495" s="33"/>
      <c r="JL495" s="33"/>
      <c r="JM495" s="33"/>
      <c r="JN495" s="33"/>
      <c r="JO495" s="33"/>
      <c r="JP495" s="33"/>
      <c r="JQ495" s="33"/>
      <c r="JR495" s="33"/>
      <c r="KZ495" s="33"/>
      <c r="LA495" s="33">
        <v>38</v>
      </c>
      <c r="LB495" s="33"/>
      <c r="LC495" s="33"/>
      <c r="LD495" s="33"/>
      <c r="LE495" s="33"/>
      <c r="LF495" s="33"/>
      <c r="LG495" s="33"/>
      <c r="LH495" s="33"/>
      <c r="LI495" s="33"/>
      <c r="LJ495" s="33"/>
      <c r="LK495" s="33"/>
      <c r="LL495" s="33"/>
      <c r="LM495" s="33"/>
      <c r="LN495" s="33"/>
      <c r="LO495" s="33"/>
      <c r="LP495" s="44"/>
      <c r="LQ495" s="44"/>
      <c r="LR495" s="44"/>
      <c r="LS495" s="44"/>
      <c r="LT495" s="44"/>
      <c r="LU495" s="44"/>
      <c r="LV495" s="44"/>
    </row>
    <row r="496" spans="1:334" x14ac:dyDescent="0.2">
      <c r="A496" s="1" t="s">
        <v>9290</v>
      </c>
      <c r="B496" s="1" t="s">
        <v>9291</v>
      </c>
      <c r="D496" s="1" t="s">
        <v>9292</v>
      </c>
      <c r="E496" s="1" t="s">
        <v>11</v>
      </c>
      <c r="H496" s="1" t="s">
        <v>9293</v>
      </c>
      <c r="I496" s="1">
        <v>2</v>
      </c>
      <c r="K496" s="1">
        <v>1993</v>
      </c>
      <c r="L496" s="1" t="s">
        <v>9294</v>
      </c>
      <c r="M496" s="1" t="s">
        <v>7661</v>
      </c>
      <c r="N496" s="17" t="s">
        <v>7945</v>
      </c>
      <c r="O496" s="33"/>
      <c r="P496" s="33"/>
      <c r="Q496" s="33"/>
      <c r="R496" s="33"/>
      <c r="S496" s="33">
        <v>72</v>
      </c>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c r="CD496" s="33"/>
      <c r="CE496" s="33"/>
      <c r="CF496" s="33"/>
      <c r="CG496" s="33"/>
      <c r="CH496" s="33"/>
      <c r="CI496" s="33"/>
      <c r="CJ496" s="33"/>
      <c r="CK496" s="33"/>
      <c r="CL496" s="33"/>
      <c r="CM496" s="33"/>
      <c r="CN496" s="33"/>
      <c r="CO496" s="33"/>
      <c r="CP496" s="33">
        <v>22</v>
      </c>
      <c r="CQ496" s="33"/>
      <c r="CR496" s="33">
        <v>0.19</v>
      </c>
      <c r="CS496" s="33"/>
      <c r="CT496" s="33"/>
      <c r="CU496" s="33"/>
      <c r="CV496" s="33"/>
      <c r="CW496" s="33">
        <v>0.32</v>
      </c>
      <c r="CX496" s="33"/>
      <c r="CY496" s="33"/>
      <c r="CZ496" s="33"/>
      <c r="DA496" s="33">
        <v>0.7</v>
      </c>
      <c r="DB496" s="33"/>
      <c r="DC496" s="33"/>
      <c r="DD496" s="33"/>
      <c r="DE496" s="33"/>
      <c r="DF496" s="33"/>
      <c r="DG496" s="33"/>
      <c r="DH496" s="33"/>
      <c r="DI496" s="33"/>
      <c r="DJ496" s="33"/>
      <c r="DK496" s="33"/>
      <c r="DL496" s="33"/>
      <c r="DM496" s="33"/>
      <c r="DN496" s="33"/>
      <c r="DO496" s="33"/>
      <c r="DP496" s="33"/>
      <c r="DQ496" s="33"/>
      <c r="DR496" s="33"/>
      <c r="DS496" s="33"/>
      <c r="DT496" s="33"/>
      <c r="DU496" s="33"/>
      <c r="DV496" s="33"/>
      <c r="DW496" s="33"/>
      <c r="DX496" s="33"/>
      <c r="DY496" s="33"/>
      <c r="DZ496" s="33"/>
      <c r="EA496" s="33"/>
      <c r="EB496" s="33"/>
      <c r="EC496" s="33"/>
      <c r="ED496" s="33"/>
      <c r="EE496" s="33"/>
      <c r="EF496" s="33"/>
      <c r="EG496" s="33"/>
      <c r="EH496" s="33"/>
      <c r="EI496" s="33"/>
      <c r="EJ496" s="33"/>
      <c r="EK496" s="33"/>
      <c r="EL496" s="33"/>
      <c r="EM496" s="33"/>
      <c r="EN496" s="33"/>
      <c r="EO496" s="33"/>
      <c r="EP496" s="33"/>
      <c r="EQ496" s="33"/>
      <c r="ER496" s="33"/>
      <c r="ES496" s="33"/>
      <c r="ET496" s="33"/>
      <c r="EU496" s="33"/>
      <c r="EV496" s="33"/>
      <c r="EW496" s="33"/>
      <c r="EX496" s="33"/>
      <c r="EY496" s="33"/>
      <c r="EZ496" s="33"/>
      <c r="FA496" s="33"/>
      <c r="FB496" s="33"/>
      <c r="FC496" s="33"/>
      <c r="FD496" s="33"/>
      <c r="FE496" s="33"/>
      <c r="FF496" s="33"/>
      <c r="FG496" s="33"/>
      <c r="FH496" s="33"/>
      <c r="FI496" s="33"/>
      <c r="FJ496" s="33"/>
      <c r="FK496" s="33"/>
      <c r="FL496" s="33"/>
      <c r="FM496" s="33"/>
      <c r="FN496" s="33"/>
      <c r="FO496" s="33"/>
      <c r="FP496" s="33"/>
      <c r="FQ496" s="33"/>
      <c r="FR496" s="33"/>
      <c r="FS496" s="33"/>
      <c r="FT496" s="33"/>
      <c r="FU496" s="33"/>
      <c r="FV496" s="33"/>
      <c r="FW496" s="33"/>
      <c r="FX496" s="33"/>
      <c r="FY496" s="33"/>
      <c r="FZ496" s="33"/>
      <c r="GA496" s="33"/>
      <c r="GB496" s="33"/>
      <c r="GC496" s="33"/>
      <c r="GD496" s="33"/>
      <c r="GE496" s="33"/>
      <c r="GF496" s="33"/>
      <c r="GG496" s="33"/>
      <c r="GH496" s="33"/>
      <c r="GI496" s="33"/>
      <c r="GJ496" s="33"/>
      <c r="GK496" s="33"/>
      <c r="GL496" s="33"/>
      <c r="GM496" s="33"/>
      <c r="GN496" s="33"/>
      <c r="GO496" s="33"/>
      <c r="GP496" s="33"/>
      <c r="GQ496" s="33"/>
      <c r="GR496" s="33"/>
      <c r="GS496" s="33"/>
      <c r="GT496" s="33"/>
      <c r="GU496" s="33"/>
      <c r="GV496" s="33"/>
      <c r="GW496" s="33"/>
      <c r="GX496" s="33"/>
      <c r="GY496" s="33"/>
      <c r="GZ496" s="33"/>
      <c r="HA496" s="33"/>
      <c r="HB496" s="33"/>
      <c r="HC496" s="33"/>
      <c r="HD496" s="33"/>
      <c r="HE496" s="33"/>
      <c r="HF496" s="33"/>
      <c r="HG496" s="33"/>
      <c r="HH496" s="33"/>
      <c r="HI496" s="33"/>
      <c r="HJ496" s="33"/>
      <c r="HK496" s="33"/>
      <c r="HL496" s="33"/>
      <c r="HM496" s="33"/>
      <c r="HN496" s="33"/>
      <c r="HO496" s="33"/>
      <c r="HP496" s="33"/>
      <c r="HQ496" s="33"/>
      <c r="HR496" s="33"/>
      <c r="HS496" s="33"/>
      <c r="HT496" s="33"/>
      <c r="HU496" s="33"/>
      <c r="HV496" s="33"/>
      <c r="HW496" s="33"/>
      <c r="HX496" s="33"/>
      <c r="HY496" s="33"/>
      <c r="HZ496" s="33"/>
      <c r="IA496" s="33"/>
      <c r="IB496" s="33"/>
      <c r="IC496" s="33"/>
      <c r="ID496" s="33"/>
      <c r="IE496" s="33"/>
      <c r="IF496" s="33"/>
      <c r="IG496" s="33"/>
      <c r="IH496" s="33"/>
      <c r="II496" s="33"/>
      <c r="IJ496" s="33"/>
      <c r="IK496" s="33"/>
      <c r="IL496" s="33"/>
      <c r="IM496" s="33"/>
      <c r="IN496" s="33"/>
      <c r="IO496" s="33"/>
      <c r="IP496" s="33"/>
      <c r="IQ496" s="33"/>
      <c r="IR496" s="33"/>
      <c r="IS496" s="33"/>
      <c r="IT496" s="33"/>
      <c r="IU496" s="33"/>
      <c r="IV496" s="33"/>
      <c r="IW496" s="33"/>
      <c r="IX496" s="33"/>
      <c r="IY496" s="33"/>
      <c r="IZ496" s="33"/>
      <c r="JA496" s="33"/>
      <c r="JB496" s="33"/>
      <c r="JC496" s="33"/>
      <c r="JD496" s="33"/>
      <c r="JE496" s="33"/>
      <c r="JF496" s="33"/>
      <c r="JG496" s="33"/>
      <c r="JH496" s="33"/>
      <c r="JI496" s="33"/>
      <c r="JJ496" s="33"/>
      <c r="JK496" s="33"/>
      <c r="JL496" s="33"/>
      <c r="JM496" s="33"/>
      <c r="JN496" s="33"/>
      <c r="JO496" s="33"/>
      <c r="JP496" s="33"/>
      <c r="JQ496" s="33"/>
      <c r="JR496" s="33"/>
      <c r="KZ496" s="33"/>
      <c r="LA496" s="33"/>
      <c r="LB496" s="33"/>
      <c r="LC496" s="33"/>
      <c r="LD496" s="33"/>
      <c r="LE496" s="33"/>
      <c r="LF496" s="33"/>
      <c r="LG496" s="33"/>
      <c r="LH496" s="33"/>
      <c r="LI496" s="33"/>
      <c r="LJ496" s="33"/>
      <c r="LK496" s="33"/>
      <c r="LL496" s="33"/>
      <c r="LM496" s="33"/>
      <c r="LN496" s="33"/>
      <c r="LO496" s="33"/>
      <c r="LP496" s="44"/>
      <c r="LQ496" s="44"/>
      <c r="LR496" s="44"/>
      <c r="LS496" s="44"/>
      <c r="LT496" s="44"/>
      <c r="LU496" s="44"/>
      <c r="LV496" s="44"/>
    </row>
    <row r="497" spans="1:334" x14ac:dyDescent="0.2">
      <c r="A497" s="1" t="s">
        <v>9295</v>
      </c>
      <c r="B497" s="1" t="s">
        <v>2296</v>
      </c>
      <c r="D497" s="1" t="s">
        <v>9296</v>
      </c>
      <c r="E497" s="1" t="s">
        <v>7966</v>
      </c>
      <c r="I497" s="1">
        <v>7</v>
      </c>
      <c r="K497" s="1">
        <v>2012</v>
      </c>
      <c r="L497" s="1" t="s">
        <v>9297</v>
      </c>
      <c r="M497" s="1" t="s">
        <v>7661</v>
      </c>
      <c r="N497" s="17" t="s">
        <v>7945</v>
      </c>
      <c r="O497" s="33"/>
      <c r="P497" s="33"/>
      <c r="Q497" s="33"/>
      <c r="R497" s="33"/>
      <c r="S497" s="33">
        <v>2.2999999999999998</v>
      </c>
      <c r="T497" s="33"/>
      <c r="U497" s="33"/>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c r="CD497" s="33"/>
      <c r="CE497" s="33"/>
      <c r="CF497" s="33"/>
      <c r="CG497" s="33"/>
      <c r="CH497" s="33"/>
      <c r="CI497" s="33"/>
      <c r="CJ497" s="33"/>
      <c r="CK497" s="33"/>
      <c r="CL497" s="33"/>
      <c r="CM497" s="33"/>
      <c r="CN497" s="33"/>
      <c r="CO497" s="33"/>
      <c r="CP497" s="33">
        <v>168.82560000000001</v>
      </c>
      <c r="CQ497" s="33"/>
      <c r="CR497" s="33"/>
      <c r="CS497" s="33">
        <v>9.0861000000000018</v>
      </c>
      <c r="CT497" s="33"/>
      <c r="CU497" s="33"/>
      <c r="CV497" s="33"/>
      <c r="CW497" s="33"/>
      <c r="CX497" s="33"/>
      <c r="CY497" s="33"/>
      <c r="CZ497" s="33"/>
      <c r="DA497" s="33">
        <v>2.5499700000000001</v>
      </c>
      <c r="DB497" s="33"/>
      <c r="DC497" s="33"/>
      <c r="DD497" s="33"/>
      <c r="DE497" s="33"/>
      <c r="DF497" s="33"/>
      <c r="DG497" s="33"/>
      <c r="DH497" s="33"/>
      <c r="DI497" s="33"/>
      <c r="DJ497" s="33"/>
      <c r="DK497" s="33"/>
      <c r="DL497" s="33"/>
      <c r="DM497" s="33"/>
      <c r="DN497" s="33"/>
      <c r="DO497" s="33"/>
      <c r="DP497" s="33"/>
      <c r="DQ497" s="33"/>
      <c r="DR497" s="33"/>
      <c r="DS497" s="33"/>
      <c r="DT497" s="33"/>
      <c r="DU497" s="33"/>
      <c r="DV497" s="33"/>
      <c r="DW497" s="33"/>
      <c r="DX497" s="33"/>
      <c r="DY497" s="33"/>
      <c r="DZ497" s="33"/>
      <c r="EA497" s="33"/>
      <c r="EB497" s="33"/>
      <c r="EC497" s="33"/>
      <c r="ED497" s="33"/>
      <c r="EE497" s="33"/>
      <c r="EF497" s="33"/>
      <c r="EG497" s="33"/>
      <c r="EH497" s="33"/>
      <c r="EI497" s="33"/>
      <c r="EJ497" s="33"/>
      <c r="EK497" s="33"/>
      <c r="EL497" s="33"/>
      <c r="EM497" s="33"/>
      <c r="EN497" s="33"/>
      <c r="EO497" s="33"/>
      <c r="EP497" s="33"/>
      <c r="EQ497" s="33"/>
      <c r="ER497" s="33"/>
      <c r="ES497" s="33"/>
      <c r="ET497" s="33"/>
      <c r="EU497" s="33"/>
      <c r="EV497" s="33"/>
      <c r="EW497" s="33"/>
      <c r="EX497" s="33"/>
      <c r="EY497" s="33"/>
      <c r="EZ497" s="33"/>
      <c r="FA497" s="33"/>
      <c r="FB497" s="33"/>
      <c r="FC497" s="33"/>
      <c r="FD497" s="33"/>
      <c r="FE497" s="33"/>
      <c r="FF497" s="33"/>
      <c r="FG497" s="33"/>
      <c r="FH497" s="33"/>
      <c r="FI497" s="33"/>
      <c r="FJ497" s="33"/>
      <c r="FK497" s="33"/>
      <c r="FL497" s="33"/>
      <c r="FM497" s="33"/>
      <c r="FN497" s="33"/>
      <c r="FO497" s="33"/>
      <c r="FP497" s="33"/>
      <c r="FQ497" s="33"/>
      <c r="FR497" s="33"/>
      <c r="FS497" s="33"/>
      <c r="FT497" s="33"/>
      <c r="FU497" s="33"/>
      <c r="FV497" s="33"/>
      <c r="FW497" s="33"/>
      <c r="FX497" s="33"/>
      <c r="FY497" s="33"/>
      <c r="FZ497" s="33"/>
      <c r="GA497" s="33"/>
      <c r="GB497" s="33"/>
      <c r="GC497" s="33"/>
      <c r="GD497" s="33"/>
      <c r="GE497" s="33"/>
      <c r="GF497" s="33"/>
      <c r="GG497" s="33"/>
      <c r="GH497" s="33"/>
      <c r="GI497" s="33"/>
      <c r="GJ497" s="33"/>
      <c r="GK497" s="33"/>
      <c r="GL497" s="33"/>
      <c r="GM497" s="33"/>
      <c r="GN497" s="33"/>
      <c r="GO497" s="33"/>
      <c r="GP497" s="33"/>
      <c r="GQ497" s="33"/>
      <c r="GR497" s="33"/>
      <c r="GS497" s="33"/>
      <c r="GT497" s="33"/>
      <c r="GU497" s="33"/>
      <c r="GV497" s="33"/>
      <c r="GW497" s="33"/>
      <c r="GX497" s="33"/>
      <c r="GY497" s="33"/>
      <c r="GZ497" s="33"/>
      <c r="HA497" s="33"/>
      <c r="HB497" s="33"/>
      <c r="HC497" s="33"/>
      <c r="HD497" s="33"/>
      <c r="HE497" s="33"/>
      <c r="HF497" s="33"/>
      <c r="HG497" s="33"/>
      <c r="HH497" s="33"/>
      <c r="HI497" s="33"/>
      <c r="HJ497" s="33"/>
      <c r="HK497" s="33"/>
      <c r="HL497" s="33"/>
      <c r="HM497" s="33"/>
      <c r="HN497" s="33"/>
      <c r="HO497" s="33"/>
      <c r="HP497" s="33"/>
      <c r="HQ497" s="33"/>
      <c r="HR497" s="33"/>
      <c r="HS497" s="33"/>
      <c r="HT497" s="33"/>
      <c r="HU497" s="33"/>
      <c r="HV497" s="33"/>
      <c r="HW497" s="33"/>
      <c r="HX497" s="33"/>
      <c r="HY497" s="33"/>
      <c r="HZ497" s="33"/>
      <c r="IA497" s="33"/>
      <c r="IB497" s="33"/>
      <c r="IC497" s="33"/>
      <c r="ID497" s="33"/>
      <c r="IE497" s="33"/>
      <c r="IF497" s="33"/>
      <c r="IG497" s="33"/>
      <c r="IH497" s="33"/>
      <c r="II497" s="33"/>
      <c r="IJ497" s="33"/>
      <c r="IK497" s="33"/>
      <c r="IL497" s="33"/>
      <c r="IM497" s="33"/>
      <c r="IN497" s="33"/>
      <c r="IO497" s="33"/>
      <c r="IP497" s="33"/>
      <c r="IQ497" s="33"/>
      <c r="IR497" s="33"/>
      <c r="IS497" s="33"/>
      <c r="IT497" s="33"/>
      <c r="IU497" s="33"/>
      <c r="IV497" s="33"/>
      <c r="IW497" s="33"/>
      <c r="IX497" s="33"/>
      <c r="IY497" s="33"/>
      <c r="IZ497" s="33"/>
      <c r="JA497" s="33"/>
      <c r="JB497" s="33"/>
      <c r="JC497" s="33"/>
      <c r="JD497" s="33"/>
      <c r="JE497" s="33"/>
      <c r="JF497" s="33"/>
      <c r="JG497" s="33"/>
      <c r="JH497" s="33"/>
      <c r="JI497" s="33"/>
      <c r="JJ497" s="33"/>
      <c r="JK497" s="33"/>
      <c r="JL497" s="33"/>
      <c r="JM497" s="33"/>
      <c r="JN497" s="33"/>
      <c r="JO497" s="33"/>
      <c r="JP497" s="33"/>
      <c r="JQ497" s="33"/>
      <c r="JR497" s="33"/>
      <c r="KZ497" s="33"/>
      <c r="LA497" s="33">
        <v>700.31359999999995</v>
      </c>
      <c r="LB497" s="33"/>
      <c r="LC497" s="33"/>
      <c r="LD497" s="33"/>
      <c r="LE497" s="33"/>
      <c r="LF497" s="33"/>
      <c r="LG497" s="33"/>
      <c r="LH497" s="33"/>
      <c r="LI497" s="33"/>
      <c r="LJ497" s="33"/>
      <c r="LK497" s="33"/>
      <c r="LL497" s="33"/>
      <c r="LM497" s="33"/>
      <c r="LN497" s="33"/>
      <c r="LO497" s="33"/>
      <c r="LP497" s="44"/>
      <c r="LQ497" s="44"/>
      <c r="LR497" s="44"/>
      <c r="LS497" s="44"/>
      <c r="LT497" s="44"/>
      <c r="LU497" s="44"/>
      <c r="LV497" s="44"/>
    </row>
    <row r="498" spans="1:334" x14ac:dyDescent="0.2">
      <c r="A498" s="1" t="s">
        <v>9298</v>
      </c>
      <c r="B498" s="1" t="s">
        <v>2296</v>
      </c>
      <c r="D498" s="1" t="s">
        <v>9299</v>
      </c>
      <c r="E498" s="1" t="s">
        <v>7966</v>
      </c>
      <c r="I498" s="1">
        <v>3</v>
      </c>
      <c r="K498" s="1">
        <v>2012</v>
      </c>
      <c r="L498" s="1" t="s">
        <v>9297</v>
      </c>
      <c r="M498" s="1" t="s">
        <v>7661</v>
      </c>
      <c r="N498" s="17" t="s">
        <v>7945</v>
      </c>
      <c r="O498" s="33"/>
      <c r="P498" s="33"/>
      <c r="Q498" s="33"/>
      <c r="R498" s="33"/>
      <c r="S498" s="33">
        <v>1.6</v>
      </c>
      <c r="T498" s="33"/>
      <c r="U498" s="33"/>
      <c r="V498" s="33"/>
      <c r="W498" s="33"/>
      <c r="X498" s="33"/>
      <c r="Y498" s="33"/>
      <c r="Z498" s="33"/>
      <c r="AA498" s="33"/>
      <c r="AB498" s="33"/>
      <c r="AC498" s="33"/>
      <c r="AD498" s="33"/>
      <c r="AE498" s="33"/>
      <c r="AF498" s="33"/>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33"/>
      <c r="BC498" s="33"/>
      <c r="BD498" s="33"/>
      <c r="BE498" s="33"/>
      <c r="BF498" s="33"/>
      <c r="BG498" s="33"/>
      <c r="BH498" s="33"/>
      <c r="BI498" s="33"/>
      <c r="BJ498" s="33"/>
      <c r="BK498" s="33"/>
      <c r="BL498" s="33"/>
      <c r="BM498" s="33"/>
      <c r="BN498" s="33"/>
      <c r="BO498" s="33"/>
      <c r="BP498" s="33"/>
      <c r="BQ498" s="33"/>
      <c r="BR498" s="33"/>
      <c r="BS498" s="33"/>
      <c r="BT498" s="33"/>
      <c r="BU498" s="33"/>
      <c r="BV498" s="33"/>
      <c r="BW498" s="33"/>
      <c r="BX498" s="33"/>
      <c r="BY498" s="33"/>
      <c r="BZ498" s="33"/>
      <c r="CA498" s="33"/>
      <c r="CB498" s="33"/>
      <c r="CC498" s="33"/>
      <c r="CD498" s="33"/>
      <c r="CE498" s="33"/>
      <c r="CF498" s="33"/>
      <c r="CG498" s="33"/>
      <c r="CH498" s="33"/>
      <c r="CI498" s="33"/>
      <c r="CJ498" s="33"/>
      <c r="CK498" s="33"/>
      <c r="CL498" s="33"/>
      <c r="CM498" s="33"/>
      <c r="CN498" s="33"/>
      <c r="CO498" s="33"/>
      <c r="CP498" s="33">
        <v>53.923199999999994</v>
      </c>
      <c r="CQ498" s="33"/>
      <c r="CR498" s="33"/>
      <c r="CS498" s="33">
        <v>7.0848000000000004</v>
      </c>
      <c r="CT498" s="33"/>
      <c r="CU498" s="33"/>
      <c r="CV498" s="33"/>
      <c r="CW498" s="33"/>
      <c r="CX498" s="33"/>
      <c r="CY498" s="33"/>
      <c r="CZ498" s="33"/>
      <c r="DA498" s="33">
        <v>4.0343999999999998</v>
      </c>
      <c r="DB498" s="33"/>
      <c r="DC498" s="33"/>
      <c r="DD498" s="33"/>
      <c r="DE498" s="33"/>
      <c r="DF498" s="33"/>
      <c r="DG498" s="33"/>
      <c r="DH498" s="33"/>
      <c r="DI498" s="33"/>
      <c r="DJ498" s="33"/>
      <c r="DK498" s="33"/>
      <c r="DL498" s="33"/>
      <c r="DM498" s="33"/>
      <c r="DN498" s="33"/>
      <c r="DO498" s="33"/>
      <c r="DP498" s="33"/>
      <c r="DQ498" s="33"/>
      <c r="DR498" s="33"/>
      <c r="DS498" s="33"/>
      <c r="DT498" s="33"/>
      <c r="DU498" s="33"/>
      <c r="DV498" s="33"/>
      <c r="DW498" s="33"/>
      <c r="DX498" s="33"/>
      <c r="DY498" s="33"/>
      <c r="DZ498" s="33"/>
      <c r="EA498" s="33"/>
      <c r="EB498" s="33"/>
      <c r="EC498" s="33"/>
      <c r="ED498" s="33"/>
      <c r="EE498" s="33"/>
      <c r="EF498" s="33"/>
      <c r="EG498" s="33"/>
      <c r="EH498" s="33"/>
      <c r="EI498" s="33"/>
      <c r="EJ498" s="33"/>
      <c r="EK498" s="33"/>
      <c r="EL498" s="33"/>
      <c r="EM498" s="33"/>
      <c r="EN498" s="33"/>
      <c r="EO498" s="33"/>
      <c r="EP498" s="33"/>
      <c r="EQ498" s="33"/>
      <c r="ER498" s="33"/>
      <c r="ES498" s="33"/>
      <c r="ET498" s="33"/>
      <c r="EU498" s="33"/>
      <c r="EV498" s="33"/>
      <c r="EW498" s="33"/>
      <c r="EX498" s="33"/>
      <c r="EY498" s="33"/>
      <c r="EZ498" s="33"/>
      <c r="FA498" s="33"/>
      <c r="FB498" s="33"/>
      <c r="FC498" s="33"/>
      <c r="FD498" s="33"/>
      <c r="FE498" s="33"/>
      <c r="FF498" s="33"/>
      <c r="FG498" s="33"/>
      <c r="FH498" s="33"/>
      <c r="FI498" s="33"/>
      <c r="FJ498" s="33"/>
      <c r="FK498" s="33"/>
      <c r="FL498" s="33"/>
      <c r="FM498" s="33"/>
      <c r="FN498" s="33"/>
      <c r="FO498" s="33"/>
      <c r="FP498" s="33"/>
      <c r="FQ498" s="33"/>
      <c r="FR498" s="33"/>
      <c r="FS498" s="33"/>
      <c r="FT498" s="33"/>
      <c r="FU498" s="33"/>
      <c r="FV498" s="33"/>
      <c r="FW498" s="33"/>
      <c r="FX498" s="33"/>
      <c r="FY498" s="33"/>
      <c r="FZ498" s="33"/>
      <c r="GA498" s="33"/>
      <c r="GB498" s="33"/>
      <c r="GC498" s="33"/>
      <c r="GD498" s="33"/>
      <c r="GE498" s="33"/>
      <c r="GF498" s="33"/>
      <c r="GG498" s="33"/>
      <c r="GH498" s="33"/>
      <c r="GI498" s="33"/>
      <c r="GJ498" s="33"/>
      <c r="GK498" s="33"/>
      <c r="GL498" s="33"/>
      <c r="GM498" s="33"/>
      <c r="GN498" s="33"/>
      <c r="GO498" s="33"/>
      <c r="GP498" s="33"/>
      <c r="GQ498" s="33"/>
      <c r="GR498" s="33"/>
      <c r="GS498" s="33"/>
      <c r="GT498" s="33"/>
      <c r="GU498" s="33"/>
      <c r="GV498" s="33"/>
      <c r="GW498" s="33"/>
      <c r="GX498" s="33"/>
      <c r="GY498" s="33"/>
      <c r="GZ498" s="33"/>
      <c r="HA498" s="33"/>
      <c r="HB498" s="33"/>
      <c r="HC498" s="33"/>
      <c r="HD498" s="33"/>
      <c r="HE498" s="33"/>
      <c r="HF498" s="33"/>
      <c r="HG498" s="33"/>
      <c r="HH498" s="33"/>
      <c r="HI498" s="33"/>
      <c r="HJ498" s="33"/>
      <c r="HK498" s="33"/>
      <c r="HL498" s="33"/>
      <c r="HM498" s="33"/>
      <c r="HN498" s="33"/>
      <c r="HO498" s="33"/>
      <c r="HP498" s="33"/>
      <c r="HQ498" s="33"/>
      <c r="HR498" s="33"/>
      <c r="HS498" s="33"/>
      <c r="HT498" s="33"/>
      <c r="HU498" s="33"/>
      <c r="HV498" s="33"/>
      <c r="HW498" s="33"/>
      <c r="HX498" s="33"/>
      <c r="HY498" s="33"/>
      <c r="HZ498" s="33"/>
      <c r="IA498" s="33"/>
      <c r="IB498" s="33"/>
      <c r="IC498" s="33"/>
      <c r="ID498" s="33"/>
      <c r="IE498" s="33"/>
      <c r="IF498" s="33"/>
      <c r="IG498" s="33"/>
      <c r="IH498" s="33"/>
      <c r="II498" s="33"/>
      <c r="IJ498" s="33"/>
      <c r="IK498" s="33"/>
      <c r="IL498" s="33"/>
      <c r="IM498" s="33"/>
      <c r="IN498" s="33"/>
      <c r="IO498" s="33"/>
      <c r="IP498" s="33"/>
      <c r="IQ498" s="33"/>
      <c r="IR498" s="33"/>
      <c r="IS498" s="33"/>
      <c r="IT498" s="33"/>
      <c r="IU498" s="33"/>
      <c r="IV498" s="33"/>
      <c r="IW498" s="33"/>
      <c r="IX498" s="33"/>
      <c r="IY498" s="33"/>
      <c r="IZ498" s="33"/>
      <c r="JA498" s="33"/>
      <c r="JB498" s="33"/>
      <c r="JC498" s="33"/>
      <c r="JD498" s="33"/>
      <c r="JE498" s="33"/>
      <c r="JF498" s="33"/>
      <c r="JG498" s="33"/>
      <c r="JH498" s="33"/>
      <c r="JI498" s="33"/>
      <c r="JJ498" s="33"/>
      <c r="JK498" s="33"/>
      <c r="JL498" s="33"/>
      <c r="JM498" s="33"/>
      <c r="JN498" s="33"/>
      <c r="JO498" s="33"/>
      <c r="JP498" s="33"/>
      <c r="JQ498" s="33"/>
      <c r="JR498" s="33"/>
      <c r="KZ498" s="33"/>
      <c r="LA498" s="33">
        <v>235.8648</v>
      </c>
      <c r="LB498" s="33"/>
      <c r="LC498" s="33"/>
      <c r="LD498" s="33"/>
      <c r="LE498" s="33"/>
      <c r="LF498" s="33"/>
      <c r="LG498" s="33"/>
      <c r="LH498" s="33"/>
      <c r="LI498" s="33"/>
      <c r="LJ498" s="33"/>
      <c r="LK498" s="33"/>
      <c r="LL498" s="33"/>
      <c r="LM498" s="33"/>
      <c r="LN498" s="33"/>
      <c r="LO498" s="33"/>
      <c r="LP498" s="44"/>
      <c r="LQ498" s="44"/>
      <c r="LR498" s="44"/>
      <c r="LS498" s="44"/>
      <c r="LT498" s="44"/>
      <c r="LU498" s="44"/>
      <c r="LV498" s="44"/>
    </row>
    <row r="499" spans="1:334" x14ac:dyDescent="0.2">
      <c r="A499" s="1" t="s">
        <v>9300</v>
      </c>
      <c r="B499" s="1" t="s">
        <v>2296</v>
      </c>
      <c r="D499" s="1" t="s">
        <v>9301</v>
      </c>
      <c r="E499" s="1" t="s">
        <v>7966</v>
      </c>
      <c r="I499" s="1">
        <v>2</v>
      </c>
      <c r="K499" s="1">
        <v>2012</v>
      </c>
      <c r="L499" s="1" t="s">
        <v>9297</v>
      </c>
      <c r="M499" s="1" t="s">
        <v>7661</v>
      </c>
      <c r="N499" s="17" t="s">
        <v>7945</v>
      </c>
      <c r="O499" s="33"/>
      <c r="P499" s="33"/>
      <c r="Q499" s="33"/>
      <c r="R499" s="33"/>
      <c r="S499" s="33">
        <v>1.8</v>
      </c>
      <c r="T499" s="33"/>
      <c r="U499" s="33"/>
      <c r="V499" s="33"/>
      <c r="W499" s="33"/>
      <c r="X499" s="33"/>
      <c r="Y499" s="33"/>
      <c r="Z499" s="33"/>
      <c r="AA499" s="33"/>
      <c r="AB499" s="33"/>
      <c r="AC499" s="33"/>
      <c r="AD499" s="33"/>
      <c r="AE499" s="33"/>
      <c r="AF499" s="33"/>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33"/>
      <c r="BC499" s="33"/>
      <c r="BD499" s="33"/>
      <c r="BE499" s="33"/>
      <c r="BF499" s="33"/>
      <c r="BG499" s="33"/>
      <c r="BH499" s="33"/>
      <c r="BI499" s="33"/>
      <c r="BJ499" s="33"/>
      <c r="BK499" s="33"/>
      <c r="BL499" s="33"/>
      <c r="BM499" s="33"/>
      <c r="BN499" s="33"/>
      <c r="BO499" s="33"/>
      <c r="BP499" s="33"/>
      <c r="BQ499" s="33"/>
      <c r="BR499" s="33"/>
      <c r="BS499" s="33"/>
      <c r="BT499" s="33"/>
      <c r="BU499" s="33"/>
      <c r="BV499" s="33"/>
      <c r="BW499" s="33"/>
      <c r="BX499" s="33"/>
      <c r="BY499" s="33"/>
      <c r="BZ499" s="33"/>
      <c r="CA499" s="33"/>
      <c r="CB499" s="33"/>
      <c r="CC499" s="33"/>
      <c r="CD499" s="33"/>
      <c r="CE499" s="33"/>
      <c r="CF499" s="33"/>
      <c r="CG499" s="33"/>
      <c r="CH499" s="33"/>
      <c r="CI499" s="33"/>
      <c r="CJ499" s="33"/>
      <c r="CK499" s="33"/>
      <c r="CL499" s="33"/>
      <c r="CM499" s="33"/>
      <c r="CN499" s="33"/>
      <c r="CO499" s="33"/>
      <c r="CP499" s="33">
        <v>128.34739999999999</v>
      </c>
      <c r="CQ499" s="33"/>
      <c r="CR499" s="33"/>
      <c r="CS499" s="33">
        <v>5.4991999999999992</v>
      </c>
      <c r="CT499" s="33"/>
      <c r="CU499" s="33"/>
      <c r="CV499" s="33"/>
      <c r="CW499" s="33"/>
      <c r="CX499" s="33"/>
      <c r="CY499" s="33"/>
      <c r="CZ499" s="33"/>
      <c r="DA499" s="33">
        <v>2.8477999999999999</v>
      </c>
      <c r="DB499" s="33"/>
      <c r="DC499" s="33"/>
      <c r="DD499" s="33"/>
      <c r="DE499" s="33"/>
      <c r="DF499" s="33"/>
      <c r="DG499" s="33"/>
      <c r="DH499" s="33"/>
      <c r="DI499" s="33"/>
      <c r="DJ499" s="33"/>
      <c r="DK499" s="33"/>
      <c r="DL499" s="33"/>
      <c r="DM499" s="33"/>
      <c r="DN499" s="33"/>
      <c r="DO499" s="33"/>
      <c r="DP499" s="33"/>
      <c r="DQ499" s="33"/>
      <c r="DR499" s="33"/>
      <c r="DS499" s="33"/>
      <c r="DT499" s="33"/>
      <c r="DU499" s="33"/>
      <c r="DV499" s="33"/>
      <c r="DW499" s="33"/>
      <c r="DX499" s="33"/>
      <c r="DY499" s="33"/>
      <c r="DZ499" s="33"/>
      <c r="EA499" s="33"/>
      <c r="EB499" s="33"/>
      <c r="EC499" s="33"/>
      <c r="ED499" s="33"/>
      <c r="EE499" s="33"/>
      <c r="EF499" s="33"/>
      <c r="EG499" s="33"/>
      <c r="EH499" s="33"/>
      <c r="EI499" s="33"/>
      <c r="EJ499" s="33"/>
      <c r="EK499" s="33"/>
      <c r="EL499" s="33"/>
      <c r="EM499" s="33"/>
      <c r="EN499" s="33"/>
      <c r="EO499" s="33"/>
      <c r="EP499" s="33"/>
      <c r="EQ499" s="33"/>
      <c r="ER499" s="33"/>
      <c r="ES499" s="33"/>
      <c r="ET499" s="33"/>
      <c r="EU499" s="33"/>
      <c r="EV499" s="33"/>
      <c r="EW499" s="33"/>
      <c r="EX499" s="33"/>
      <c r="EY499" s="33"/>
      <c r="EZ499" s="33"/>
      <c r="FA499" s="33"/>
      <c r="FB499" s="33"/>
      <c r="FC499" s="33"/>
      <c r="FD499" s="33"/>
      <c r="FE499" s="33"/>
      <c r="FF499" s="33"/>
      <c r="FG499" s="33"/>
      <c r="FH499" s="33"/>
      <c r="FI499" s="33"/>
      <c r="FJ499" s="33"/>
      <c r="FK499" s="33"/>
      <c r="FL499" s="33"/>
      <c r="FM499" s="33"/>
      <c r="FN499" s="33"/>
      <c r="FO499" s="33"/>
      <c r="FP499" s="33"/>
      <c r="FQ499" s="33"/>
      <c r="FR499" s="33"/>
      <c r="FS499" s="33"/>
      <c r="FT499" s="33"/>
      <c r="FU499" s="33"/>
      <c r="FV499" s="33"/>
      <c r="FW499" s="33"/>
      <c r="FX499" s="33"/>
      <c r="FY499" s="33"/>
      <c r="FZ499" s="33"/>
      <c r="GA499" s="33"/>
      <c r="GB499" s="33"/>
      <c r="GC499" s="33"/>
      <c r="GD499" s="33"/>
      <c r="GE499" s="33"/>
      <c r="GF499" s="33"/>
      <c r="GG499" s="33"/>
      <c r="GH499" s="33"/>
      <c r="GI499" s="33"/>
      <c r="GJ499" s="33"/>
      <c r="GK499" s="33"/>
      <c r="GL499" s="33"/>
      <c r="GM499" s="33"/>
      <c r="GN499" s="33"/>
      <c r="GO499" s="33"/>
      <c r="GP499" s="33"/>
      <c r="GQ499" s="33"/>
      <c r="GR499" s="33"/>
      <c r="GS499" s="33"/>
      <c r="GT499" s="33"/>
      <c r="GU499" s="33"/>
      <c r="GV499" s="33"/>
      <c r="GW499" s="33"/>
      <c r="GX499" s="33"/>
      <c r="GY499" s="33"/>
      <c r="GZ499" s="33"/>
      <c r="HA499" s="33"/>
      <c r="HB499" s="33"/>
      <c r="HC499" s="33"/>
      <c r="HD499" s="33"/>
      <c r="HE499" s="33"/>
      <c r="HF499" s="33"/>
      <c r="HG499" s="33"/>
      <c r="HH499" s="33"/>
      <c r="HI499" s="33"/>
      <c r="HJ499" s="33"/>
      <c r="HK499" s="33"/>
      <c r="HL499" s="33"/>
      <c r="HM499" s="33"/>
      <c r="HN499" s="33"/>
      <c r="HO499" s="33"/>
      <c r="HP499" s="33"/>
      <c r="HQ499" s="33"/>
      <c r="HR499" s="33"/>
      <c r="HS499" s="33"/>
      <c r="HT499" s="33"/>
      <c r="HU499" s="33"/>
      <c r="HV499" s="33"/>
      <c r="HW499" s="33"/>
      <c r="HX499" s="33"/>
      <c r="HY499" s="33"/>
      <c r="HZ499" s="33"/>
      <c r="IA499" s="33"/>
      <c r="IB499" s="33"/>
      <c r="IC499" s="33"/>
      <c r="ID499" s="33"/>
      <c r="IE499" s="33"/>
      <c r="IF499" s="33"/>
      <c r="IG499" s="33"/>
      <c r="IH499" s="33"/>
      <c r="II499" s="33"/>
      <c r="IJ499" s="33"/>
      <c r="IK499" s="33"/>
      <c r="IL499" s="33"/>
      <c r="IM499" s="33"/>
      <c r="IN499" s="33"/>
      <c r="IO499" s="33"/>
      <c r="IP499" s="33"/>
      <c r="IQ499" s="33"/>
      <c r="IR499" s="33"/>
      <c r="IS499" s="33"/>
      <c r="IT499" s="33"/>
      <c r="IU499" s="33"/>
      <c r="IV499" s="33"/>
      <c r="IW499" s="33"/>
      <c r="IX499" s="33"/>
      <c r="IY499" s="33"/>
      <c r="IZ499" s="33"/>
      <c r="JA499" s="33"/>
      <c r="JB499" s="33"/>
      <c r="JC499" s="33"/>
      <c r="JD499" s="33"/>
      <c r="JE499" s="33"/>
      <c r="JF499" s="33"/>
      <c r="JG499" s="33"/>
      <c r="JH499" s="33"/>
      <c r="JI499" s="33"/>
      <c r="JJ499" s="33"/>
      <c r="JK499" s="33"/>
      <c r="JL499" s="33"/>
      <c r="JM499" s="33"/>
      <c r="JN499" s="33"/>
      <c r="JO499" s="33"/>
      <c r="JP499" s="33"/>
      <c r="JQ499" s="33"/>
      <c r="JR499" s="33"/>
      <c r="KZ499" s="33"/>
      <c r="LA499" s="33">
        <v>412.44</v>
      </c>
      <c r="LB499" s="33"/>
      <c r="LC499" s="33"/>
      <c r="LD499" s="33"/>
      <c r="LE499" s="33"/>
      <c r="LF499" s="33"/>
      <c r="LG499" s="33"/>
      <c r="LH499" s="33"/>
      <c r="LI499" s="33"/>
      <c r="LJ499" s="33"/>
      <c r="LK499" s="33"/>
      <c r="LL499" s="33"/>
      <c r="LM499" s="33"/>
      <c r="LN499" s="33"/>
      <c r="LO499" s="33"/>
      <c r="LP499" s="44"/>
      <c r="LQ499" s="44"/>
      <c r="LR499" s="44"/>
      <c r="LS499" s="44"/>
      <c r="LT499" s="44"/>
      <c r="LU499" s="44"/>
      <c r="LV499" s="44"/>
    </row>
    <row r="500" spans="1:334" x14ac:dyDescent="0.2">
      <c r="A500" s="1" t="s">
        <v>9302</v>
      </c>
      <c r="B500" s="1" t="s">
        <v>2296</v>
      </c>
      <c r="D500" s="1" t="s">
        <v>9303</v>
      </c>
      <c r="E500" s="1" t="s">
        <v>7966</v>
      </c>
      <c r="I500" s="1">
        <v>3</v>
      </c>
      <c r="K500" s="1">
        <v>2012</v>
      </c>
      <c r="L500" s="1" t="s">
        <v>9297</v>
      </c>
      <c r="M500" s="1" t="s">
        <v>7661</v>
      </c>
      <c r="N500" s="17" t="s">
        <v>7945</v>
      </c>
      <c r="O500" s="33"/>
      <c r="P500" s="33"/>
      <c r="Q500" s="33"/>
      <c r="R500" s="33"/>
      <c r="S500" s="33">
        <v>0.8</v>
      </c>
      <c r="T500" s="33"/>
      <c r="U500" s="33"/>
      <c r="V500" s="33"/>
      <c r="W500" s="33"/>
      <c r="X500" s="33"/>
      <c r="Y500" s="33"/>
      <c r="Z500" s="33"/>
      <c r="AA500" s="33"/>
      <c r="AB500" s="33"/>
      <c r="AC500" s="33"/>
      <c r="AD500" s="33"/>
      <c r="AE500" s="33"/>
      <c r="AF500" s="33"/>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c r="CA500" s="33"/>
      <c r="CB500" s="33"/>
      <c r="CC500" s="33"/>
      <c r="CD500" s="33"/>
      <c r="CE500" s="33"/>
      <c r="CF500" s="33"/>
      <c r="CG500" s="33"/>
      <c r="CH500" s="33"/>
      <c r="CI500" s="33"/>
      <c r="CJ500" s="33"/>
      <c r="CK500" s="33"/>
      <c r="CL500" s="33"/>
      <c r="CM500" s="33"/>
      <c r="CN500" s="33"/>
      <c r="CO500" s="33"/>
      <c r="CP500" s="33">
        <v>70.134399999999999</v>
      </c>
      <c r="CQ500" s="33"/>
      <c r="CR500" s="33"/>
      <c r="CS500" s="33">
        <v>8.1343999999999994</v>
      </c>
      <c r="CT500" s="33"/>
      <c r="CU500" s="33"/>
      <c r="CV500" s="33"/>
      <c r="CW500" s="33"/>
      <c r="CX500" s="33"/>
      <c r="CY500" s="33"/>
      <c r="CZ500" s="33"/>
      <c r="DA500" s="33">
        <v>3.6704000000000003</v>
      </c>
      <c r="DB500" s="33"/>
      <c r="DC500" s="33"/>
      <c r="DD500" s="33"/>
      <c r="DE500" s="33"/>
      <c r="DF500" s="33"/>
      <c r="DG500" s="33"/>
      <c r="DH500" s="33"/>
      <c r="DI500" s="33"/>
      <c r="DJ500" s="33"/>
      <c r="DK500" s="33"/>
      <c r="DL500" s="33"/>
      <c r="DM500" s="33"/>
      <c r="DN500" s="33"/>
      <c r="DO500" s="33"/>
      <c r="DP500" s="33"/>
      <c r="DQ500" s="33"/>
      <c r="DR500" s="33"/>
      <c r="DS500" s="33"/>
      <c r="DT500" s="33"/>
      <c r="DU500" s="33"/>
      <c r="DV500" s="33"/>
      <c r="DW500" s="33"/>
      <c r="DX500" s="33"/>
      <c r="DY500" s="33"/>
      <c r="DZ500" s="33"/>
      <c r="EA500" s="33"/>
      <c r="EB500" s="33"/>
      <c r="EC500" s="33"/>
      <c r="ED500" s="33"/>
      <c r="EE500" s="33"/>
      <c r="EF500" s="33"/>
      <c r="EG500" s="33"/>
      <c r="EH500" s="33"/>
      <c r="EI500" s="33"/>
      <c r="EJ500" s="33"/>
      <c r="EK500" s="33"/>
      <c r="EL500" s="33"/>
      <c r="EM500" s="33"/>
      <c r="EN500" s="33"/>
      <c r="EO500" s="33"/>
      <c r="EP500" s="33"/>
      <c r="EQ500" s="33"/>
      <c r="ER500" s="33"/>
      <c r="ES500" s="33"/>
      <c r="ET500" s="33"/>
      <c r="EU500" s="33"/>
      <c r="EV500" s="33"/>
      <c r="EW500" s="33"/>
      <c r="EX500" s="33"/>
      <c r="EY500" s="33"/>
      <c r="EZ500" s="33"/>
      <c r="FA500" s="33"/>
      <c r="FB500" s="33"/>
      <c r="FC500" s="33"/>
      <c r="FD500" s="33"/>
      <c r="FE500" s="33"/>
      <c r="FF500" s="33"/>
      <c r="FG500" s="33"/>
      <c r="FH500" s="33"/>
      <c r="FI500" s="33"/>
      <c r="FJ500" s="33"/>
      <c r="FK500" s="33"/>
      <c r="FL500" s="33"/>
      <c r="FM500" s="33"/>
      <c r="FN500" s="33"/>
      <c r="FO500" s="33"/>
      <c r="FP500" s="33"/>
      <c r="FQ500" s="33"/>
      <c r="FR500" s="33"/>
      <c r="FS500" s="33"/>
      <c r="FT500" s="33"/>
      <c r="FU500" s="33"/>
      <c r="FV500" s="33"/>
      <c r="FW500" s="33"/>
      <c r="FX500" s="33"/>
      <c r="FY500" s="33"/>
      <c r="FZ500" s="33"/>
      <c r="GA500" s="33"/>
      <c r="GB500" s="33"/>
      <c r="GC500" s="33"/>
      <c r="GD500" s="33"/>
      <c r="GE500" s="33"/>
      <c r="GF500" s="33"/>
      <c r="GG500" s="33"/>
      <c r="GH500" s="33"/>
      <c r="GI500" s="33"/>
      <c r="GJ500" s="33"/>
      <c r="GK500" s="33"/>
      <c r="GL500" s="33"/>
      <c r="GM500" s="33"/>
      <c r="GN500" s="33"/>
      <c r="GO500" s="33"/>
      <c r="GP500" s="33"/>
      <c r="GQ500" s="33"/>
      <c r="GR500" s="33"/>
      <c r="GS500" s="33"/>
      <c r="GT500" s="33"/>
      <c r="GU500" s="33"/>
      <c r="GV500" s="33"/>
      <c r="GW500" s="33"/>
      <c r="GX500" s="33"/>
      <c r="GY500" s="33"/>
      <c r="GZ500" s="33"/>
      <c r="HA500" s="33"/>
      <c r="HB500" s="33"/>
      <c r="HC500" s="33"/>
      <c r="HD500" s="33"/>
      <c r="HE500" s="33"/>
      <c r="HF500" s="33"/>
      <c r="HG500" s="33"/>
      <c r="HH500" s="33"/>
      <c r="HI500" s="33"/>
      <c r="HJ500" s="33"/>
      <c r="HK500" s="33"/>
      <c r="HL500" s="33"/>
      <c r="HM500" s="33"/>
      <c r="HN500" s="33"/>
      <c r="HO500" s="33"/>
      <c r="HP500" s="33"/>
      <c r="HQ500" s="33"/>
      <c r="HR500" s="33"/>
      <c r="HS500" s="33"/>
      <c r="HT500" s="33"/>
      <c r="HU500" s="33"/>
      <c r="HV500" s="33"/>
      <c r="HW500" s="33"/>
      <c r="HX500" s="33"/>
      <c r="HY500" s="33"/>
      <c r="HZ500" s="33"/>
      <c r="IA500" s="33"/>
      <c r="IB500" s="33"/>
      <c r="IC500" s="33"/>
      <c r="ID500" s="33"/>
      <c r="IE500" s="33"/>
      <c r="IF500" s="33"/>
      <c r="IG500" s="33"/>
      <c r="IH500" s="33"/>
      <c r="II500" s="33"/>
      <c r="IJ500" s="33"/>
      <c r="IK500" s="33"/>
      <c r="IL500" s="33"/>
      <c r="IM500" s="33"/>
      <c r="IN500" s="33"/>
      <c r="IO500" s="33"/>
      <c r="IP500" s="33"/>
      <c r="IQ500" s="33"/>
      <c r="IR500" s="33"/>
      <c r="IS500" s="33"/>
      <c r="IT500" s="33"/>
      <c r="IU500" s="33"/>
      <c r="IV500" s="33"/>
      <c r="IW500" s="33"/>
      <c r="IX500" s="33"/>
      <c r="IY500" s="33"/>
      <c r="IZ500" s="33"/>
      <c r="JA500" s="33"/>
      <c r="JB500" s="33"/>
      <c r="JC500" s="33"/>
      <c r="JD500" s="33"/>
      <c r="JE500" s="33"/>
      <c r="JF500" s="33"/>
      <c r="JG500" s="33"/>
      <c r="JH500" s="33"/>
      <c r="JI500" s="33"/>
      <c r="JJ500" s="33"/>
      <c r="JK500" s="33"/>
      <c r="JL500" s="33"/>
      <c r="JM500" s="33"/>
      <c r="JN500" s="33"/>
      <c r="JO500" s="33"/>
      <c r="JP500" s="33"/>
      <c r="JQ500" s="33"/>
      <c r="JR500" s="33"/>
      <c r="KZ500" s="33"/>
      <c r="LA500" s="33">
        <v>581.6096</v>
      </c>
      <c r="LB500" s="33"/>
      <c r="LC500" s="33"/>
      <c r="LD500" s="33"/>
      <c r="LE500" s="33"/>
      <c r="LF500" s="33"/>
      <c r="LG500" s="33"/>
      <c r="LH500" s="33"/>
      <c r="LI500" s="33"/>
      <c r="LJ500" s="33"/>
      <c r="LK500" s="33"/>
      <c r="LL500" s="33"/>
      <c r="LM500" s="33"/>
      <c r="LN500" s="33"/>
      <c r="LO500" s="33"/>
      <c r="LP500" s="44"/>
      <c r="LQ500" s="44"/>
      <c r="LR500" s="44"/>
      <c r="LS500" s="44"/>
      <c r="LT500" s="44"/>
      <c r="LU500" s="44"/>
      <c r="LV500" s="44"/>
    </row>
    <row r="501" spans="1:334" x14ac:dyDescent="0.2">
      <c r="A501" s="1" t="s">
        <v>9304</v>
      </c>
      <c r="B501" s="1" t="s">
        <v>2296</v>
      </c>
      <c r="D501" s="1" t="s">
        <v>9305</v>
      </c>
      <c r="E501" s="1" t="s">
        <v>11</v>
      </c>
      <c r="I501" s="1">
        <v>4</v>
      </c>
      <c r="K501" s="1">
        <v>2012</v>
      </c>
      <c r="L501" s="1" t="s">
        <v>9297</v>
      </c>
      <c r="M501" s="1" t="s">
        <v>7661</v>
      </c>
      <c r="N501" s="17" t="s">
        <v>7945</v>
      </c>
      <c r="O501" s="33"/>
      <c r="P501" s="33"/>
      <c r="Q501" s="33"/>
      <c r="R501" s="33"/>
      <c r="S501" s="33">
        <v>57.8</v>
      </c>
      <c r="T501" s="33"/>
      <c r="U501" s="33"/>
      <c r="V501" s="33"/>
      <c r="W501" s="33"/>
      <c r="X501" s="33"/>
      <c r="Y501" s="33"/>
      <c r="Z501" s="33"/>
      <c r="AA501" s="33"/>
      <c r="AB501" s="33"/>
      <c r="AC501" s="33"/>
      <c r="AD501" s="33"/>
      <c r="AE501" s="33"/>
      <c r="AF501" s="33"/>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c r="CD501" s="33"/>
      <c r="CE501" s="33"/>
      <c r="CF501" s="33"/>
      <c r="CG501" s="33"/>
      <c r="CH501" s="33"/>
      <c r="CI501" s="33"/>
      <c r="CJ501" s="33"/>
      <c r="CK501" s="33"/>
      <c r="CL501" s="33"/>
      <c r="CM501" s="33"/>
      <c r="CN501" s="33"/>
      <c r="CO501" s="33"/>
      <c r="CP501" s="33"/>
      <c r="CQ501" s="33"/>
      <c r="CR501" s="33"/>
      <c r="CS501" s="33"/>
      <c r="CT501" s="33"/>
      <c r="CU501" s="33"/>
      <c r="CV501" s="33"/>
      <c r="CW501" s="33"/>
      <c r="CX501" s="33"/>
      <c r="CY501" s="33"/>
      <c r="CZ501" s="33"/>
      <c r="DA501" s="33">
        <v>1.01702</v>
      </c>
      <c r="DB501" s="33"/>
      <c r="DC501" s="33"/>
      <c r="DD501" s="33"/>
      <c r="DE501" s="33"/>
      <c r="DF501" s="33"/>
      <c r="DG501" s="33"/>
      <c r="DH501" s="33"/>
      <c r="DI501" s="33"/>
      <c r="DJ501" s="33"/>
      <c r="DK501" s="33"/>
      <c r="DL501" s="33"/>
      <c r="DM501" s="33"/>
      <c r="DN501" s="33"/>
      <c r="DO501" s="33"/>
      <c r="DP501" s="33"/>
      <c r="DQ501" s="33"/>
      <c r="DR501" s="33"/>
      <c r="DS501" s="33"/>
      <c r="DT501" s="33"/>
      <c r="DU501" s="33"/>
      <c r="DV501" s="33"/>
      <c r="DW501" s="33"/>
      <c r="DX501" s="33"/>
      <c r="DY501" s="33"/>
      <c r="DZ501" s="33"/>
      <c r="EA501" s="33"/>
      <c r="EB501" s="33"/>
      <c r="EC501" s="33"/>
      <c r="ED501" s="33"/>
      <c r="EE501" s="33"/>
      <c r="EF501" s="33"/>
      <c r="EG501" s="33"/>
      <c r="EH501" s="33"/>
      <c r="EI501" s="33"/>
      <c r="EJ501" s="33"/>
      <c r="EK501" s="33"/>
      <c r="EL501" s="33"/>
      <c r="EM501" s="33"/>
      <c r="EN501" s="33"/>
      <c r="EO501" s="33"/>
      <c r="EP501" s="33"/>
      <c r="EQ501" s="33"/>
      <c r="ER501" s="33"/>
      <c r="ES501" s="33"/>
      <c r="ET501" s="33"/>
      <c r="EU501" s="33"/>
      <c r="EV501" s="33"/>
      <c r="EW501" s="33"/>
      <c r="EX501" s="33"/>
      <c r="EY501" s="33"/>
      <c r="EZ501" s="33"/>
      <c r="FA501" s="33"/>
      <c r="FB501" s="33"/>
      <c r="FC501" s="33"/>
      <c r="FD501" s="33"/>
      <c r="FE501" s="33"/>
      <c r="FF501" s="33"/>
      <c r="FG501" s="33"/>
      <c r="FH501" s="33"/>
      <c r="FI501" s="33"/>
      <c r="FJ501" s="33"/>
      <c r="FK501" s="33"/>
      <c r="FL501" s="33"/>
      <c r="FM501" s="33"/>
      <c r="FN501" s="33"/>
      <c r="FO501" s="33"/>
      <c r="FP501" s="33"/>
      <c r="FQ501" s="33"/>
      <c r="FR501" s="33"/>
      <c r="FS501" s="33"/>
      <c r="FT501" s="33"/>
      <c r="FU501" s="33"/>
      <c r="FV501" s="33"/>
      <c r="FW501" s="33"/>
      <c r="FX501" s="33"/>
      <c r="FY501" s="33"/>
      <c r="FZ501" s="33"/>
      <c r="GA501" s="33"/>
      <c r="GB501" s="33"/>
      <c r="GC501" s="33"/>
      <c r="GD501" s="33"/>
      <c r="GE501" s="33"/>
      <c r="GF501" s="33"/>
      <c r="GG501" s="33"/>
      <c r="GH501" s="33"/>
      <c r="GI501" s="33"/>
      <c r="GJ501" s="33"/>
      <c r="GK501" s="33"/>
      <c r="GL501" s="33"/>
      <c r="GM501" s="33"/>
      <c r="GN501" s="33"/>
      <c r="GO501" s="33"/>
      <c r="GP501" s="33"/>
      <c r="GQ501" s="33"/>
      <c r="GR501" s="33"/>
      <c r="GS501" s="33"/>
      <c r="GT501" s="33"/>
      <c r="GU501" s="33"/>
      <c r="GV501" s="33"/>
      <c r="GW501" s="33"/>
      <c r="GX501" s="33"/>
      <c r="GY501" s="33"/>
      <c r="GZ501" s="33"/>
      <c r="HA501" s="33"/>
      <c r="HB501" s="33"/>
      <c r="HC501" s="33"/>
      <c r="HD501" s="33"/>
      <c r="HE501" s="33"/>
      <c r="HF501" s="33"/>
      <c r="HG501" s="33"/>
      <c r="HH501" s="33"/>
      <c r="HI501" s="33"/>
      <c r="HJ501" s="33"/>
      <c r="HK501" s="33"/>
      <c r="HL501" s="33"/>
      <c r="HM501" s="33"/>
      <c r="HN501" s="33"/>
      <c r="HO501" s="33"/>
      <c r="HP501" s="33"/>
      <c r="HQ501" s="33"/>
      <c r="HR501" s="33"/>
      <c r="HS501" s="33"/>
      <c r="HT501" s="33"/>
      <c r="HU501" s="33"/>
      <c r="HV501" s="33"/>
      <c r="HW501" s="33"/>
      <c r="HX501" s="33"/>
      <c r="HY501" s="33"/>
      <c r="HZ501" s="33"/>
      <c r="IA501" s="33"/>
      <c r="IB501" s="33"/>
      <c r="IC501" s="33"/>
      <c r="ID501" s="33"/>
      <c r="IE501" s="33"/>
      <c r="IF501" s="33"/>
      <c r="IG501" s="33"/>
      <c r="IH501" s="33"/>
      <c r="II501" s="33"/>
      <c r="IJ501" s="33"/>
      <c r="IK501" s="33"/>
      <c r="IL501" s="33"/>
      <c r="IM501" s="33"/>
      <c r="IN501" s="33"/>
      <c r="IO501" s="33"/>
      <c r="IP501" s="33"/>
      <c r="IQ501" s="33"/>
      <c r="IR501" s="33"/>
      <c r="IS501" s="33"/>
      <c r="IT501" s="33"/>
      <c r="IU501" s="33"/>
      <c r="IV501" s="33"/>
      <c r="IW501" s="33"/>
      <c r="IX501" s="33"/>
      <c r="IY501" s="33"/>
      <c r="IZ501" s="33"/>
      <c r="JA501" s="33"/>
      <c r="JB501" s="33"/>
      <c r="JC501" s="33"/>
      <c r="JD501" s="33"/>
      <c r="JE501" s="33"/>
      <c r="JF501" s="33"/>
      <c r="JG501" s="33"/>
      <c r="JH501" s="33"/>
      <c r="JI501" s="33"/>
      <c r="JJ501" s="33"/>
      <c r="JK501" s="33"/>
      <c r="JL501" s="33"/>
      <c r="JM501" s="33"/>
      <c r="JN501" s="33"/>
      <c r="JO501" s="33"/>
      <c r="JP501" s="33"/>
      <c r="JQ501" s="33"/>
      <c r="JR501" s="33"/>
      <c r="KZ501" s="33"/>
      <c r="LA501" s="33">
        <v>349.66919999999999</v>
      </c>
      <c r="LB501" s="33"/>
      <c r="LC501" s="33"/>
      <c r="LD501" s="33"/>
      <c r="LE501" s="33"/>
      <c r="LF501" s="33"/>
      <c r="LG501" s="33"/>
      <c r="LH501" s="33"/>
      <c r="LI501" s="33"/>
      <c r="LJ501" s="33"/>
      <c r="LK501" s="33"/>
      <c r="LL501" s="33"/>
      <c r="LM501" s="33"/>
      <c r="LN501" s="33"/>
      <c r="LO501" s="33"/>
      <c r="LP501" s="44"/>
      <c r="LQ501" s="44"/>
      <c r="LR501" s="44"/>
      <c r="LS501" s="44"/>
      <c r="LT501" s="44"/>
      <c r="LU501" s="44"/>
      <c r="LV501" s="44"/>
    </row>
    <row r="502" spans="1:334" x14ac:dyDescent="0.2">
      <c r="A502" s="1" t="s">
        <v>9306</v>
      </c>
      <c r="B502" s="1" t="s">
        <v>2296</v>
      </c>
      <c r="D502" s="1" t="s">
        <v>9307</v>
      </c>
      <c r="E502" s="1" t="s">
        <v>11</v>
      </c>
      <c r="I502" s="1">
        <v>2</v>
      </c>
      <c r="K502" s="1">
        <v>2012</v>
      </c>
      <c r="L502" s="1" t="s">
        <v>9297</v>
      </c>
      <c r="M502" s="1" t="s">
        <v>7661</v>
      </c>
      <c r="N502" s="17" t="s">
        <v>7945</v>
      </c>
      <c r="O502" s="33"/>
      <c r="P502" s="33"/>
      <c r="Q502" s="33"/>
      <c r="R502" s="33"/>
      <c r="S502" s="33">
        <v>69</v>
      </c>
      <c r="T502" s="33"/>
      <c r="U502" s="33"/>
      <c r="V502" s="33"/>
      <c r="W502" s="33"/>
      <c r="X502" s="33"/>
      <c r="Y502" s="33"/>
      <c r="Z502" s="33">
        <v>24.33634</v>
      </c>
      <c r="AA502" s="33"/>
      <c r="AB502" s="33"/>
      <c r="AC502" s="33"/>
      <c r="AD502" s="33"/>
      <c r="AE502" s="33"/>
      <c r="AF502" s="33"/>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33"/>
      <c r="CM502" s="33"/>
      <c r="CN502" s="33"/>
      <c r="CO502" s="33"/>
      <c r="CP502" s="33">
        <v>27.155999999999999</v>
      </c>
      <c r="CQ502" s="33"/>
      <c r="CR502" s="33"/>
      <c r="CS502" s="33">
        <v>1.3640000000000001</v>
      </c>
      <c r="CT502" s="33"/>
      <c r="CU502" s="33"/>
      <c r="CV502" s="33"/>
      <c r="CW502" s="33"/>
      <c r="CX502" s="33"/>
      <c r="CY502" s="33"/>
      <c r="CZ502" s="33"/>
      <c r="DA502" s="33">
        <v>0.61070000000000002</v>
      </c>
      <c r="DB502" s="33"/>
      <c r="DC502" s="33"/>
      <c r="DD502" s="33"/>
      <c r="DE502" s="33"/>
      <c r="DF502" s="33"/>
      <c r="DG502" s="33"/>
      <c r="DH502" s="33"/>
      <c r="DI502" s="33"/>
      <c r="DJ502" s="33"/>
      <c r="DK502" s="33"/>
      <c r="DL502" s="33"/>
      <c r="DM502" s="33"/>
      <c r="DN502" s="33"/>
      <c r="DO502" s="33"/>
      <c r="DP502" s="33"/>
      <c r="DQ502" s="33"/>
      <c r="DR502" s="33"/>
      <c r="DS502" s="33"/>
      <c r="DT502" s="33"/>
      <c r="DU502" s="33"/>
      <c r="DV502" s="33"/>
      <c r="DW502" s="33"/>
      <c r="DX502" s="33"/>
      <c r="DY502" s="33"/>
      <c r="DZ502" s="33"/>
      <c r="EA502" s="33"/>
      <c r="EB502" s="33"/>
      <c r="EC502" s="33"/>
      <c r="ED502" s="33"/>
      <c r="EE502" s="33"/>
      <c r="EF502" s="33"/>
      <c r="EG502" s="33"/>
      <c r="EH502" s="33"/>
      <c r="EI502" s="33"/>
      <c r="EJ502" s="33"/>
      <c r="EK502" s="33"/>
      <c r="EL502" s="33"/>
      <c r="EM502" s="33"/>
      <c r="EN502" s="33"/>
      <c r="EO502" s="33"/>
      <c r="EP502" s="33"/>
      <c r="EQ502" s="33"/>
      <c r="ER502" s="33"/>
      <c r="ES502" s="33"/>
      <c r="ET502" s="33"/>
      <c r="EU502" s="33"/>
      <c r="EV502" s="33"/>
      <c r="EW502" s="33"/>
      <c r="EX502" s="33"/>
      <c r="EY502" s="33"/>
      <c r="EZ502" s="33"/>
      <c r="FA502" s="33"/>
      <c r="FB502" s="33"/>
      <c r="FC502" s="33"/>
      <c r="FD502" s="33"/>
      <c r="FE502" s="33"/>
      <c r="FF502" s="33"/>
      <c r="FG502" s="33"/>
      <c r="FH502" s="33"/>
      <c r="FI502" s="33"/>
      <c r="FJ502" s="33"/>
      <c r="FK502" s="33"/>
      <c r="FL502" s="33"/>
      <c r="FM502" s="33"/>
      <c r="FN502" s="33"/>
      <c r="FO502" s="33"/>
      <c r="FP502" s="33"/>
      <c r="FQ502" s="33"/>
      <c r="FR502" s="33"/>
      <c r="FS502" s="33"/>
      <c r="FT502" s="33"/>
      <c r="FU502" s="33"/>
      <c r="FV502" s="33"/>
      <c r="FW502" s="33"/>
      <c r="FX502" s="33"/>
      <c r="FY502" s="33"/>
      <c r="FZ502" s="33"/>
      <c r="GA502" s="33"/>
      <c r="GB502" s="33"/>
      <c r="GC502" s="33"/>
      <c r="GD502" s="33"/>
      <c r="GE502" s="33"/>
      <c r="GF502" s="33"/>
      <c r="GG502" s="33"/>
      <c r="GH502" s="33"/>
      <c r="GI502" s="33"/>
      <c r="GJ502" s="33"/>
      <c r="GK502" s="33"/>
      <c r="GL502" s="33"/>
      <c r="GM502" s="33"/>
      <c r="GN502" s="33"/>
      <c r="GO502" s="33"/>
      <c r="GP502" s="33"/>
      <c r="GQ502" s="33"/>
      <c r="GR502" s="33"/>
      <c r="GS502" s="33"/>
      <c r="GT502" s="33"/>
      <c r="GU502" s="33"/>
      <c r="GV502" s="33"/>
      <c r="GW502" s="33"/>
      <c r="GX502" s="33"/>
      <c r="GY502" s="33"/>
      <c r="GZ502" s="33"/>
      <c r="HA502" s="33"/>
      <c r="HB502" s="33"/>
      <c r="HC502" s="33"/>
      <c r="HD502" s="33"/>
      <c r="HE502" s="33"/>
      <c r="HF502" s="33"/>
      <c r="HG502" s="33"/>
      <c r="HH502" s="33"/>
      <c r="HI502" s="33"/>
      <c r="HJ502" s="33"/>
      <c r="HK502" s="33"/>
      <c r="HL502" s="33"/>
      <c r="HM502" s="33"/>
      <c r="HN502" s="33"/>
      <c r="HO502" s="33"/>
      <c r="HP502" s="33"/>
      <c r="HQ502" s="33"/>
      <c r="HR502" s="33"/>
      <c r="HS502" s="33"/>
      <c r="HT502" s="33"/>
      <c r="HU502" s="33"/>
      <c r="HV502" s="33"/>
      <c r="HW502" s="33"/>
      <c r="HX502" s="33"/>
      <c r="HY502" s="33"/>
      <c r="HZ502" s="33"/>
      <c r="IA502" s="33"/>
      <c r="IB502" s="33"/>
      <c r="IC502" s="33"/>
      <c r="ID502" s="33"/>
      <c r="IE502" s="33"/>
      <c r="IF502" s="33"/>
      <c r="IG502" s="33"/>
      <c r="IH502" s="33"/>
      <c r="II502" s="33"/>
      <c r="IJ502" s="33"/>
      <c r="IK502" s="33"/>
      <c r="IL502" s="33"/>
      <c r="IM502" s="33"/>
      <c r="IN502" s="33"/>
      <c r="IO502" s="33"/>
      <c r="IP502" s="33"/>
      <c r="IQ502" s="33"/>
      <c r="IR502" s="33"/>
      <c r="IS502" s="33"/>
      <c r="IT502" s="33"/>
      <c r="IU502" s="33"/>
      <c r="IV502" s="33"/>
      <c r="IW502" s="33"/>
      <c r="IX502" s="33"/>
      <c r="IY502" s="33"/>
      <c r="IZ502" s="33"/>
      <c r="JA502" s="33"/>
      <c r="JB502" s="33"/>
      <c r="JC502" s="33"/>
      <c r="JD502" s="33"/>
      <c r="JE502" s="33"/>
      <c r="JF502" s="33"/>
      <c r="JG502" s="33"/>
      <c r="JH502" s="33"/>
      <c r="JI502" s="33"/>
      <c r="JJ502" s="33"/>
      <c r="JK502" s="33"/>
      <c r="JL502" s="33"/>
      <c r="JM502" s="33"/>
      <c r="JN502" s="33"/>
      <c r="JO502" s="33"/>
      <c r="JP502" s="33"/>
      <c r="JQ502" s="33"/>
      <c r="JR502" s="33"/>
      <c r="KZ502" s="33"/>
      <c r="LA502" s="33">
        <v>189.50299999999999</v>
      </c>
      <c r="LB502" s="33"/>
      <c r="LC502" s="33"/>
      <c r="LD502" s="33"/>
      <c r="LE502" s="33"/>
      <c r="LF502" s="33"/>
      <c r="LG502" s="33"/>
      <c r="LH502" s="33"/>
      <c r="LI502" s="33"/>
      <c r="LJ502" s="33"/>
      <c r="LK502" s="33"/>
      <c r="LL502" s="33"/>
      <c r="LM502" s="33"/>
      <c r="LN502" s="33"/>
      <c r="LO502" s="33"/>
      <c r="LP502" s="44"/>
      <c r="LQ502" s="44"/>
      <c r="LR502" s="44"/>
      <c r="LS502" s="44"/>
      <c r="LT502" s="44"/>
      <c r="LU502" s="44"/>
      <c r="LV502" s="44"/>
    </row>
    <row r="503" spans="1:334" x14ac:dyDescent="0.2">
      <c r="A503" s="1" t="s">
        <v>9308</v>
      </c>
      <c r="B503" s="1" t="s">
        <v>8739</v>
      </c>
      <c r="D503" s="1" t="s">
        <v>9309</v>
      </c>
      <c r="E503" s="1" t="s">
        <v>8338</v>
      </c>
      <c r="F503" s="1" t="s">
        <v>8024</v>
      </c>
      <c r="H503" s="1" t="s">
        <v>9310</v>
      </c>
      <c r="I503" s="1">
        <v>3</v>
      </c>
      <c r="J503" s="1" t="s">
        <v>9311</v>
      </c>
      <c r="K503" s="1">
        <v>2011</v>
      </c>
      <c r="L503" s="1" t="s">
        <v>9312</v>
      </c>
      <c r="M503" s="1" t="s">
        <v>9313</v>
      </c>
      <c r="N503" s="17" t="s">
        <v>7945</v>
      </c>
      <c r="O503" s="33"/>
      <c r="P503" s="33"/>
      <c r="Q503" s="33"/>
      <c r="R503" s="33"/>
      <c r="S503" s="33">
        <v>8.51</v>
      </c>
      <c r="T503" s="33"/>
      <c r="U503" s="33">
        <v>5.75</v>
      </c>
      <c r="V503" s="33"/>
      <c r="W503" s="33"/>
      <c r="X503" s="33"/>
      <c r="Y503" s="33"/>
      <c r="Z503" s="33">
        <v>23.970379999999999</v>
      </c>
      <c r="AA503" s="33"/>
      <c r="AB503" s="33"/>
      <c r="AC503" s="33"/>
      <c r="AD503" s="33">
        <v>0.91489999999999994</v>
      </c>
      <c r="AE503" s="33"/>
      <c r="AF503" s="33"/>
      <c r="AG503" s="33"/>
      <c r="AH503" s="33"/>
      <c r="AI503" s="33"/>
      <c r="AJ503" s="33"/>
      <c r="AK503" s="33"/>
      <c r="AL503" s="33"/>
      <c r="AM503" s="33">
        <v>38.425800000000002</v>
      </c>
      <c r="AN503" s="33"/>
      <c r="AO503" s="33"/>
      <c r="AP503" s="33"/>
      <c r="AQ503" s="33"/>
      <c r="AR503" s="33"/>
      <c r="AS503" s="33"/>
      <c r="AT503" s="33"/>
      <c r="AU503" s="33"/>
      <c r="AV503" s="33"/>
      <c r="AW503" s="33"/>
      <c r="AX503" s="33">
        <v>0.68617499999999998</v>
      </c>
      <c r="AY503" s="33"/>
      <c r="AZ503" s="33"/>
      <c r="BA503" s="33"/>
      <c r="BB503" s="33"/>
      <c r="BC503" s="33"/>
      <c r="BD503" s="33"/>
      <c r="BE503" s="33">
        <v>5.7638699999999998</v>
      </c>
      <c r="BF503" s="33"/>
      <c r="BG503" s="33"/>
      <c r="BH503" s="33"/>
      <c r="BI503" s="33"/>
      <c r="BJ503" s="33"/>
      <c r="BK503" s="33"/>
      <c r="BL503" s="33"/>
      <c r="BM503" s="33"/>
      <c r="BN503" s="33"/>
      <c r="BO503" s="33"/>
      <c r="BP503" s="33"/>
      <c r="BQ503" s="33"/>
      <c r="BR503" s="33"/>
      <c r="BS503" s="33"/>
      <c r="BT503" s="33"/>
      <c r="BU503" s="33"/>
      <c r="BV503" s="33"/>
      <c r="BW503" s="33"/>
      <c r="BX503" s="33">
        <v>0.36595999999999995</v>
      </c>
      <c r="BY503" s="33">
        <v>1.655969</v>
      </c>
      <c r="BZ503" s="33">
        <v>0.43915199999999999</v>
      </c>
      <c r="CA503" s="33">
        <v>1.6376710000000001</v>
      </c>
      <c r="CB503" s="33"/>
      <c r="CC503" s="33"/>
      <c r="CD503" s="33"/>
      <c r="CE503" s="33"/>
      <c r="CF503" s="33"/>
      <c r="CG503" s="33"/>
      <c r="CH503" s="33"/>
      <c r="CI503" s="33"/>
      <c r="CJ503" s="33"/>
      <c r="CK503" s="33"/>
      <c r="CL503" s="33"/>
      <c r="CM503" s="33"/>
      <c r="CN503" s="33"/>
      <c r="CO503" s="33">
        <v>3.1106599999999998</v>
      </c>
      <c r="CP503" s="33">
        <v>89.019769999999994</v>
      </c>
      <c r="CQ503" s="33"/>
      <c r="CR503" s="33">
        <v>0.91489999999999994</v>
      </c>
      <c r="CS503" s="33">
        <v>6.6787699999999992</v>
      </c>
      <c r="CT503" s="33"/>
      <c r="CU503" s="33">
        <v>878.30399999999997</v>
      </c>
      <c r="CV503" s="33">
        <v>126.25619999999999</v>
      </c>
      <c r="CW503" s="33">
        <v>2.1957599999999999</v>
      </c>
      <c r="CX503" s="33">
        <v>71.362199999999987</v>
      </c>
      <c r="CY503" s="33">
        <v>494.96089999999998</v>
      </c>
      <c r="CZ503" s="33"/>
      <c r="DA503" s="33">
        <v>3.9340699999999997</v>
      </c>
      <c r="DB503" s="33"/>
      <c r="DC503" s="33"/>
      <c r="DD503" s="33"/>
      <c r="DE503" s="33"/>
      <c r="DF503" s="33"/>
      <c r="DG503" s="33"/>
      <c r="DH503" s="33"/>
      <c r="DI503" s="33"/>
      <c r="DJ503" s="33"/>
      <c r="DK503" s="33"/>
      <c r="DL503" s="33"/>
      <c r="DM503" s="33"/>
      <c r="DN503" s="33"/>
      <c r="DO503" s="33"/>
      <c r="DP503" s="33"/>
      <c r="DQ503" s="33"/>
      <c r="DR503" s="33"/>
      <c r="DS503" s="33"/>
      <c r="DT503" s="33"/>
      <c r="DU503" s="33"/>
      <c r="DV503" s="33"/>
      <c r="DW503" s="33"/>
      <c r="DX503" s="33"/>
      <c r="DY503" s="33"/>
      <c r="DZ503" s="33"/>
      <c r="EA503" s="33"/>
      <c r="EB503" s="33"/>
      <c r="EC503" s="33"/>
      <c r="ED503" s="33"/>
      <c r="EE503" s="33"/>
      <c r="EF503" s="33"/>
      <c r="EG503" s="33"/>
      <c r="EH503" s="33"/>
      <c r="EI503" s="33"/>
      <c r="EJ503" s="33"/>
      <c r="EK503" s="33"/>
      <c r="EL503" s="33"/>
      <c r="EM503" s="33"/>
      <c r="EN503" s="33"/>
      <c r="EO503" s="33"/>
      <c r="EP503" s="33"/>
      <c r="EQ503" s="33"/>
      <c r="ER503" s="33"/>
      <c r="ES503" s="33"/>
      <c r="ET503" s="33"/>
      <c r="EU503" s="33"/>
      <c r="EV503" s="33"/>
      <c r="EW503" s="33"/>
      <c r="EX503" s="33"/>
      <c r="EY503" s="33"/>
      <c r="EZ503" s="33"/>
      <c r="FA503" s="33"/>
      <c r="FB503" s="33"/>
      <c r="FC503" s="33"/>
      <c r="FD503" s="33"/>
      <c r="FE503" s="33"/>
      <c r="FF503" s="33"/>
      <c r="FG503" s="33"/>
      <c r="FH503" s="33"/>
      <c r="FI503" s="33"/>
      <c r="FJ503" s="33"/>
      <c r="FK503" s="33"/>
      <c r="FL503" s="33"/>
      <c r="FM503" s="33"/>
      <c r="FN503" s="33"/>
      <c r="FO503" s="33"/>
      <c r="FP503" s="33"/>
      <c r="FQ503" s="33"/>
      <c r="FR503" s="33"/>
      <c r="FS503" s="33"/>
      <c r="FT503" s="33"/>
      <c r="FU503" s="33"/>
      <c r="FV503" s="33"/>
      <c r="FW503" s="33"/>
      <c r="FX503" s="33"/>
      <c r="FY503" s="33"/>
      <c r="FZ503" s="33"/>
      <c r="GA503" s="33"/>
      <c r="GB503" s="33"/>
      <c r="GC503" s="33"/>
      <c r="GD503" s="33"/>
      <c r="GE503" s="33"/>
      <c r="GF503" s="33"/>
      <c r="GG503" s="33"/>
      <c r="GH503" s="33"/>
      <c r="GI503" s="33"/>
      <c r="GJ503" s="33"/>
      <c r="GK503" s="33"/>
      <c r="GL503" s="33"/>
      <c r="GM503" s="33"/>
      <c r="GN503" s="33"/>
      <c r="GO503" s="33"/>
      <c r="GP503" s="33"/>
      <c r="GQ503" s="33"/>
      <c r="GR503" s="33"/>
      <c r="GS503" s="33"/>
      <c r="GT503" s="33"/>
      <c r="GU503" s="33"/>
      <c r="GV503" s="33"/>
      <c r="GW503" s="33"/>
      <c r="GX503" s="33"/>
      <c r="GY503" s="33"/>
      <c r="GZ503" s="33"/>
      <c r="HA503" s="33"/>
      <c r="HB503" s="33"/>
      <c r="HC503" s="33"/>
      <c r="HD503" s="33"/>
      <c r="HE503" s="33"/>
      <c r="HF503" s="33"/>
      <c r="HG503" s="33"/>
      <c r="HH503" s="33"/>
      <c r="HI503" s="33"/>
      <c r="HJ503" s="33"/>
      <c r="HK503" s="33"/>
      <c r="HL503" s="33"/>
      <c r="HM503" s="33"/>
      <c r="HN503" s="33"/>
      <c r="HO503" s="33"/>
      <c r="HP503" s="33"/>
      <c r="HQ503" s="33"/>
      <c r="HR503" s="33"/>
      <c r="HS503" s="33"/>
      <c r="HT503" s="33"/>
      <c r="HU503" s="33"/>
      <c r="HV503" s="33"/>
      <c r="HW503" s="33"/>
      <c r="HX503" s="33"/>
      <c r="HY503" s="33"/>
      <c r="HZ503" s="33"/>
      <c r="IA503" s="33"/>
      <c r="IB503" s="33"/>
      <c r="IC503" s="33"/>
      <c r="ID503" s="33"/>
      <c r="IE503" s="33"/>
      <c r="IF503" s="33"/>
      <c r="IG503" s="33"/>
      <c r="IH503" s="33"/>
      <c r="II503" s="33"/>
      <c r="IJ503" s="33"/>
      <c r="IK503" s="33"/>
      <c r="IL503" s="33"/>
      <c r="IM503" s="33"/>
      <c r="IN503" s="33"/>
      <c r="IO503" s="33"/>
      <c r="IP503" s="33"/>
      <c r="IQ503" s="33"/>
      <c r="IR503" s="33"/>
      <c r="IS503" s="33"/>
      <c r="IT503" s="33"/>
      <c r="IU503" s="33"/>
      <c r="IV503" s="33"/>
      <c r="IW503" s="33"/>
      <c r="IX503" s="33"/>
      <c r="IY503" s="33"/>
      <c r="IZ503" s="33"/>
      <c r="JA503" s="33"/>
      <c r="JB503" s="33"/>
      <c r="JC503" s="33"/>
      <c r="JD503" s="33"/>
      <c r="JE503" s="33"/>
      <c r="JF503" s="33"/>
      <c r="JG503" s="33"/>
      <c r="JH503" s="33"/>
      <c r="JI503" s="33"/>
      <c r="JJ503" s="33"/>
      <c r="JK503" s="33"/>
      <c r="JL503" s="33"/>
      <c r="JM503" s="33"/>
      <c r="JN503" s="33"/>
      <c r="JO503" s="33"/>
      <c r="JP503" s="33"/>
      <c r="JQ503" s="33"/>
      <c r="JR503" s="33"/>
      <c r="JU503" s="42">
        <v>1137.4593695652172</v>
      </c>
      <c r="JV503" s="42">
        <v>1904.5831304347828</v>
      </c>
      <c r="JX503" s="42">
        <v>3042.0425</v>
      </c>
      <c r="JY503" s="42">
        <v>317.43052173913043</v>
      </c>
      <c r="KB503" s="42">
        <v>4100.1442391304345</v>
      </c>
      <c r="KC503" s="42">
        <v>1084.5542826086955</v>
      </c>
      <c r="KD503" s="42">
        <v>793.57630434782595</v>
      </c>
      <c r="KE503" s="42">
        <v>1243.2695434782609</v>
      </c>
      <c r="KF503" s="42">
        <v>1957.4882173913045</v>
      </c>
      <c r="KG503" s="42">
        <v>1851.6780434782606</v>
      </c>
      <c r="KH503" s="42">
        <v>370.33560869565213</v>
      </c>
      <c r="KJ503" s="42">
        <v>1613.605152173913</v>
      </c>
      <c r="KK503" s="42">
        <v>1058.1017391304349</v>
      </c>
      <c r="KL503" s="42">
        <v>1216.8169999999998</v>
      </c>
      <c r="KN503" s="42">
        <v>1005.1966521739129</v>
      </c>
      <c r="KO503" s="42">
        <v>185.16780434782606</v>
      </c>
      <c r="KP503" s="42">
        <v>608.40849999999989</v>
      </c>
      <c r="KQ503" s="42">
        <v>1375.5322608695653</v>
      </c>
      <c r="KZ503" s="33"/>
      <c r="LA503" s="33"/>
      <c r="LB503" s="33">
        <v>3760.239</v>
      </c>
      <c r="LC503" s="33"/>
      <c r="LD503" s="33"/>
      <c r="LE503" s="33"/>
      <c r="LF503" s="33"/>
      <c r="LG503" s="33"/>
      <c r="LH503" s="33"/>
      <c r="LI503" s="33"/>
      <c r="LJ503" s="33"/>
      <c r="LK503" s="33"/>
      <c r="LL503" s="33"/>
      <c r="LM503" s="33"/>
      <c r="LN503" s="33"/>
      <c r="LO503" s="33"/>
      <c r="LP503" s="44"/>
      <c r="LQ503" s="44"/>
      <c r="LR503" s="44"/>
      <c r="LS503" s="44"/>
      <c r="LT503" s="44"/>
      <c r="LU503" s="44"/>
      <c r="LV503" s="44"/>
    </row>
    <row r="504" spans="1:334" x14ac:dyDescent="0.2">
      <c r="A504" s="1" t="s">
        <v>9314</v>
      </c>
      <c r="B504" s="1" t="s">
        <v>8739</v>
      </c>
      <c r="D504" s="1" t="s">
        <v>9315</v>
      </c>
      <c r="E504" s="1" t="s">
        <v>8037</v>
      </c>
      <c r="F504" s="1" t="s">
        <v>8024</v>
      </c>
      <c r="H504" s="1" t="s">
        <v>9316</v>
      </c>
      <c r="I504" s="1">
        <v>3</v>
      </c>
      <c r="J504" s="1" t="s">
        <v>9311</v>
      </c>
      <c r="K504" s="1">
        <v>2011</v>
      </c>
      <c r="L504" s="1" t="s">
        <v>9312</v>
      </c>
      <c r="M504" s="1" t="s">
        <v>9313</v>
      </c>
      <c r="N504" s="17" t="s">
        <v>7945</v>
      </c>
      <c r="O504" s="33"/>
      <c r="P504" s="33"/>
      <c r="Q504" s="33"/>
      <c r="R504" s="33"/>
      <c r="S504" s="33">
        <v>8.6300000000000008</v>
      </c>
      <c r="T504" s="33"/>
      <c r="U504" s="33">
        <v>5.75</v>
      </c>
      <c r="V504" s="33"/>
      <c r="W504" s="33"/>
      <c r="X504" s="33"/>
      <c r="Y504" s="33"/>
      <c r="Z504" s="33">
        <v>23.878890000000002</v>
      </c>
      <c r="AA504" s="33"/>
      <c r="AB504" s="33"/>
      <c r="AC504" s="33"/>
      <c r="AD504" s="33">
        <v>0.82233000000000001</v>
      </c>
      <c r="AE504" s="33"/>
      <c r="AF504" s="33"/>
      <c r="AG504" s="33"/>
      <c r="AH504" s="33"/>
      <c r="AI504" s="33"/>
      <c r="AJ504" s="33"/>
      <c r="AK504" s="33"/>
      <c r="AL504" s="33"/>
      <c r="AM504" s="33">
        <v>37.510899999999999</v>
      </c>
      <c r="AN504" s="33"/>
      <c r="AO504" s="33"/>
      <c r="AP504" s="33"/>
      <c r="AQ504" s="33"/>
      <c r="AR504" s="33"/>
      <c r="AS504" s="33"/>
      <c r="AT504" s="33"/>
      <c r="AU504" s="33"/>
      <c r="AV504" s="33"/>
      <c r="AW504" s="33"/>
      <c r="AX504" s="33">
        <v>0.54893999999999998</v>
      </c>
      <c r="AY504" s="33"/>
      <c r="AZ504" s="33"/>
      <c r="BA504" s="33"/>
      <c r="BB504" s="33"/>
      <c r="BC504" s="33"/>
      <c r="BD504" s="33"/>
      <c r="BE504" s="33">
        <v>5.6723799999999995</v>
      </c>
      <c r="BF504" s="33"/>
      <c r="BG504" s="33"/>
      <c r="BH504" s="33"/>
      <c r="BI504" s="33"/>
      <c r="BJ504" s="33"/>
      <c r="BK504" s="33"/>
      <c r="BL504" s="33"/>
      <c r="BM504" s="33"/>
      <c r="BN504" s="33"/>
      <c r="BO504" s="33"/>
      <c r="BP504" s="33"/>
      <c r="BQ504" s="33"/>
      <c r="BR504" s="33"/>
      <c r="BS504" s="33"/>
      <c r="BT504" s="33"/>
      <c r="BU504" s="33"/>
      <c r="BV504" s="33"/>
      <c r="BW504" s="33"/>
      <c r="BX504" s="33">
        <v>0.18297999999999998</v>
      </c>
      <c r="BY504" s="33">
        <v>0.91489999999999994</v>
      </c>
      <c r="BZ504" s="33">
        <v>0.28361900000000001</v>
      </c>
      <c r="CA504" s="33">
        <v>1.2808599999999999</v>
      </c>
      <c r="CB504" s="33"/>
      <c r="CC504" s="33"/>
      <c r="CD504" s="33"/>
      <c r="CE504" s="33"/>
      <c r="CF504" s="33"/>
      <c r="CG504" s="33"/>
      <c r="CH504" s="33"/>
      <c r="CI504" s="33"/>
      <c r="CJ504" s="33"/>
      <c r="CK504" s="33"/>
      <c r="CL504" s="33"/>
      <c r="CM504" s="33"/>
      <c r="CN504" s="33"/>
      <c r="CO504" s="33">
        <v>3.0191699999999999</v>
      </c>
      <c r="CP504" s="33">
        <v>45.937128999999999</v>
      </c>
      <c r="CQ504" s="33"/>
      <c r="CR504" s="33">
        <v>0.66787700000000005</v>
      </c>
      <c r="CS504" s="33">
        <v>5.5808899999999992</v>
      </c>
      <c r="CT504" s="33"/>
      <c r="CU504" s="33">
        <v>384.25799999999998</v>
      </c>
      <c r="CV504" s="33">
        <v>107.95819999999999</v>
      </c>
      <c r="CW504" s="33">
        <v>1.64682</v>
      </c>
      <c r="CX504" s="33">
        <v>65.872799999999998</v>
      </c>
      <c r="CY504" s="33">
        <v>422.68379999999996</v>
      </c>
      <c r="CZ504" s="33"/>
      <c r="DA504" s="33">
        <v>3.1106599999999998</v>
      </c>
      <c r="DB504" s="33"/>
      <c r="DC504" s="33"/>
      <c r="DD504" s="33"/>
      <c r="DE504" s="33"/>
      <c r="DF504" s="33"/>
      <c r="DG504" s="33"/>
      <c r="DH504" s="33"/>
      <c r="DI504" s="33"/>
      <c r="DJ504" s="33"/>
      <c r="DK504" s="33"/>
      <c r="DL504" s="33"/>
      <c r="DM504" s="33"/>
      <c r="DN504" s="33"/>
      <c r="DO504" s="33"/>
      <c r="DP504" s="33"/>
      <c r="DQ504" s="33"/>
      <c r="DR504" s="33"/>
      <c r="DS504" s="33"/>
      <c r="DT504" s="33"/>
      <c r="DU504" s="33"/>
      <c r="DV504" s="33"/>
      <c r="DW504" s="33"/>
      <c r="DX504" s="33"/>
      <c r="DY504" s="33"/>
      <c r="DZ504" s="33"/>
      <c r="EA504" s="33"/>
      <c r="EB504" s="33"/>
      <c r="EC504" s="33"/>
      <c r="ED504" s="33"/>
      <c r="EE504" s="33"/>
      <c r="EF504" s="33"/>
      <c r="EG504" s="33"/>
      <c r="EH504" s="33"/>
      <c r="EI504" s="33"/>
      <c r="EJ504" s="33"/>
      <c r="EK504" s="33"/>
      <c r="EL504" s="33"/>
      <c r="EM504" s="33"/>
      <c r="EN504" s="33"/>
      <c r="EO504" s="33"/>
      <c r="EP504" s="33"/>
      <c r="EQ504" s="33"/>
      <c r="ER504" s="33"/>
      <c r="ES504" s="33"/>
      <c r="ET504" s="33"/>
      <c r="EU504" s="33"/>
      <c r="EV504" s="33"/>
      <c r="EW504" s="33"/>
      <c r="EX504" s="33"/>
      <c r="EY504" s="33"/>
      <c r="EZ504" s="33"/>
      <c r="FA504" s="33"/>
      <c r="FB504" s="33"/>
      <c r="FC504" s="33"/>
      <c r="FD504" s="33"/>
      <c r="FE504" s="33"/>
      <c r="FF504" s="33"/>
      <c r="FG504" s="33"/>
      <c r="FH504" s="33"/>
      <c r="FI504" s="33"/>
      <c r="FJ504" s="33"/>
      <c r="FK504" s="33"/>
      <c r="FL504" s="33"/>
      <c r="FM504" s="33"/>
      <c r="FN504" s="33"/>
      <c r="FO504" s="33"/>
      <c r="FP504" s="33"/>
      <c r="FQ504" s="33"/>
      <c r="FR504" s="33"/>
      <c r="FS504" s="33"/>
      <c r="FT504" s="33"/>
      <c r="FU504" s="33"/>
      <c r="FV504" s="33"/>
      <c r="FW504" s="33"/>
      <c r="FX504" s="33"/>
      <c r="FY504" s="33"/>
      <c r="FZ504" s="33"/>
      <c r="GA504" s="33"/>
      <c r="GB504" s="33"/>
      <c r="GC504" s="33"/>
      <c r="GD504" s="33"/>
      <c r="GE504" s="33"/>
      <c r="GF504" s="33"/>
      <c r="GG504" s="33"/>
      <c r="GH504" s="33"/>
      <c r="GI504" s="33"/>
      <c r="GJ504" s="33"/>
      <c r="GK504" s="33"/>
      <c r="GL504" s="33"/>
      <c r="GM504" s="33"/>
      <c r="GN504" s="33"/>
      <c r="GO504" s="33"/>
      <c r="GP504" s="33"/>
      <c r="GQ504" s="33"/>
      <c r="GR504" s="33"/>
      <c r="GS504" s="33"/>
      <c r="GT504" s="33"/>
      <c r="GU504" s="33"/>
      <c r="GV504" s="33"/>
      <c r="GW504" s="33"/>
      <c r="GX504" s="33"/>
      <c r="GY504" s="33"/>
      <c r="GZ504" s="33"/>
      <c r="HA504" s="33"/>
      <c r="HB504" s="33"/>
      <c r="HC504" s="33"/>
      <c r="HD504" s="33"/>
      <c r="HE504" s="33"/>
      <c r="HF504" s="33"/>
      <c r="HG504" s="33"/>
      <c r="HH504" s="33"/>
      <c r="HI504" s="33"/>
      <c r="HJ504" s="33"/>
      <c r="HK504" s="33"/>
      <c r="HL504" s="33"/>
      <c r="HM504" s="33"/>
      <c r="HN504" s="33"/>
      <c r="HO504" s="33"/>
      <c r="HP504" s="33"/>
      <c r="HQ504" s="33"/>
      <c r="HR504" s="33"/>
      <c r="HS504" s="33"/>
      <c r="HT504" s="33"/>
      <c r="HU504" s="33"/>
      <c r="HV504" s="33"/>
      <c r="HW504" s="33"/>
      <c r="HX504" s="33"/>
      <c r="HY504" s="33"/>
      <c r="HZ504" s="33"/>
      <c r="IA504" s="33"/>
      <c r="IB504" s="33"/>
      <c r="IC504" s="33"/>
      <c r="ID504" s="33"/>
      <c r="IE504" s="33"/>
      <c r="IF504" s="33"/>
      <c r="IG504" s="33"/>
      <c r="IH504" s="33"/>
      <c r="II504" s="33"/>
      <c r="IJ504" s="33"/>
      <c r="IK504" s="33"/>
      <c r="IL504" s="33"/>
      <c r="IM504" s="33"/>
      <c r="IN504" s="33"/>
      <c r="IO504" s="33"/>
      <c r="IP504" s="33"/>
      <c r="IQ504" s="33"/>
      <c r="IR504" s="33"/>
      <c r="IS504" s="33"/>
      <c r="IT504" s="33"/>
      <c r="IU504" s="33"/>
      <c r="IV504" s="33"/>
      <c r="IW504" s="33"/>
      <c r="IX504" s="33"/>
      <c r="IY504" s="33"/>
      <c r="IZ504" s="33"/>
      <c r="JA504" s="33"/>
      <c r="JB504" s="33"/>
      <c r="JC504" s="33"/>
      <c r="JD504" s="33"/>
      <c r="JE504" s="33"/>
      <c r="JF504" s="33"/>
      <c r="JG504" s="33"/>
      <c r="JH504" s="33"/>
      <c r="JI504" s="33"/>
      <c r="JJ504" s="33"/>
      <c r="JK504" s="33"/>
      <c r="JL504" s="33"/>
      <c r="JM504" s="33"/>
      <c r="JN504" s="33"/>
      <c r="JO504" s="33"/>
      <c r="JP504" s="33"/>
      <c r="JQ504" s="33"/>
      <c r="JR504" s="33"/>
      <c r="JU504" s="42">
        <v>1042.1904347826085</v>
      </c>
      <c r="JV504" s="42">
        <v>1823.833260869565</v>
      </c>
      <c r="JX504" s="42">
        <v>2970.242739130435</v>
      </c>
      <c r="JY504" s="42">
        <v>286.60236956521737</v>
      </c>
      <c r="KB504" s="42">
        <v>4325.0903043478265</v>
      </c>
      <c r="KC504" s="42">
        <v>1172.4642391304346</v>
      </c>
      <c r="KD504" s="42">
        <v>729.53330434782606</v>
      </c>
      <c r="KE504" s="42">
        <v>1198.5189999999998</v>
      </c>
      <c r="KF504" s="42">
        <v>2084.3808695652169</v>
      </c>
      <c r="KG504" s="42">
        <v>1771.7237391304348</v>
      </c>
      <c r="KH504" s="42">
        <v>312.65713043478263</v>
      </c>
      <c r="KJ504" s="42">
        <v>1511.1761304347824</v>
      </c>
      <c r="KK504" s="42">
        <v>964.02615217391292</v>
      </c>
      <c r="KL504" s="42">
        <v>1094.299956521739</v>
      </c>
      <c r="KN504" s="42">
        <v>1198.5189999999998</v>
      </c>
      <c r="KO504" s="42">
        <v>130.27380434782606</v>
      </c>
      <c r="KP504" s="42">
        <v>807.69758695652172</v>
      </c>
      <c r="KQ504" s="42">
        <v>1328.7928043478259</v>
      </c>
      <c r="KZ504" s="33"/>
      <c r="LA504" s="33"/>
      <c r="LB504" s="33">
        <v>2375.62</v>
      </c>
      <c r="LC504" s="33"/>
      <c r="LD504" s="33"/>
      <c r="LE504" s="33"/>
      <c r="LF504" s="33"/>
      <c r="LG504" s="33"/>
      <c r="LH504" s="33"/>
      <c r="LI504" s="33"/>
      <c r="LJ504" s="33"/>
      <c r="LK504" s="33"/>
      <c r="LL504" s="33"/>
      <c r="LM504" s="33"/>
      <c r="LN504" s="33"/>
      <c r="LO504" s="33"/>
      <c r="LP504" s="44"/>
      <c r="LQ504" s="44"/>
      <c r="LR504" s="44"/>
      <c r="LS504" s="44"/>
      <c r="LT504" s="44"/>
      <c r="LU504" s="44"/>
      <c r="LV504" s="44"/>
    </row>
    <row r="505" spans="1:334" x14ac:dyDescent="0.2">
      <c r="A505" s="1" t="s">
        <v>9317</v>
      </c>
      <c r="B505" s="1" t="s">
        <v>8739</v>
      </c>
      <c r="D505" s="1" t="s">
        <v>9318</v>
      </c>
      <c r="E505" s="1" t="s">
        <v>8037</v>
      </c>
      <c r="F505" s="1" t="s">
        <v>8024</v>
      </c>
      <c r="I505" s="1">
        <v>3</v>
      </c>
      <c r="J505" s="1" t="s">
        <v>9311</v>
      </c>
      <c r="K505" s="1">
        <v>2011</v>
      </c>
      <c r="L505" s="1" t="s">
        <v>9312</v>
      </c>
      <c r="M505" s="1" t="s">
        <v>7657</v>
      </c>
      <c r="N505" s="17" t="s">
        <v>7945</v>
      </c>
      <c r="O505" s="33"/>
      <c r="P505" s="33"/>
      <c r="Q505" s="33"/>
      <c r="R505" s="33"/>
      <c r="S505" s="33">
        <v>8.5500000000000007</v>
      </c>
      <c r="T505" s="33"/>
      <c r="U505" s="33">
        <v>5.75</v>
      </c>
      <c r="V505" s="33"/>
      <c r="W505" s="33"/>
      <c r="X505" s="33"/>
      <c r="Y505" s="33"/>
      <c r="Z505" s="33">
        <v>23.878890000000002</v>
      </c>
      <c r="AA505" s="33"/>
      <c r="AB505" s="33"/>
      <c r="AC505" s="33"/>
      <c r="AD505" s="33">
        <v>0.82305000000000006</v>
      </c>
      <c r="AE505" s="33"/>
      <c r="AF505" s="33"/>
      <c r="AG505" s="33"/>
      <c r="AH505" s="33"/>
      <c r="AI505" s="33"/>
      <c r="AJ505" s="33"/>
      <c r="AK505" s="33"/>
      <c r="AL505" s="33"/>
      <c r="AM505" s="33">
        <v>37.968349999999994</v>
      </c>
      <c r="AN505" s="33"/>
      <c r="AO505" s="33"/>
      <c r="AP505" s="33"/>
      <c r="AQ505" s="33"/>
      <c r="AR505" s="33"/>
      <c r="AS505" s="33"/>
      <c r="AT505" s="33"/>
      <c r="AU505" s="33"/>
      <c r="AV505" s="33"/>
      <c r="AW505" s="33"/>
      <c r="AX505" s="33">
        <v>0.51234400000000002</v>
      </c>
      <c r="AY505" s="33"/>
      <c r="AZ505" s="33"/>
      <c r="BA505" s="33"/>
      <c r="BB505" s="33"/>
      <c r="BC505" s="33"/>
      <c r="BD505" s="33"/>
      <c r="BE505" s="33">
        <v>5.8553599999999992</v>
      </c>
      <c r="BF505" s="33"/>
      <c r="BG505" s="33"/>
      <c r="BH505" s="33"/>
      <c r="BI505" s="33"/>
      <c r="BJ505" s="33"/>
      <c r="BK505" s="33"/>
      <c r="BL505" s="33"/>
      <c r="BM505" s="33"/>
      <c r="BN505" s="33"/>
      <c r="BO505" s="33"/>
      <c r="BP505" s="33"/>
      <c r="BQ505" s="33"/>
      <c r="BR505" s="33"/>
      <c r="BS505" s="33"/>
      <c r="BT505" s="33"/>
      <c r="BU505" s="33"/>
      <c r="BV505" s="33"/>
      <c r="BW505" s="33"/>
      <c r="BX505" s="33">
        <v>9.1489999999999988E-2</v>
      </c>
      <c r="BY505" s="33">
        <v>1.0063899999999999</v>
      </c>
      <c r="BZ505" s="33">
        <v>0.20127800000000001</v>
      </c>
      <c r="CA505" s="33">
        <v>1.18937</v>
      </c>
      <c r="CB505" s="33"/>
      <c r="CC505" s="33"/>
      <c r="CD505" s="33"/>
      <c r="CE505" s="33"/>
      <c r="CF505" s="33"/>
      <c r="CG505" s="33"/>
      <c r="CH505" s="33"/>
      <c r="CI505" s="33"/>
      <c r="CJ505" s="33"/>
      <c r="CK505" s="33"/>
      <c r="CL505" s="33"/>
      <c r="CM505" s="33"/>
      <c r="CN505" s="33"/>
      <c r="CO505" s="33">
        <v>3.0191699999999999</v>
      </c>
      <c r="CP505" s="33">
        <v>49.953540000000004</v>
      </c>
      <c r="CQ505" s="33"/>
      <c r="CR505" s="33">
        <v>0.74106899999999998</v>
      </c>
      <c r="CS505" s="33">
        <v>6.3128099999999998</v>
      </c>
      <c r="CT505" s="33"/>
      <c r="CU505" s="33">
        <v>468.42879999999997</v>
      </c>
      <c r="CV505" s="33">
        <v>111.61779999999999</v>
      </c>
      <c r="CW505" s="33">
        <v>1.7383099999999998</v>
      </c>
      <c r="CX505" s="33">
        <v>66.787700000000001</v>
      </c>
      <c r="CY505" s="33">
        <v>439.15199999999999</v>
      </c>
      <c r="CZ505" s="33"/>
      <c r="DA505" s="33">
        <v>3.4766199999999996</v>
      </c>
      <c r="DB505" s="33"/>
      <c r="DC505" s="33"/>
      <c r="DD505" s="33"/>
      <c r="DE505" s="33"/>
      <c r="DF505" s="33"/>
      <c r="DG505" s="33"/>
      <c r="DH505" s="33"/>
      <c r="DI505" s="33"/>
      <c r="DJ505" s="33"/>
      <c r="DK505" s="33"/>
      <c r="DL505" s="33"/>
      <c r="DM505" s="33"/>
      <c r="DN505" s="33"/>
      <c r="DO505" s="33"/>
      <c r="DP505" s="33"/>
      <c r="DQ505" s="33"/>
      <c r="DR505" s="33"/>
      <c r="DS505" s="33"/>
      <c r="DT505" s="33"/>
      <c r="DU505" s="33"/>
      <c r="DV505" s="33"/>
      <c r="DW505" s="33"/>
      <c r="DX505" s="33"/>
      <c r="DY505" s="33"/>
      <c r="DZ505" s="33"/>
      <c r="EA505" s="33"/>
      <c r="EB505" s="33"/>
      <c r="EC505" s="33"/>
      <c r="ED505" s="33"/>
      <c r="EE505" s="33"/>
      <c r="EF505" s="33"/>
      <c r="EG505" s="33"/>
      <c r="EH505" s="33"/>
      <c r="EI505" s="33"/>
      <c r="EJ505" s="33"/>
      <c r="EK505" s="33"/>
      <c r="EL505" s="33"/>
      <c r="EM505" s="33"/>
      <c r="EN505" s="33"/>
      <c r="EO505" s="33"/>
      <c r="EP505" s="33"/>
      <c r="EQ505" s="33"/>
      <c r="ER505" s="33"/>
      <c r="ES505" s="33"/>
      <c r="ET505" s="33"/>
      <c r="EU505" s="33"/>
      <c r="EV505" s="33"/>
      <c r="EW505" s="33"/>
      <c r="EX505" s="33"/>
      <c r="EY505" s="33"/>
      <c r="EZ505" s="33"/>
      <c r="FA505" s="33"/>
      <c r="FB505" s="33"/>
      <c r="FC505" s="33"/>
      <c r="FD505" s="33"/>
      <c r="FE505" s="33"/>
      <c r="FF505" s="33"/>
      <c r="FG505" s="33"/>
      <c r="FH505" s="33"/>
      <c r="FI505" s="33"/>
      <c r="FJ505" s="33"/>
      <c r="FK505" s="33"/>
      <c r="FL505" s="33"/>
      <c r="FM505" s="33"/>
      <c r="FN505" s="33"/>
      <c r="FO505" s="33"/>
      <c r="FP505" s="33"/>
      <c r="FQ505" s="33"/>
      <c r="FR505" s="33"/>
      <c r="FS505" s="33"/>
      <c r="FT505" s="33"/>
      <c r="FU505" s="33"/>
      <c r="FV505" s="33"/>
      <c r="FW505" s="33"/>
      <c r="FX505" s="33"/>
      <c r="FY505" s="33"/>
      <c r="FZ505" s="33"/>
      <c r="GA505" s="33"/>
      <c r="GB505" s="33"/>
      <c r="GC505" s="33"/>
      <c r="GD505" s="33"/>
      <c r="GE505" s="33"/>
      <c r="GF505" s="33"/>
      <c r="GG505" s="33"/>
      <c r="GH505" s="33"/>
      <c r="GI505" s="33"/>
      <c r="GJ505" s="33"/>
      <c r="GK505" s="33"/>
      <c r="GL505" s="33"/>
      <c r="GM505" s="33"/>
      <c r="GN505" s="33"/>
      <c r="GO505" s="33"/>
      <c r="GP505" s="33"/>
      <c r="GQ505" s="33"/>
      <c r="GR505" s="33"/>
      <c r="GS505" s="33"/>
      <c r="GT505" s="33"/>
      <c r="GU505" s="33"/>
      <c r="GV505" s="33"/>
      <c r="GW505" s="33"/>
      <c r="GX505" s="33"/>
      <c r="GY505" s="33"/>
      <c r="GZ505" s="33"/>
      <c r="HA505" s="33"/>
      <c r="HB505" s="33"/>
      <c r="HC505" s="33"/>
      <c r="HD505" s="33"/>
      <c r="HE505" s="33"/>
      <c r="HF505" s="33"/>
      <c r="HG505" s="33"/>
      <c r="HH505" s="33"/>
      <c r="HI505" s="33"/>
      <c r="HJ505" s="33"/>
      <c r="HK505" s="33"/>
      <c r="HL505" s="33"/>
      <c r="HM505" s="33"/>
      <c r="HN505" s="33"/>
      <c r="HO505" s="33"/>
      <c r="HP505" s="33"/>
      <c r="HQ505" s="33"/>
      <c r="HR505" s="33"/>
      <c r="HS505" s="33"/>
      <c r="HT505" s="33"/>
      <c r="HU505" s="33"/>
      <c r="HV505" s="33"/>
      <c r="HW505" s="33"/>
      <c r="HX505" s="33"/>
      <c r="HY505" s="33"/>
      <c r="HZ505" s="33"/>
      <c r="IA505" s="33"/>
      <c r="IB505" s="33"/>
      <c r="IC505" s="33"/>
      <c r="ID505" s="33"/>
      <c r="IE505" s="33"/>
      <c r="IF505" s="33"/>
      <c r="IG505" s="33"/>
      <c r="IH505" s="33"/>
      <c r="II505" s="33"/>
      <c r="IJ505" s="33"/>
      <c r="IK505" s="33"/>
      <c r="IL505" s="33"/>
      <c r="IM505" s="33"/>
      <c r="IN505" s="33"/>
      <c r="IO505" s="33"/>
      <c r="IP505" s="33"/>
      <c r="IQ505" s="33"/>
      <c r="IR505" s="33"/>
      <c r="IS505" s="33"/>
      <c r="IT505" s="33"/>
      <c r="IU505" s="33"/>
      <c r="IV505" s="33"/>
      <c r="IW505" s="33"/>
      <c r="IX505" s="33"/>
      <c r="IY505" s="33"/>
      <c r="IZ505" s="33"/>
      <c r="JA505" s="33"/>
      <c r="JB505" s="33"/>
      <c r="JC505" s="33"/>
      <c r="JD505" s="33"/>
      <c r="JE505" s="33"/>
      <c r="JF505" s="33"/>
      <c r="JG505" s="33"/>
      <c r="JH505" s="33"/>
      <c r="JI505" s="33"/>
      <c r="JJ505" s="33"/>
      <c r="JK505" s="33"/>
      <c r="JL505" s="33"/>
      <c r="JM505" s="33"/>
      <c r="JN505" s="33"/>
      <c r="JO505" s="33"/>
      <c r="JP505" s="33"/>
      <c r="JQ505" s="33"/>
      <c r="JR505" s="33"/>
      <c r="JU505" s="42">
        <v>1090.123239130435</v>
      </c>
      <c r="JV505" s="42">
        <v>1816.8720652173913</v>
      </c>
      <c r="JX505" s="42">
        <v>2958.9059347826092</v>
      </c>
      <c r="JY505" s="42">
        <v>259.55315217391308</v>
      </c>
      <c r="KB505" s="42">
        <v>4152.8504347826092</v>
      </c>
      <c r="KC505" s="42">
        <v>1012.257293478261</v>
      </c>
      <c r="KD505" s="42">
        <v>752.7041413043479</v>
      </c>
      <c r="KE505" s="42">
        <v>1167.9891847826088</v>
      </c>
      <c r="KF505" s="42">
        <v>1972.6039565217393</v>
      </c>
      <c r="KG505" s="42">
        <v>1713.050804347826</v>
      </c>
      <c r="KH505" s="42">
        <v>311.46378260869568</v>
      </c>
      <c r="KJ505" s="42">
        <v>1557.3189130434785</v>
      </c>
      <c r="KK505" s="42">
        <v>1167.9891847826088</v>
      </c>
      <c r="KL505" s="42">
        <v>1167.9891847826088</v>
      </c>
      <c r="KN505" s="42">
        <v>1245.8551304347827</v>
      </c>
      <c r="KO505" s="42">
        <v>155.73189130434784</v>
      </c>
      <c r="KP505" s="42">
        <v>571.0169347826087</v>
      </c>
      <c r="KQ505" s="42">
        <v>1323.7210760869566</v>
      </c>
      <c r="KZ505" s="33"/>
      <c r="LA505" s="33"/>
      <c r="LB505" s="33">
        <v>2194.7999999999997</v>
      </c>
      <c r="LC505" s="33"/>
      <c r="LD505" s="33"/>
      <c r="LE505" s="33"/>
      <c r="LF505" s="33"/>
      <c r="LG505" s="33"/>
      <c r="LH505" s="33"/>
      <c r="LI505" s="33"/>
      <c r="LJ505" s="33"/>
      <c r="LK505" s="33"/>
      <c r="LL505" s="33"/>
      <c r="LM505" s="33"/>
      <c r="LN505" s="33"/>
      <c r="LO505" s="33"/>
      <c r="LP505" s="44"/>
      <c r="LQ505" s="44"/>
      <c r="LR505" s="44"/>
      <c r="LS505" s="44"/>
      <c r="LT505" s="44"/>
      <c r="LU505" s="44"/>
      <c r="LV505" s="44"/>
    </row>
    <row r="506" spans="1:334" x14ac:dyDescent="0.2">
      <c r="A506" s="1" t="s">
        <v>9319</v>
      </c>
      <c r="B506" s="1" t="s">
        <v>8739</v>
      </c>
      <c r="D506" s="1" t="s">
        <v>9320</v>
      </c>
      <c r="E506" s="1" t="s">
        <v>8037</v>
      </c>
      <c r="F506" s="1" t="s">
        <v>8024</v>
      </c>
      <c r="H506" s="1" t="s">
        <v>9321</v>
      </c>
      <c r="I506" s="1">
        <v>3</v>
      </c>
      <c r="J506" s="1" t="s">
        <v>9311</v>
      </c>
      <c r="K506" s="1">
        <v>2011</v>
      </c>
      <c r="L506" s="1" t="s">
        <v>9312</v>
      </c>
      <c r="M506" s="1" t="s">
        <v>9313</v>
      </c>
      <c r="N506" s="17" t="s">
        <v>7945</v>
      </c>
      <c r="O506" s="33"/>
      <c r="P506" s="33"/>
      <c r="Q506" s="33"/>
      <c r="R506" s="33"/>
      <c r="S506" s="33">
        <v>8.4</v>
      </c>
      <c r="T506" s="33"/>
      <c r="U506" s="33">
        <v>5.75</v>
      </c>
      <c r="V506" s="33"/>
      <c r="W506" s="33"/>
      <c r="X506" s="33"/>
      <c r="Y506" s="33"/>
      <c r="Z506" s="33"/>
      <c r="AA506" s="33"/>
      <c r="AB506" s="33"/>
      <c r="AC506" s="33"/>
      <c r="AD506" s="33">
        <v>0.82440000000000002</v>
      </c>
      <c r="AE506" s="33"/>
      <c r="AF506" s="33"/>
      <c r="AG506" s="33"/>
      <c r="AH506" s="33"/>
      <c r="AI506" s="33"/>
      <c r="AJ506" s="33"/>
      <c r="AK506" s="33"/>
      <c r="AL506" s="33"/>
      <c r="AM506" s="33">
        <v>37.69388</v>
      </c>
      <c r="AN506" s="33"/>
      <c r="AO506" s="33"/>
      <c r="AP506" s="33"/>
      <c r="AQ506" s="33"/>
      <c r="AR506" s="33"/>
      <c r="AS506" s="33"/>
      <c r="AT506" s="33"/>
      <c r="AU506" s="33"/>
      <c r="AV506" s="33"/>
      <c r="AW506" s="33"/>
      <c r="AX506" s="33">
        <v>0.53979099999999991</v>
      </c>
      <c r="AY506" s="33"/>
      <c r="AZ506" s="33"/>
      <c r="BA506" s="33"/>
      <c r="BB506" s="33"/>
      <c r="BC506" s="33"/>
      <c r="BD506" s="33"/>
      <c r="BE506" s="33">
        <v>5.8553599999999992</v>
      </c>
      <c r="BF506" s="33"/>
      <c r="BG506" s="33"/>
      <c r="BH506" s="33"/>
      <c r="BI506" s="33"/>
      <c r="BJ506" s="33"/>
      <c r="BK506" s="33"/>
      <c r="BL506" s="33"/>
      <c r="BM506" s="33"/>
      <c r="BN506" s="33"/>
      <c r="BO506" s="33"/>
      <c r="BP506" s="33"/>
      <c r="BQ506" s="33"/>
      <c r="BR506" s="33"/>
      <c r="BS506" s="33"/>
      <c r="BT506" s="33"/>
      <c r="BU506" s="33"/>
      <c r="BV506" s="33"/>
      <c r="BW506" s="33"/>
      <c r="BX506" s="33">
        <v>0</v>
      </c>
      <c r="BY506" s="33">
        <v>0.82340999999999998</v>
      </c>
      <c r="BZ506" s="33">
        <v>0.20127800000000001</v>
      </c>
      <c r="CA506" s="33">
        <v>1.244264</v>
      </c>
      <c r="CB506" s="33"/>
      <c r="CC506" s="33"/>
      <c r="CD506" s="33"/>
      <c r="CE506" s="33"/>
      <c r="CF506" s="33"/>
      <c r="CG506" s="33"/>
      <c r="CH506" s="33"/>
      <c r="CI506" s="33"/>
      <c r="CJ506" s="33"/>
      <c r="CK506" s="33"/>
      <c r="CL506" s="33"/>
      <c r="CM506" s="33"/>
      <c r="CN506" s="33"/>
      <c r="CO506" s="33">
        <v>2.9276799999999996</v>
      </c>
      <c r="CP506" s="33">
        <v>51.874830000000003</v>
      </c>
      <c r="CQ506" s="33"/>
      <c r="CR506" s="33">
        <v>0.86000599999999994</v>
      </c>
      <c r="CS506" s="33">
        <v>6.4042999999999992</v>
      </c>
      <c r="CT506" s="33"/>
      <c r="CU506" s="33">
        <v>475.74799999999993</v>
      </c>
      <c r="CV506" s="33">
        <v>113.44760000000001</v>
      </c>
      <c r="CW506" s="33">
        <v>1.8297999999999999</v>
      </c>
      <c r="CX506" s="33">
        <v>68.617500000000007</v>
      </c>
      <c r="CY506" s="33">
        <v>446.47119999999995</v>
      </c>
      <c r="CZ506" s="33"/>
      <c r="DA506" s="33">
        <v>3.5681099999999999</v>
      </c>
      <c r="DB506" s="33"/>
      <c r="DC506" s="33"/>
      <c r="DD506" s="33"/>
      <c r="DE506" s="33"/>
      <c r="DF506" s="33"/>
      <c r="DG506" s="33"/>
      <c r="DH506" s="33"/>
      <c r="DI506" s="33"/>
      <c r="DJ506" s="33"/>
      <c r="DK506" s="33"/>
      <c r="DL506" s="33"/>
      <c r="DM506" s="33"/>
      <c r="DN506" s="33"/>
      <c r="DO506" s="33"/>
      <c r="DP506" s="33"/>
      <c r="DQ506" s="33"/>
      <c r="DR506" s="33"/>
      <c r="DS506" s="33"/>
      <c r="DT506" s="33"/>
      <c r="DU506" s="33"/>
      <c r="DV506" s="33"/>
      <c r="DW506" s="33"/>
      <c r="DX506" s="33"/>
      <c r="DY506" s="33"/>
      <c r="DZ506" s="33"/>
      <c r="EA506" s="33"/>
      <c r="EB506" s="33"/>
      <c r="EC506" s="33"/>
      <c r="ED506" s="33"/>
      <c r="EE506" s="33"/>
      <c r="EF506" s="33"/>
      <c r="EG506" s="33"/>
      <c r="EH506" s="33"/>
      <c r="EI506" s="33"/>
      <c r="EJ506" s="33"/>
      <c r="EK506" s="33"/>
      <c r="EL506" s="33"/>
      <c r="EM506" s="33"/>
      <c r="EN506" s="33"/>
      <c r="EO506" s="33"/>
      <c r="EP506" s="33"/>
      <c r="EQ506" s="33"/>
      <c r="ER506" s="33"/>
      <c r="ES506" s="33"/>
      <c r="ET506" s="33"/>
      <c r="EU506" s="33"/>
      <c r="EV506" s="33"/>
      <c r="EW506" s="33"/>
      <c r="EX506" s="33"/>
      <c r="EY506" s="33"/>
      <c r="EZ506" s="33"/>
      <c r="FA506" s="33"/>
      <c r="FB506" s="33"/>
      <c r="FC506" s="33"/>
      <c r="FD506" s="33"/>
      <c r="FE506" s="33"/>
      <c r="FF506" s="33"/>
      <c r="FG506" s="33"/>
      <c r="FH506" s="33"/>
      <c r="FI506" s="33"/>
      <c r="FJ506" s="33"/>
      <c r="FK506" s="33"/>
      <c r="FL506" s="33"/>
      <c r="FM506" s="33"/>
      <c r="FN506" s="33"/>
      <c r="FO506" s="33"/>
      <c r="FP506" s="33"/>
      <c r="FQ506" s="33"/>
      <c r="FR506" s="33"/>
      <c r="FS506" s="33"/>
      <c r="FT506" s="33"/>
      <c r="FU506" s="33"/>
      <c r="FV506" s="33"/>
      <c r="FW506" s="33"/>
      <c r="FX506" s="33"/>
      <c r="FY506" s="33"/>
      <c r="FZ506" s="33"/>
      <c r="GA506" s="33"/>
      <c r="GB506" s="33"/>
      <c r="GC506" s="33"/>
      <c r="GD506" s="33"/>
      <c r="GE506" s="33"/>
      <c r="GF506" s="33"/>
      <c r="GG506" s="33"/>
      <c r="GH506" s="33"/>
      <c r="GI506" s="33"/>
      <c r="GJ506" s="33"/>
      <c r="GK506" s="33"/>
      <c r="GL506" s="33"/>
      <c r="GM506" s="33"/>
      <c r="GN506" s="33"/>
      <c r="GO506" s="33"/>
      <c r="GP506" s="33"/>
      <c r="GQ506" s="33"/>
      <c r="GR506" s="33"/>
      <c r="GS506" s="33"/>
      <c r="GT506" s="33"/>
      <c r="GU506" s="33"/>
      <c r="GV506" s="33"/>
      <c r="GW506" s="33"/>
      <c r="GX506" s="33"/>
      <c r="GY506" s="33"/>
      <c r="GZ506" s="33"/>
      <c r="HA506" s="33"/>
      <c r="HB506" s="33"/>
      <c r="HC506" s="33"/>
      <c r="HD506" s="33"/>
      <c r="HE506" s="33"/>
      <c r="HF506" s="33"/>
      <c r="HG506" s="33"/>
      <c r="HH506" s="33"/>
      <c r="HI506" s="33"/>
      <c r="HJ506" s="33"/>
      <c r="HK506" s="33"/>
      <c r="HL506" s="33"/>
      <c r="HM506" s="33"/>
      <c r="HN506" s="33"/>
      <c r="HO506" s="33"/>
      <c r="HP506" s="33"/>
      <c r="HQ506" s="33"/>
      <c r="HR506" s="33"/>
      <c r="HS506" s="33"/>
      <c r="HT506" s="33"/>
      <c r="HU506" s="33"/>
      <c r="HV506" s="33"/>
      <c r="HW506" s="33"/>
      <c r="HX506" s="33"/>
      <c r="HY506" s="33"/>
      <c r="HZ506" s="33"/>
      <c r="IA506" s="33"/>
      <c r="IB506" s="33"/>
      <c r="IC506" s="33"/>
      <c r="ID506" s="33"/>
      <c r="IE506" s="33"/>
      <c r="IF506" s="33"/>
      <c r="IG506" s="33"/>
      <c r="IH506" s="33"/>
      <c r="II506" s="33"/>
      <c r="IJ506" s="33"/>
      <c r="IK506" s="33"/>
      <c r="IL506" s="33"/>
      <c r="IM506" s="33"/>
      <c r="IN506" s="33"/>
      <c r="IO506" s="33"/>
      <c r="IP506" s="33"/>
      <c r="IQ506" s="33"/>
      <c r="IR506" s="33"/>
      <c r="IS506" s="33"/>
      <c r="IT506" s="33"/>
      <c r="IU506" s="33"/>
      <c r="IV506" s="33"/>
      <c r="IW506" s="33"/>
      <c r="IX506" s="33"/>
      <c r="IY506" s="33"/>
      <c r="IZ506" s="33"/>
      <c r="JA506" s="33"/>
      <c r="JB506" s="33"/>
      <c r="JC506" s="33"/>
      <c r="JD506" s="33"/>
      <c r="JE506" s="33"/>
      <c r="JF506" s="33"/>
      <c r="JG506" s="33"/>
      <c r="JH506" s="33"/>
      <c r="JI506" s="33"/>
      <c r="JJ506" s="33"/>
      <c r="JK506" s="33"/>
      <c r="JL506" s="33"/>
      <c r="JM506" s="33"/>
      <c r="JN506" s="33"/>
      <c r="JO506" s="33"/>
      <c r="JP506" s="33"/>
      <c r="JQ506" s="33"/>
      <c r="JR506" s="33"/>
      <c r="JU506" s="42">
        <v>1012.257293478261</v>
      </c>
      <c r="JV506" s="42">
        <v>1816.8720652173913</v>
      </c>
      <c r="JX506" s="42">
        <v>2984.8612500000004</v>
      </c>
      <c r="JY506" s="42">
        <v>311.46378260869568</v>
      </c>
      <c r="KB506" s="42">
        <v>4230.7163804347838</v>
      </c>
      <c r="KC506" s="42">
        <v>1038.2126086956523</v>
      </c>
      <c r="KD506" s="42">
        <v>752.7041413043479</v>
      </c>
      <c r="KE506" s="42">
        <v>1193.9445000000001</v>
      </c>
      <c r="KF506" s="42">
        <v>1972.6039565217393</v>
      </c>
      <c r="KG506" s="42">
        <v>1790.9167500000003</v>
      </c>
      <c r="KH506" s="42">
        <v>337.41909782608695</v>
      </c>
      <c r="KJ506" s="42">
        <v>1557.3189130434785</v>
      </c>
      <c r="KK506" s="42">
        <v>1167.9891847826088</v>
      </c>
      <c r="KL506" s="42">
        <v>1116.078554347826</v>
      </c>
      <c r="KN506" s="42">
        <v>1167.9891847826088</v>
      </c>
      <c r="KO506" s="42">
        <v>155.73189130434784</v>
      </c>
      <c r="KP506" s="42">
        <v>596.97225000000003</v>
      </c>
      <c r="KQ506" s="42">
        <v>1323.7210760869566</v>
      </c>
      <c r="KZ506" s="33"/>
      <c r="LA506" s="33"/>
      <c r="LB506" s="33">
        <v>3760.239</v>
      </c>
      <c r="LC506" s="33"/>
      <c r="LD506" s="33"/>
      <c r="LE506" s="33"/>
      <c r="LF506" s="33"/>
      <c r="LG506" s="33"/>
      <c r="LH506" s="33"/>
      <c r="LI506" s="33"/>
      <c r="LJ506" s="33"/>
      <c r="LK506" s="33"/>
      <c r="LL506" s="33"/>
      <c r="LM506" s="33"/>
      <c r="LN506" s="33"/>
      <c r="LO506" s="33"/>
      <c r="LP506" s="44"/>
      <c r="LQ506" s="44"/>
      <c r="LR506" s="44"/>
      <c r="LS506" s="44"/>
      <c r="LT506" s="44"/>
      <c r="LU506" s="44"/>
      <c r="LV506" s="44"/>
    </row>
    <row r="507" spans="1:334" x14ac:dyDescent="0.2">
      <c r="A507" s="1" t="s">
        <v>9322</v>
      </c>
      <c r="B507" s="1" t="s">
        <v>238</v>
      </c>
      <c r="C507" s="1" t="s">
        <v>9323</v>
      </c>
      <c r="D507" s="1" t="s">
        <v>9324</v>
      </c>
      <c r="E507" s="1" t="s">
        <v>11</v>
      </c>
      <c r="F507" s="1" t="s">
        <v>9279</v>
      </c>
      <c r="K507" s="1">
        <v>2011</v>
      </c>
      <c r="L507" s="1" t="s">
        <v>9325</v>
      </c>
      <c r="M507" s="1" t="s">
        <v>7657</v>
      </c>
      <c r="N507" s="17" t="s">
        <v>7945</v>
      </c>
      <c r="O507" s="33">
        <v>326.38922365333337</v>
      </c>
      <c r="P507" s="33">
        <v>78.008896666666672</v>
      </c>
      <c r="Q507" s="33"/>
      <c r="R507" s="33"/>
      <c r="S507" s="33">
        <v>80.009333333333331</v>
      </c>
      <c r="T507" s="33"/>
      <c r="U507" s="33">
        <v>6.25</v>
      </c>
      <c r="V507" s="33"/>
      <c r="W507" s="33"/>
      <c r="X507" s="33"/>
      <c r="Y507" s="33"/>
      <c r="Z507" s="33">
        <v>5.09375</v>
      </c>
      <c r="AA507" s="33"/>
      <c r="AB507" s="33"/>
      <c r="AC507" s="33">
        <v>0.64400000000000002</v>
      </c>
      <c r="AD507" s="33"/>
      <c r="AE507" s="33"/>
      <c r="AF507" s="33">
        <v>13.499583333333337</v>
      </c>
      <c r="AG507" s="33"/>
      <c r="AH507" s="33"/>
      <c r="AI507" s="33"/>
      <c r="AJ507" s="33"/>
      <c r="AK507" s="33"/>
      <c r="AL507" s="33"/>
      <c r="AM507" s="33"/>
      <c r="AN507" s="33"/>
      <c r="AO507" s="33"/>
      <c r="AP507" s="33"/>
      <c r="AQ507" s="33"/>
      <c r="AR507" s="33"/>
      <c r="AS507" s="33"/>
      <c r="AT507" s="33"/>
      <c r="AU507" s="33"/>
      <c r="AV507" s="33"/>
      <c r="AW507" s="33"/>
      <c r="AX507" s="33"/>
      <c r="AY507" s="33"/>
      <c r="AZ507" s="33"/>
      <c r="BA507" s="33"/>
      <c r="BB507" s="33">
        <v>7.4720000000000004</v>
      </c>
      <c r="BC507" s="33"/>
      <c r="BD507" s="33"/>
      <c r="BE507" s="33"/>
      <c r="BF507" s="33"/>
      <c r="BG507" s="33"/>
      <c r="BH507" s="33"/>
      <c r="BI507" s="33"/>
      <c r="BJ507" s="33"/>
      <c r="BK507" s="33"/>
      <c r="BL507" s="33"/>
      <c r="BM507" s="33"/>
      <c r="BN507" s="33"/>
      <c r="BO507" s="33"/>
      <c r="BP507" s="33"/>
      <c r="BQ507" s="33"/>
      <c r="BR507" s="33"/>
      <c r="BS507" s="33"/>
      <c r="BT507" s="33"/>
      <c r="BU507" s="33"/>
      <c r="BV507" s="33"/>
      <c r="BW507" s="33"/>
      <c r="BX507" s="33"/>
      <c r="BY507" s="33"/>
      <c r="BZ507" s="33"/>
      <c r="CA507" s="33"/>
      <c r="CB507" s="33"/>
      <c r="CC507" s="33"/>
      <c r="CD507" s="33"/>
      <c r="CE507" s="33"/>
      <c r="CF507" s="33"/>
      <c r="CG507" s="33"/>
      <c r="CH507" s="33"/>
      <c r="CI507" s="33"/>
      <c r="CJ507" s="33"/>
      <c r="CK507" s="33"/>
      <c r="CL507" s="33"/>
      <c r="CM507" s="33"/>
      <c r="CN507" s="33"/>
      <c r="CO507" s="33">
        <v>0.7533333333333333</v>
      </c>
      <c r="CP507" s="33">
        <v>17.453333333333333</v>
      </c>
      <c r="CQ507" s="33"/>
      <c r="CR507" s="33">
        <v>0.10266666666666667</v>
      </c>
      <c r="CS507" s="33">
        <v>1.0596666666666665</v>
      </c>
      <c r="CT507" s="33"/>
      <c r="CU507" s="33">
        <v>252.97633333333332</v>
      </c>
      <c r="CV507" s="33">
        <v>38.118333333333332</v>
      </c>
      <c r="CW507" s="33">
        <v>0.53</v>
      </c>
      <c r="CX507" s="33">
        <v>0.98199999999999987</v>
      </c>
      <c r="CY507" s="33">
        <v>84.592666666666673</v>
      </c>
      <c r="CZ507" s="33"/>
      <c r="DA507" s="33">
        <v>1.1153333333333335</v>
      </c>
      <c r="DB507" s="33"/>
      <c r="DC507" s="33"/>
      <c r="DD507" s="33"/>
      <c r="DE507" s="33"/>
      <c r="DF507" s="33"/>
      <c r="DG507" s="33"/>
      <c r="DH507" s="33"/>
      <c r="DI507" s="33"/>
      <c r="DJ507" s="33"/>
      <c r="DK507" s="33"/>
      <c r="DL507" s="33"/>
      <c r="DM507" s="33"/>
      <c r="DN507" s="33"/>
      <c r="DO507" s="33"/>
      <c r="DP507" s="33"/>
      <c r="DQ507" s="33">
        <v>0.12333333333333334</v>
      </c>
      <c r="DR507" s="33"/>
      <c r="DS507" s="33" t="s">
        <v>15</v>
      </c>
      <c r="DT507" s="33" t="s">
        <v>15</v>
      </c>
      <c r="DU507" s="33"/>
      <c r="DV507" s="33"/>
      <c r="DW507" s="33"/>
      <c r="DX507" s="33"/>
      <c r="DY507" s="33" t="s">
        <v>15</v>
      </c>
      <c r="DZ507" s="33"/>
      <c r="EA507" s="33"/>
      <c r="EB507" s="33"/>
      <c r="EC507" s="33"/>
      <c r="ED507" s="33" t="s">
        <v>15</v>
      </c>
      <c r="EE507" s="33"/>
      <c r="EF507" s="33"/>
      <c r="EG507" s="33"/>
      <c r="EH507" s="33"/>
      <c r="EI507" s="33"/>
      <c r="EJ507" s="33"/>
      <c r="EK507" s="33"/>
      <c r="EL507" s="33"/>
      <c r="EM507" s="33"/>
      <c r="EN507" s="33"/>
      <c r="EO507" s="33"/>
      <c r="EP507" s="33"/>
      <c r="EQ507" s="33"/>
      <c r="ER507" s="33"/>
      <c r="ES507" s="33"/>
      <c r="ET507" s="33"/>
      <c r="EU507" s="33"/>
      <c r="EV507" s="33"/>
      <c r="EW507" s="33"/>
      <c r="EX507" s="33"/>
      <c r="EY507" s="33"/>
      <c r="EZ507" s="33"/>
      <c r="FA507" s="33"/>
      <c r="FB507" s="33"/>
      <c r="FC507" s="33"/>
      <c r="FD507" s="33"/>
      <c r="FE507" s="33"/>
      <c r="FF507" s="33"/>
      <c r="FG507" s="33"/>
      <c r="FH507" s="33"/>
      <c r="FI507" s="33"/>
      <c r="FJ507" s="33"/>
      <c r="FK507" s="33"/>
      <c r="FL507" s="33"/>
      <c r="FM507" s="33"/>
      <c r="FN507" s="33"/>
      <c r="FO507" s="33"/>
      <c r="FP507" s="33"/>
      <c r="FQ507" s="33"/>
      <c r="FR507" s="33"/>
      <c r="FS507" s="33"/>
      <c r="FT507" s="33"/>
      <c r="FU507" s="33"/>
      <c r="FV507" s="33"/>
      <c r="FW507" s="33"/>
      <c r="FX507" s="33"/>
      <c r="FY507" s="33"/>
      <c r="FZ507" s="33"/>
      <c r="GA507" s="33"/>
      <c r="GB507" s="33"/>
      <c r="GC507" s="33"/>
      <c r="GD507" s="33"/>
      <c r="GE507" s="33"/>
      <c r="GF507" s="33"/>
      <c r="GG507" s="33">
        <v>0.2</v>
      </c>
      <c r="GH507" s="33">
        <v>0.1</v>
      </c>
      <c r="GI507" s="33">
        <v>0.3</v>
      </c>
      <c r="GJ507" s="33"/>
      <c r="GK507" s="33"/>
      <c r="GL507" s="33"/>
      <c r="GM507" s="33"/>
      <c r="GN507" s="33"/>
      <c r="GO507" s="33"/>
      <c r="GP507" s="33"/>
      <c r="GQ507" s="33"/>
      <c r="GR507" s="33"/>
      <c r="GS507" s="33"/>
      <c r="GT507" s="33"/>
      <c r="GU507" s="33"/>
      <c r="GV507" s="33"/>
      <c r="GW507" s="33"/>
      <c r="GX507" s="33"/>
      <c r="GY507" s="33" t="s">
        <v>15</v>
      </c>
      <c r="GZ507" s="33"/>
      <c r="HA507" s="33">
        <v>0.18</v>
      </c>
      <c r="HB507" s="33"/>
      <c r="HC507" s="33">
        <v>0.03</v>
      </c>
      <c r="HD507" s="53">
        <v>0.01</v>
      </c>
      <c r="HE507" s="53"/>
      <c r="HF507" s="53">
        <v>0.02</v>
      </c>
      <c r="HG507" s="53"/>
      <c r="HH507" s="53">
        <v>0.01</v>
      </c>
      <c r="HI507" s="53"/>
      <c r="HJ507" s="53"/>
      <c r="HK507" s="53"/>
      <c r="HL507" s="53"/>
      <c r="HM507" s="53"/>
      <c r="HN507" s="53" t="s">
        <v>15</v>
      </c>
      <c r="HO507" s="33"/>
      <c r="HP507" s="33"/>
      <c r="HQ507" s="33"/>
      <c r="HR507" s="33"/>
      <c r="HS507" s="33"/>
      <c r="HT507" s="33"/>
      <c r="HU507" s="33">
        <v>0.05</v>
      </c>
      <c r="HV507" s="33"/>
      <c r="HW507" s="33"/>
      <c r="HX507" s="33"/>
      <c r="HY507" s="33"/>
      <c r="HZ507" s="33"/>
      <c r="IA507" s="33"/>
      <c r="IB507" s="33"/>
      <c r="IC507" s="53" t="s">
        <v>15</v>
      </c>
      <c r="ID507" s="33"/>
      <c r="IE507" s="33"/>
      <c r="IF507" s="33"/>
      <c r="IG507" s="33"/>
      <c r="IH507" s="33"/>
      <c r="II507" s="33"/>
      <c r="IJ507" s="33"/>
      <c r="IK507" s="33"/>
      <c r="IL507" s="33"/>
      <c r="IM507" s="33"/>
      <c r="IN507" s="33"/>
      <c r="IO507" s="33"/>
      <c r="IP507" s="33"/>
      <c r="IQ507" s="33"/>
      <c r="IR507" s="33"/>
      <c r="IS507" s="33">
        <v>0.21</v>
      </c>
      <c r="IT507" s="33"/>
      <c r="IU507" s="33"/>
      <c r="IV507" s="33"/>
      <c r="IW507" s="33"/>
      <c r="IX507" s="33"/>
      <c r="IY507" s="33"/>
      <c r="IZ507" s="33"/>
      <c r="JA507" s="33"/>
      <c r="JB507" s="33"/>
      <c r="JC507" s="33"/>
      <c r="JD507" s="33"/>
      <c r="JE507" s="33">
        <v>0.1</v>
      </c>
      <c r="JF507" s="33"/>
      <c r="JG507" s="33"/>
      <c r="JI507" s="33"/>
      <c r="JJ507" s="33"/>
      <c r="JK507" s="33"/>
      <c r="JL507" s="33"/>
      <c r="JM507" s="33"/>
      <c r="JN507" s="33"/>
      <c r="JO507" s="33"/>
      <c r="JP507" s="33"/>
      <c r="JQ507" s="33"/>
      <c r="JR507" s="33"/>
      <c r="KZ507" s="33"/>
      <c r="LA507" s="33"/>
      <c r="LB507" s="33"/>
      <c r="LC507" s="33"/>
      <c r="LD507" s="33"/>
      <c r="LE507" s="33"/>
      <c r="LF507" s="33"/>
      <c r="LG507" s="33"/>
      <c r="LH507" s="33"/>
      <c r="LI507" s="33"/>
      <c r="LJ507" s="33"/>
      <c r="LK507" s="33"/>
      <c r="LL507" s="33"/>
      <c r="LM507" s="33"/>
      <c r="LN507" s="33"/>
      <c r="LO507" s="33"/>
      <c r="LP507" s="44"/>
      <c r="LQ507" s="44"/>
      <c r="LR507" s="44"/>
      <c r="LS507" s="44"/>
      <c r="LT507" s="44"/>
      <c r="LU507" s="44"/>
      <c r="LV507" s="44"/>
    </row>
    <row r="508" spans="1:334" x14ac:dyDescent="0.2">
      <c r="A508" s="1" t="s">
        <v>9326</v>
      </c>
      <c r="B508" s="1" t="s">
        <v>238</v>
      </c>
      <c r="C508" s="1" t="s">
        <v>9323</v>
      </c>
      <c r="D508" s="1" t="s">
        <v>8318</v>
      </c>
      <c r="E508" s="1" t="s">
        <v>7</v>
      </c>
      <c r="F508" s="1" t="s">
        <v>9279</v>
      </c>
      <c r="K508" s="1">
        <v>2011</v>
      </c>
      <c r="L508" s="1" t="s">
        <v>9325</v>
      </c>
      <c r="M508" s="1" t="s">
        <v>7657</v>
      </c>
      <c r="N508" s="17" t="s">
        <v>7945</v>
      </c>
      <c r="O508" s="33">
        <v>1419.0653837333334</v>
      </c>
      <c r="P508" s="33">
        <v>339.16476666666665</v>
      </c>
      <c r="Q508" s="33"/>
      <c r="R508" s="33"/>
      <c r="S508" s="33">
        <v>12.696666666666667</v>
      </c>
      <c r="T508" s="33"/>
      <c r="U508" s="33">
        <v>6.25</v>
      </c>
      <c r="V508" s="33"/>
      <c r="W508" s="33"/>
      <c r="X508" s="33"/>
      <c r="Y508" s="33"/>
      <c r="Z508" s="33">
        <v>20.208333333333336</v>
      </c>
      <c r="AA508" s="33"/>
      <c r="AB508" s="33"/>
      <c r="AC508" s="33">
        <v>2.3650000000000002</v>
      </c>
      <c r="AD508" s="33"/>
      <c r="AE508" s="33"/>
      <c r="AF508" s="33">
        <v>61.24</v>
      </c>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33">
        <v>23.593333333333334</v>
      </c>
      <c r="BC508" s="33"/>
      <c r="BD508" s="33"/>
      <c r="BE508" s="33"/>
      <c r="BF508" s="33"/>
      <c r="BG508" s="33"/>
      <c r="BH508" s="33"/>
      <c r="BI508" s="33"/>
      <c r="BJ508" s="33"/>
      <c r="BK508" s="33"/>
      <c r="BL508" s="33"/>
      <c r="BM508" s="33"/>
      <c r="BN508" s="33"/>
      <c r="BO508" s="33"/>
      <c r="BP508" s="33"/>
      <c r="BQ508" s="33"/>
      <c r="BR508" s="33"/>
      <c r="BS508" s="33"/>
      <c r="BT508" s="33"/>
      <c r="BU508" s="33"/>
      <c r="BV508" s="33"/>
      <c r="BW508" s="33"/>
      <c r="BX508" s="33"/>
      <c r="BY508" s="33"/>
      <c r="BZ508" s="33"/>
      <c r="CA508" s="33"/>
      <c r="CB508" s="33"/>
      <c r="CC508" s="33"/>
      <c r="CD508" s="33"/>
      <c r="CE508" s="33"/>
      <c r="CF508" s="33"/>
      <c r="CG508" s="33"/>
      <c r="CH508" s="33"/>
      <c r="CI508" s="33"/>
      <c r="CJ508" s="33"/>
      <c r="CK508" s="33"/>
      <c r="CL508" s="33"/>
      <c r="CM508" s="33"/>
      <c r="CN508" s="33"/>
      <c r="CO508" s="33">
        <v>3.49</v>
      </c>
      <c r="CP508" s="33">
        <v>77.522999999999996</v>
      </c>
      <c r="CQ508" s="33"/>
      <c r="CR508" s="33">
        <v>0.69866666666666666</v>
      </c>
      <c r="CS508" s="33">
        <v>5.1286666666666667</v>
      </c>
      <c r="CT508" s="33"/>
      <c r="CU508" s="33">
        <v>1082.7433333333333</v>
      </c>
      <c r="CV508" s="33">
        <v>178.39066666666668</v>
      </c>
      <c r="CW508" s="33">
        <v>1.4279999999999999</v>
      </c>
      <c r="CX508" s="33">
        <v>10.313666666666668</v>
      </c>
      <c r="CY508" s="33">
        <v>354.51499999999999</v>
      </c>
      <c r="CZ508" s="33"/>
      <c r="DA508" s="33">
        <v>3.8826666666666667</v>
      </c>
      <c r="DB508" s="33"/>
      <c r="DC508" s="33"/>
      <c r="DD508" s="33"/>
      <c r="DE508" s="33"/>
      <c r="DF508" s="33"/>
      <c r="DG508" s="33"/>
      <c r="DH508" s="33"/>
      <c r="DI508" s="33"/>
      <c r="DJ508" s="33"/>
      <c r="DK508" s="33"/>
      <c r="DL508" s="33"/>
      <c r="DM508" s="33"/>
      <c r="DN508" s="33"/>
      <c r="DO508" s="33"/>
      <c r="DP508" s="33"/>
      <c r="DQ508" s="33">
        <v>0.13666666666666669</v>
      </c>
      <c r="DR508" s="33"/>
      <c r="DS508" s="33">
        <v>0.03</v>
      </c>
      <c r="DT508" s="33" t="s">
        <v>15</v>
      </c>
      <c r="DU508" s="33"/>
      <c r="DV508" s="33"/>
      <c r="DW508" s="33"/>
      <c r="DX508" s="33"/>
      <c r="DY508" s="33">
        <v>0.26</v>
      </c>
      <c r="DZ508" s="33"/>
      <c r="EA508" s="33"/>
      <c r="EB508" s="33"/>
      <c r="EC508" s="33"/>
      <c r="ED508" s="33" t="s">
        <v>15</v>
      </c>
      <c r="EE508" s="33"/>
      <c r="EF508" s="33"/>
      <c r="EG508" s="33"/>
      <c r="EH508" s="33"/>
      <c r="EI508" s="33"/>
      <c r="EJ508" s="33"/>
      <c r="EK508" s="33"/>
      <c r="EL508" s="33"/>
      <c r="EM508" s="33"/>
      <c r="EN508" s="33"/>
      <c r="EO508" s="33"/>
      <c r="EP508" s="33"/>
      <c r="EQ508" s="33"/>
      <c r="ER508" s="33"/>
      <c r="ES508" s="33"/>
      <c r="ET508" s="33"/>
      <c r="EU508" s="33"/>
      <c r="EV508" s="33"/>
      <c r="EW508" s="33"/>
      <c r="EX508" s="33"/>
      <c r="EY508" s="33"/>
      <c r="EZ508" s="33"/>
      <c r="FA508" s="33"/>
      <c r="FB508" s="33"/>
      <c r="FC508" s="33"/>
      <c r="FD508" s="33"/>
      <c r="FE508" s="33"/>
      <c r="FF508" s="33"/>
      <c r="FG508" s="33"/>
      <c r="FH508" s="33"/>
      <c r="FI508" s="33"/>
      <c r="FJ508" s="33"/>
      <c r="FK508" s="33"/>
      <c r="FL508" s="33"/>
      <c r="FM508" s="33"/>
      <c r="FN508" s="33"/>
      <c r="FO508" s="33"/>
      <c r="FP508" s="33"/>
      <c r="FQ508" s="33"/>
      <c r="FR508" s="33"/>
      <c r="FS508" s="33"/>
      <c r="FT508" s="33"/>
      <c r="FU508" s="33"/>
      <c r="FV508" s="33"/>
      <c r="FW508" s="33"/>
      <c r="FX508" s="33"/>
      <c r="FY508" s="33"/>
      <c r="FZ508" s="33"/>
      <c r="GA508" s="33"/>
      <c r="GB508" s="33"/>
      <c r="GC508" s="33"/>
      <c r="GD508" s="33"/>
      <c r="GE508" s="33"/>
      <c r="GF508" s="33"/>
      <c r="GG508" s="33">
        <v>0.7</v>
      </c>
      <c r="GH508" s="33">
        <v>0.2</v>
      </c>
      <c r="GI508" s="33">
        <v>0.9</v>
      </c>
      <c r="GJ508" s="33"/>
      <c r="GK508" s="33"/>
      <c r="GL508" s="33"/>
      <c r="GM508" s="33"/>
      <c r="GN508" s="33"/>
      <c r="GO508" s="33"/>
      <c r="GP508" s="33"/>
      <c r="GQ508" s="33"/>
      <c r="GR508" s="33"/>
      <c r="GS508" s="33"/>
      <c r="GT508" s="33"/>
      <c r="GU508" s="33"/>
      <c r="GV508" s="33"/>
      <c r="GW508" s="33" t="s">
        <v>15</v>
      </c>
      <c r="GX508" s="33"/>
      <c r="GY508" s="33" t="s">
        <v>15</v>
      </c>
      <c r="GZ508" s="33"/>
      <c r="HA508" s="33">
        <v>0.5</v>
      </c>
      <c r="HB508" s="33"/>
      <c r="HC508" s="33">
        <v>0.08</v>
      </c>
      <c r="HD508" s="53">
        <v>0.02</v>
      </c>
      <c r="HE508" s="53"/>
      <c r="HF508" s="53">
        <v>0.04</v>
      </c>
      <c r="HG508" s="53"/>
      <c r="HH508" s="53">
        <v>0.03</v>
      </c>
      <c r="HI508" s="53"/>
      <c r="HJ508" s="53"/>
      <c r="HK508" s="53"/>
      <c r="HL508" s="53"/>
      <c r="HM508" s="53"/>
      <c r="HN508" s="53"/>
      <c r="HO508" s="33"/>
      <c r="HP508" s="33"/>
      <c r="HQ508" s="33"/>
      <c r="HR508" s="33"/>
      <c r="HS508" s="33"/>
      <c r="HT508" s="33"/>
      <c r="HU508" s="33">
        <v>0.15</v>
      </c>
      <c r="HV508" s="33"/>
      <c r="HW508" s="33"/>
      <c r="HX508" s="33"/>
      <c r="HY508" s="33"/>
      <c r="HZ508" s="33"/>
      <c r="IA508" s="33"/>
      <c r="IB508" s="33"/>
      <c r="IC508" s="53">
        <v>0.01</v>
      </c>
      <c r="ID508" s="33"/>
      <c r="IE508" s="33"/>
      <c r="IF508" s="33"/>
      <c r="IG508" s="33"/>
      <c r="IH508" s="33"/>
      <c r="II508" s="33"/>
      <c r="IJ508" s="33"/>
      <c r="IK508" s="33"/>
      <c r="IL508" s="33"/>
      <c r="IM508" s="33"/>
      <c r="IN508" s="33"/>
      <c r="IO508" s="33"/>
      <c r="IP508" s="33"/>
      <c r="IQ508" s="33"/>
      <c r="IR508" s="33"/>
      <c r="IS508" s="33">
        <v>0.57999999999999996</v>
      </c>
      <c r="IT508" s="33"/>
      <c r="IU508" s="33"/>
      <c r="IV508" s="33"/>
      <c r="IW508" s="33"/>
      <c r="IX508" s="33"/>
      <c r="IY508" s="33"/>
      <c r="IZ508" s="33"/>
      <c r="JA508" s="33"/>
      <c r="JB508" s="33"/>
      <c r="JC508" s="33"/>
      <c r="JD508" s="33"/>
      <c r="JE508" s="33">
        <v>0.28000000000000003</v>
      </c>
      <c r="JF508" s="33"/>
      <c r="JG508" s="33"/>
      <c r="JI508" s="33"/>
      <c r="JJ508" s="33"/>
      <c r="JK508" s="33"/>
      <c r="JL508" s="33"/>
      <c r="JM508" s="33"/>
      <c r="JN508" s="33"/>
      <c r="JO508" s="33"/>
      <c r="JP508" s="33"/>
      <c r="JQ508" s="33"/>
      <c r="JR508" s="33"/>
      <c r="KZ508" s="33"/>
      <c r="LA508" s="33"/>
      <c r="LB508" s="33"/>
      <c r="LC508" s="33"/>
      <c r="LD508" s="33"/>
      <c r="LE508" s="33"/>
      <c r="LF508" s="33"/>
      <c r="LG508" s="33"/>
      <c r="LH508" s="33"/>
      <c r="LI508" s="33"/>
      <c r="LJ508" s="33"/>
      <c r="LK508" s="33"/>
      <c r="LL508" s="33"/>
      <c r="LM508" s="33"/>
      <c r="LN508" s="33"/>
      <c r="LO508" s="33"/>
      <c r="LP508" s="44"/>
      <c r="LQ508" s="44"/>
      <c r="LR508" s="44"/>
      <c r="LS508" s="44"/>
      <c r="LT508" s="44"/>
      <c r="LU508" s="44"/>
      <c r="LV508" s="44"/>
    </row>
    <row r="509" spans="1:334" x14ac:dyDescent="0.2">
      <c r="A509" s="1" t="s">
        <v>9327</v>
      </c>
      <c r="B509" s="1" t="s">
        <v>238</v>
      </c>
      <c r="C509" s="1" t="s">
        <v>9328</v>
      </c>
      <c r="D509" s="1" t="s">
        <v>8254</v>
      </c>
      <c r="E509" s="1" t="s">
        <v>7</v>
      </c>
      <c r="F509" s="1" t="s">
        <v>8586</v>
      </c>
      <c r="K509" s="1">
        <v>2011</v>
      </c>
      <c r="L509" s="1" t="s">
        <v>9325</v>
      </c>
      <c r="M509" s="1" t="s">
        <v>7657</v>
      </c>
      <c r="N509" s="17" t="s">
        <v>7945</v>
      </c>
      <c r="O509" s="33">
        <v>1484.0768356487927</v>
      </c>
      <c r="P509" s="33">
        <v>354.70287658909956</v>
      </c>
      <c r="Q509" s="33"/>
      <c r="R509" s="33"/>
      <c r="S509" s="33">
        <v>12.29</v>
      </c>
      <c r="T509" s="33"/>
      <c r="U509" s="33">
        <v>6.25</v>
      </c>
      <c r="V509" s="33"/>
      <c r="W509" s="33"/>
      <c r="X509" s="33"/>
      <c r="Y509" s="33"/>
      <c r="Z509" s="33">
        <v>21.229166666666664</v>
      </c>
      <c r="AA509" s="33"/>
      <c r="AB509" s="33"/>
      <c r="AC509" s="33">
        <v>5.43</v>
      </c>
      <c r="AD509" s="33"/>
      <c r="AE509" s="33"/>
      <c r="AF509" s="33">
        <v>57.884166666666673</v>
      </c>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33">
        <v>12.356666666666667</v>
      </c>
      <c r="BC509" s="33"/>
      <c r="BD509" s="33"/>
      <c r="BE509" s="33"/>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33"/>
      <c r="CM509" s="33"/>
      <c r="CN509" s="33"/>
      <c r="CO509" s="33">
        <v>3.1666666666666665</v>
      </c>
      <c r="CP509" s="33">
        <v>114.35933333333332</v>
      </c>
      <c r="CQ509" s="33"/>
      <c r="CR509" s="33">
        <v>0.67066666666666663</v>
      </c>
      <c r="CS509" s="33">
        <v>5.3776666666666664</v>
      </c>
      <c r="CT509" s="33"/>
      <c r="CU509" s="33">
        <v>1115.7016666666668</v>
      </c>
      <c r="CV509" s="33">
        <v>146.38700000000003</v>
      </c>
      <c r="CW509" s="33">
        <v>3.1566666666666667</v>
      </c>
      <c r="CX509" s="33">
        <v>5.194</v>
      </c>
      <c r="CY509" s="33">
        <v>342.33533333333338</v>
      </c>
      <c r="CZ509" s="33"/>
      <c r="DA509" s="33">
        <v>3.1910000000000003</v>
      </c>
      <c r="DB509" s="33"/>
      <c r="DC509" s="33"/>
      <c r="DD509" s="33"/>
      <c r="DE509" s="33"/>
      <c r="DF509" s="33"/>
      <c r="DG509" s="33"/>
      <c r="DH509" s="33"/>
      <c r="DI509" s="33"/>
      <c r="DJ509" s="33"/>
      <c r="DK509" s="33"/>
      <c r="DL509" s="33"/>
      <c r="DM509" s="33"/>
      <c r="DN509" s="33"/>
      <c r="DO509" s="33"/>
      <c r="DP509" s="33"/>
      <c r="DQ509" s="33">
        <v>0.52</v>
      </c>
      <c r="DR509" s="33"/>
      <c r="DS509" s="33" t="s">
        <v>15</v>
      </c>
      <c r="DT509" s="33" t="s">
        <v>15</v>
      </c>
      <c r="DU509" s="33"/>
      <c r="DV509" s="33"/>
      <c r="DW509" s="33"/>
      <c r="DX509" s="33"/>
      <c r="DY509" s="33">
        <v>0.7533333333333333</v>
      </c>
      <c r="DZ509" s="33"/>
      <c r="EA509" s="33"/>
      <c r="EB509" s="33"/>
      <c r="EC509" s="33"/>
      <c r="ED509" s="33" t="s">
        <v>15</v>
      </c>
      <c r="EE509" s="33"/>
      <c r="EF509" s="33"/>
      <c r="EG509" s="33"/>
      <c r="EH509" s="33"/>
      <c r="EI509" s="33"/>
      <c r="EJ509" s="33"/>
      <c r="EK509" s="33"/>
      <c r="EL509" s="33"/>
      <c r="EM509" s="33"/>
      <c r="EN509" s="33"/>
      <c r="EO509" s="33"/>
      <c r="EP509" s="33"/>
      <c r="EQ509" s="33"/>
      <c r="ER509" s="33"/>
      <c r="ES509" s="33"/>
      <c r="ET509" s="33"/>
      <c r="EU509" s="33"/>
      <c r="EV509" s="33"/>
      <c r="EW509" s="33"/>
      <c r="EX509" s="33"/>
      <c r="EY509" s="33"/>
      <c r="EZ509" s="33"/>
      <c r="FA509" s="33"/>
      <c r="FB509" s="33"/>
      <c r="FC509" s="33"/>
      <c r="FD509" s="33"/>
      <c r="FE509" s="33"/>
      <c r="FF509" s="33"/>
      <c r="FG509" s="33"/>
      <c r="FH509" s="33"/>
      <c r="FI509" s="33"/>
      <c r="FJ509" s="33"/>
      <c r="FK509" s="33"/>
      <c r="FL509" s="33"/>
      <c r="FM509" s="33"/>
      <c r="FN509" s="33"/>
      <c r="FO509" s="33"/>
      <c r="FP509" s="33"/>
      <c r="FQ509" s="33"/>
      <c r="FR509" s="33"/>
      <c r="FS509" s="33"/>
      <c r="FT509" s="33"/>
      <c r="FU509" s="33"/>
      <c r="FV509" s="33"/>
      <c r="FW509" s="33"/>
      <c r="FX509" s="33"/>
      <c r="FY509" s="33"/>
      <c r="FZ509" s="33"/>
      <c r="GA509" s="33"/>
      <c r="GB509" s="33"/>
      <c r="GC509" s="33"/>
      <c r="GD509" s="33"/>
      <c r="GE509" s="33"/>
      <c r="GF509" s="33"/>
      <c r="GG509" s="33">
        <v>0.9</v>
      </c>
      <c r="GH509" s="33">
        <v>1.4</v>
      </c>
      <c r="GI509" s="33">
        <v>2.8</v>
      </c>
      <c r="GJ509" s="33"/>
      <c r="GK509" s="33"/>
      <c r="GL509" s="33"/>
      <c r="GM509" s="33"/>
      <c r="GN509" s="33"/>
      <c r="GO509" s="33"/>
      <c r="GP509" s="33"/>
      <c r="GQ509" s="33"/>
      <c r="GR509" s="33"/>
      <c r="GS509" s="33"/>
      <c r="GT509" s="33"/>
      <c r="GU509" s="33"/>
      <c r="GV509" s="33"/>
      <c r="GW509" s="33"/>
      <c r="GX509" s="33"/>
      <c r="GY509" s="33">
        <v>0.01</v>
      </c>
      <c r="GZ509" s="33"/>
      <c r="HA509" s="33">
        <v>0.56999999999999995</v>
      </c>
      <c r="HB509" s="33"/>
      <c r="HC509" s="33">
        <v>0.2</v>
      </c>
      <c r="HD509" s="53">
        <v>0.05</v>
      </c>
      <c r="HE509" s="53"/>
      <c r="HF509" s="53">
        <v>0.02</v>
      </c>
      <c r="HG509" s="53"/>
      <c r="HH509" s="53">
        <v>0.01</v>
      </c>
      <c r="HI509" s="53"/>
      <c r="HJ509" s="53"/>
      <c r="HK509" s="53"/>
      <c r="HL509" s="53"/>
      <c r="HM509" s="53"/>
      <c r="HN509" s="53">
        <v>0.01</v>
      </c>
      <c r="HO509" s="33"/>
      <c r="HP509" s="33"/>
      <c r="HQ509" s="33"/>
      <c r="HR509" s="33"/>
      <c r="HS509" s="33"/>
      <c r="HT509" s="33"/>
      <c r="HU509" s="33">
        <v>1.42</v>
      </c>
      <c r="HV509" s="33"/>
      <c r="HW509" s="33"/>
      <c r="HX509" s="33"/>
      <c r="HY509" s="33"/>
      <c r="HZ509" s="33"/>
      <c r="IA509" s="33"/>
      <c r="IB509" s="33"/>
      <c r="IC509" s="53">
        <v>0.02</v>
      </c>
      <c r="ID509" s="33"/>
      <c r="IE509" s="33"/>
      <c r="IF509" s="33"/>
      <c r="IG509" s="33"/>
      <c r="IH509" s="33"/>
      <c r="II509" s="33"/>
      <c r="IJ509" s="33"/>
      <c r="IK509" s="33"/>
      <c r="IL509" s="33"/>
      <c r="IM509" s="33"/>
      <c r="IN509" s="33"/>
      <c r="IO509" s="33"/>
      <c r="IP509" s="33"/>
      <c r="IQ509" s="33"/>
      <c r="IR509" s="33"/>
      <c r="IS509" s="33">
        <v>2.71</v>
      </c>
      <c r="IT509" s="33"/>
      <c r="IU509" s="33"/>
      <c r="IV509" s="33"/>
      <c r="IW509" s="33"/>
      <c r="IX509" s="33"/>
      <c r="IY509" s="33"/>
      <c r="IZ509" s="33"/>
      <c r="JA509" s="33"/>
      <c r="JB509" s="33"/>
      <c r="JC509" s="33"/>
      <c r="JD509" s="33"/>
      <c r="JE509" s="33">
        <v>0.13</v>
      </c>
      <c r="JF509" s="33"/>
      <c r="JG509" s="33"/>
      <c r="JI509" s="33"/>
      <c r="JJ509" s="33"/>
      <c r="JK509" s="33"/>
      <c r="JL509" s="33"/>
      <c r="JM509" s="33"/>
      <c r="JN509" s="33"/>
      <c r="JO509" s="33"/>
      <c r="JP509" s="33"/>
      <c r="JQ509" s="33"/>
      <c r="JR509" s="33"/>
      <c r="KZ509" s="33"/>
      <c r="LA509" s="33"/>
      <c r="LB509" s="33"/>
      <c r="LC509" s="33"/>
      <c r="LD509" s="33"/>
      <c r="LE509" s="33"/>
      <c r="LF509" s="33"/>
      <c r="LG509" s="33"/>
      <c r="LH509" s="33"/>
      <c r="LI509" s="33"/>
      <c r="LJ509" s="33"/>
      <c r="LK509" s="33"/>
      <c r="LL509" s="33"/>
      <c r="LM509" s="33"/>
      <c r="LN509" s="33"/>
      <c r="LO509" s="33"/>
      <c r="LP509" s="44"/>
      <c r="LQ509" s="44"/>
      <c r="LR509" s="44"/>
      <c r="LS509" s="44"/>
      <c r="LT509" s="44"/>
      <c r="LU509" s="44"/>
      <c r="LV509" s="44"/>
    </row>
    <row r="510" spans="1:334" x14ac:dyDescent="0.2">
      <c r="A510" s="1" t="s">
        <v>9329</v>
      </c>
      <c r="B510" s="1" t="s">
        <v>238</v>
      </c>
      <c r="C510" s="1" t="s">
        <v>9330</v>
      </c>
      <c r="D510" s="1" t="s">
        <v>9331</v>
      </c>
      <c r="E510" s="1" t="s">
        <v>7</v>
      </c>
      <c r="F510" s="1" t="s">
        <v>9332</v>
      </c>
      <c r="K510" s="1">
        <v>2011</v>
      </c>
      <c r="L510" s="1" t="s">
        <v>9325</v>
      </c>
      <c r="M510" s="1" t="s">
        <v>7657</v>
      </c>
      <c r="N510" s="17" t="s">
        <v>7945</v>
      </c>
      <c r="O510" s="33">
        <v>1439.8551969764096</v>
      </c>
      <c r="P510" s="33">
        <v>344.13365128499271</v>
      </c>
      <c r="Q510" s="33"/>
      <c r="R510" s="33"/>
      <c r="S510" s="33">
        <v>11.449</v>
      </c>
      <c r="T510" s="33"/>
      <c r="U510" s="33">
        <v>6.25</v>
      </c>
      <c r="V510" s="33"/>
      <c r="W510" s="33"/>
      <c r="X510" s="33"/>
      <c r="Y510" s="33"/>
      <c r="Z510" s="33">
        <v>18.964583333333334</v>
      </c>
      <c r="AA510" s="33"/>
      <c r="AB510" s="33"/>
      <c r="AC510" s="33">
        <v>2.1320000000000001</v>
      </c>
      <c r="AD510" s="33"/>
      <c r="AE510" s="33"/>
      <c r="AF510" s="33">
        <v>64.000416666666666</v>
      </c>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v>21.313666666666666</v>
      </c>
      <c r="BC510" s="33"/>
      <c r="BD510" s="33"/>
      <c r="BE510" s="33"/>
      <c r="BF510" s="33"/>
      <c r="BG510" s="33"/>
      <c r="BH510" s="33"/>
      <c r="BI510" s="33"/>
      <c r="BJ510" s="33"/>
      <c r="BK510" s="33"/>
      <c r="BL510" s="33"/>
      <c r="BM510" s="33"/>
      <c r="BN510" s="33"/>
      <c r="BO510" s="33"/>
      <c r="BP510" s="33"/>
      <c r="BQ510" s="33"/>
      <c r="BR510" s="33"/>
      <c r="BS510" s="33"/>
      <c r="BT510" s="33"/>
      <c r="BU510" s="33"/>
      <c r="BV510" s="33"/>
      <c r="BW510" s="33"/>
      <c r="BX510" s="33"/>
      <c r="BY510" s="33"/>
      <c r="BZ510" s="33"/>
      <c r="CA510" s="33"/>
      <c r="CB510" s="33"/>
      <c r="CC510" s="33"/>
      <c r="CD510" s="33"/>
      <c r="CE510" s="33"/>
      <c r="CF510" s="33"/>
      <c r="CG510" s="33"/>
      <c r="CH510" s="33"/>
      <c r="CI510" s="33"/>
      <c r="CJ510" s="33"/>
      <c r="CK510" s="33"/>
      <c r="CL510" s="33"/>
      <c r="CM510" s="33"/>
      <c r="CN510" s="33"/>
      <c r="CO510" s="33">
        <v>3.4540000000000002</v>
      </c>
      <c r="CP510" s="33">
        <v>129.33766666666665</v>
      </c>
      <c r="CQ510" s="33"/>
      <c r="CR510" s="33">
        <v>0.57299999999999995</v>
      </c>
      <c r="CS510" s="33">
        <v>1.9433333333333334</v>
      </c>
      <c r="CT510" s="33"/>
      <c r="CU510" s="33">
        <v>1214.7976666666666</v>
      </c>
      <c r="CV510" s="33">
        <v>166</v>
      </c>
      <c r="CW510" s="33">
        <v>1.0156666666666665</v>
      </c>
      <c r="CX510" s="33">
        <v>1.617</v>
      </c>
      <c r="CY510" s="33">
        <v>269.1943333333333</v>
      </c>
      <c r="CZ510" s="33"/>
      <c r="DA510" s="33">
        <v>2.0166666666666671</v>
      </c>
      <c r="DB510" s="33"/>
      <c r="DC510" s="33"/>
      <c r="DD510" s="33"/>
      <c r="DE510" s="33"/>
      <c r="DF510" s="33"/>
      <c r="DG510" s="33"/>
      <c r="DH510" s="33"/>
      <c r="DI510" s="33"/>
      <c r="DJ510" s="33"/>
      <c r="DK510" s="33"/>
      <c r="DL510" s="33"/>
      <c r="DM510" s="33"/>
      <c r="DN510" s="33"/>
      <c r="DO510" s="33"/>
      <c r="DP510" s="33"/>
      <c r="DQ510" s="33">
        <v>1.0633333333333335</v>
      </c>
      <c r="DR510" s="33"/>
      <c r="DS510" s="33" t="s">
        <v>15</v>
      </c>
      <c r="DT510" s="33">
        <v>2.6933333333333334</v>
      </c>
      <c r="DU510" s="33"/>
      <c r="DV510" s="33"/>
      <c r="DW510" s="33"/>
      <c r="DX510" s="33"/>
      <c r="DY510" s="33">
        <v>7.0000000000000007E-2</v>
      </c>
      <c r="DZ510" s="33"/>
      <c r="EA510" s="33"/>
      <c r="EB510" s="33"/>
      <c r="EC510" s="33"/>
      <c r="ED510" s="33">
        <v>1.4666666666666668</v>
      </c>
      <c r="EE510" s="33"/>
      <c r="EF510" s="33"/>
      <c r="EG510" s="33"/>
      <c r="EH510" s="33"/>
      <c r="EI510" s="33"/>
      <c r="EJ510" s="33"/>
      <c r="EK510" s="33"/>
      <c r="EL510" s="33"/>
      <c r="EM510" s="33"/>
      <c r="EN510" s="33"/>
      <c r="EO510" s="33"/>
      <c r="EP510" s="33"/>
      <c r="EQ510" s="33"/>
      <c r="ER510" s="33"/>
      <c r="ES510" s="33"/>
      <c r="ET510" s="33"/>
      <c r="EU510" s="33"/>
      <c r="EV510" s="33"/>
      <c r="EW510" s="33"/>
      <c r="EX510" s="33"/>
      <c r="EY510" s="33"/>
      <c r="EZ510" s="33"/>
      <c r="FA510" s="33"/>
      <c r="FB510" s="33"/>
      <c r="FC510" s="33"/>
      <c r="FD510" s="33"/>
      <c r="FE510" s="33"/>
      <c r="FF510" s="33"/>
      <c r="FG510" s="33"/>
      <c r="FH510" s="33"/>
      <c r="FI510" s="33"/>
      <c r="FJ510" s="33"/>
      <c r="FK510" s="33"/>
      <c r="FL510" s="33"/>
      <c r="FM510" s="33"/>
      <c r="FN510" s="33"/>
      <c r="FO510" s="33"/>
      <c r="FP510" s="33"/>
      <c r="FQ510" s="33"/>
      <c r="FR510" s="33"/>
      <c r="FS510" s="33"/>
      <c r="FT510" s="33"/>
      <c r="FU510" s="33"/>
      <c r="FV510" s="33"/>
      <c r="FW510" s="33"/>
      <c r="FX510" s="33"/>
      <c r="FY510" s="33"/>
      <c r="FZ510" s="33"/>
      <c r="GA510" s="33"/>
      <c r="GB510" s="33"/>
      <c r="GC510" s="33"/>
      <c r="GD510" s="33"/>
      <c r="GE510" s="33"/>
      <c r="GF510" s="33"/>
      <c r="GG510" s="33">
        <v>0.6</v>
      </c>
      <c r="GH510" s="33">
        <v>0.2</v>
      </c>
      <c r="GI510" s="33">
        <v>0.9</v>
      </c>
      <c r="GJ510" s="33"/>
      <c r="GK510" s="33"/>
      <c r="GL510" s="33"/>
      <c r="GM510" s="33"/>
      <c r="GN510" s="33"/>
      <c r="GO510" s="33"/>
      <c r="GP510" s="33"/>
      <c r="GQ510" s="33"/>
      <c r="GR510" s="33"/>
      <c r="GS510" s="33"/>
      <c r="GT510" s="33"/>
      <c r="GU510" s="33"/>
      <c r="GV510" s="33"/>
      <c r="GW510" s="33"/>
      <c r="GX510" s="33"/>
      <c r="GY510" s="33" t="s">
        <v>15</v>
      </c>
      <c r="GZ510" s="33"/>
      <c r="HA510" s="33">
        <v>0.44</v>
      </c>
      <c r="HB510" s="33"/>
      <c r="HC510" s="33">
        <v>0.08</v>
      </c>
      <c r="HD510" s="53">
        <v>0.02</v>
      </c>
      <c r="HE510" s="53"/>
      <c r="HF510" s="53">
        <v>0.02</v>
      </c>
      <c r="HG510" s="53"/>
      <c r="HH510" s="53">
        <v>0.02</v>
      </c>
      <c r="HI510" s="53"/>
      <c r="HJ510" s="53"/>
      <c r="HK510" s="53"/>
      <c r="HL510" s="53"/>
      <c r="HM510" s="53"/>
      <c r="HN510" s="53" t="s">
        <v>15</v>
      </c>
      <c r="HO510" s="33"/>
      <c r="HP510" s="33"/>
      <c r="HQ510" s="33"/>
      <c r="HR510" s="33"/>
      <c r="HS510" s="33"/>
      <c r="HT510" s="33"/>
      <c r="HU510" s="33">
        <v>0.13</v>
      </c>
      <c r="HV510" s="33"/>
      <c r="HW510" s="33"/>
      <c r="HX510" s="33"/>
      <c r="HY510" s="33"/>
      <c r="HZ510" s="33"/>
      <c r="IA510" s="33"/>
      <c r="IB510" s="33"/>
      <c r="IC510" s="53" t="s">
        <v>15</v>
      </c>
      <c r="ID510" s="33"/>
      <c r="IE510" s="33"/>
      <c r="IF510" s="33"/>
      <c r="IG510" s="33"/>
      <c r="IH510" s="33"/>
      <c r="II510" s="33"/>
      <c r="IJ510" s="33"/>
      <c r="IK510" s="33"/>
      <c r="IL510" s="33"/>
      <c r="IM510" s="33"/>
      <c r="IN510" s="33"/>
      <c r="IO510" s="33"/>
      <c r="IP510" s="33"/>
      <c r="IQ510" s="33"/>
      <c r="IR510" s="33"/>
      <c r="IS510" s="33">
        <v>0.86</v>
      </c>
      <c r="IT510" s="33"/>
      <c r="IU510" s="33"/>
      <c r="IV510" s="33"/>
      <c r="IW510" s="33"/>
      <c r="IX510" s="33"/>
      <c r="IY510" s="33"/>
      <c r="IZ510" s="33"/>
      <c r="JA510" s="33"/>
      <c r="JB510" s="33"/>
      <c r="JC510" s="33"/>
      <c r="JD510" s="33"/>
      <c r="JE510" s="33">
        <v>0.06</v>
      </c>
      <c r="JF510" s="33"/>
      <c r="JG510" s="33"/>
      <c r="JI510" s="33"/>
      <c r="JJ510" s="33"/>
      <c r="JK510" s="33"/>
      <c r="JL510" s="33"/>
      <c r="JM510" s="33"/>
      <c r="JN510" s="33"/>
      <c r="JO510" s="33"/>
      <c r="JP510" s="33"/>
      <c r="JQ510" s="33"/>
      <c r="JR510" s="33"/>
      <c r="KZ510" s="33"/>
      <c r="LA510" s="33"/>
      <c r="LB510" s="33"/>
      <c r="LC510" s="33"/>
      <c r="LD510" s="33"/>
      <c r="LE510" s="33"/>
      <c r="LF510" s="33"/>
      <c r="LG510" s="33"/>
      <c r="LH510" s="33"/>
      <c r="LI510" s="33"/>
      <c r="LJ510" s="33"/>
      <c r="LK510" s="33"/>
      <c r="LL510" s="33"/>
      <c r="LM510" s="33"/>
      <c r="LN510" s="33"/>
      <c r="LO510" s="33"/>
      <c r="LP510" s="44"/>
      <c r="LQ510" s="44"/>
      <c r="LR510" s="44"/>
      <c r="LS510" s="44"/>
      <c r="LT510" s="44"/>
      <c r="LU510" s="44"/>
      <c r="LV510" s="44"/>
    </row>
    <row r="511" spans="1:334" x14ac:dyDescent="0.2">
      <c r="A511" s="1" t="s">
        <v>9333</v>
      </c>
      <c r="B511" s="1" t="s">
        <v>238</v>
      </c>
      <c r="C511" s="1" t="s">
        <v>9334</v>
      </c>
      <c r="D511" s="1" t="s">
        <v>9335</v>
      </c>
      <c r="E511" s="1" t="s">
        <v>11</v>
      </c>
      <c r="F511" s="1" t="s">
        <v>8024</v>
      </c>
      <c r="K511" s="1">
        <v>2011</v>
      </c>
      <c r="L511" s="1" t="s">
        <v>9325</v>
      </c>
      <c r="M511" s="1" t="s">
        <v>7657</v>
      </c>
      <c r="N511" s="17" t="s">
        <v>7945</v>
      </c>
      <c r="O511" s="33">
        <v>387.60059799961965</v>
      </c>
      <c r="P511" s="33">
        <v>92.638766252299149</v>
      </c>
      <c r="Q511" s="33"/>
      <c r="R511" s="33"/>
      <c r="S511" s="33">
        <v>76.250666666666675</v>
      </c>
      <c r="T511" s="33"/>
      <c r="U511" s="33">
        <v>6.25</v>
      </c>
      <c r="V511" s="33"/>
      <c r="W511" s="33"/>
      <c r="X511" s="33"/>
      <c r="Y511" s="33"/>
      <c r="Z511" s="33">
        <v>6.3104166666666668</v>
      </c>
      <c r="AA511" s="33"/>
      <c r="AB511" s="33"/>
      <c r="AC511" s="33">
        <v>0.52466666666666673</v>
      </c>
      <c r="AD511" s="33"/>
      <c r="AE511" s="33"/>
      <c r="AF511" s="33">
        <v>16.30224999999999</v>
      </c>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33">
        <v>7.862333333333333</v>
      </c>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c r="CD511" s="33"/>
      <c r="CE511" s="33"/>
      <c r="CF511" s="33"/>
      <c r="CG511" s="33"/>
      <c r="CH511" s="33"/>
      <c r="CI511" s="33"/>
      <c r="CJ511" s="33"/>
      <c r="CK511" s="33"/>
      <c r="CL511" s="33"/>
      <c r="CM511" s="33"/>
      <c r="CN511" s="33"/>
      <c r="CO511" s="33">
        <v>0.61199999999999999</v>
      </c>
      <c r="CP511" s="33">
        <v>16.100999999999999</v>
      </c>
      <c r="CQ511" s="33"/>
      <c r="CR511" s="33">
        <v>0.17466666666666666</v>
      </c>
      <c r="CS511" s="33">
        <v>1.4793333333333336</v>
      </c>
      <c r="CT511" s="33"/>
      <c r="CU511" s="33">
        <v>219.90366666666668</v>
      </c>
      <c r="CV511" s="33">
        <v>21.646000000000001</v>
      </c>
      <c r="CW511" s="33">
        <v>0.28533333333333333</v>
      </c>
      <c r="CX511" s="33">
        <v>1.1763333333333332</v>
      </c>
      <c r="CY511" s="33">
        <v>103.74</v>
      </c>
      <c r="CZ511" s="33"/>
      <c r="DA511" s="33">
        <v>1.1306666666666667</v>
      </c>
      <c r="DB511" s="33"/>
      <c r="DC511" s="33"/>
      <c r="DD511" s="33"/>
      <c r="DE511" s="33"/>
      <c r="DF511" s="33"/>
      <c r="DG511" s="33"/>
      <c r="DH511" s="33"/>
      <c r="DI511" s="33"/>
      <c r="DJ511" s="33"/>
      <c r="DK511" s="33"/>
      <c r="DL511" s="33"/>
      <c r="DM511" s="33"/>
      <c r="DN511" s="33"/>
      <c r="DO511" s="33"/>
      <c r="DP511" s="33"/>
      <c r="DQ511" s="33">
        <v>0.03</v>
      </c>
      <c r="DR511" s="33"/>
      <c r="DS511" s="33" t="s">
        <v>15</v>
      </c>
      <c r="DT511" s="33" t="s">
        <v>15</v>
      </c>
      <c r="DU511" s="33"/>
      <c r="DV511" s="33"/>
      <c r="DW511" s="33"/>
      <c r="DX511" s="33"/>
      <c r="DY511" s="33" t="s">
        <v>15</v>
      </c>
      <c r="DZ511" s="33"/>
      <c r="EA511" s="33"/>
      <c r="EB511" s="33"/>
      <c r="EC511" s="33"/>
      <c r="ED511" s="33" t="s">
        <v>15</v>
      </c>
      <c r="EE511" s="33"/>
      <c r="EF511" s="33"/>
      <c r="EG511" s="33"/>
      <c r="EH511" s="33"/>
      <c r="EI511" s="33"/>
      <c r="EJ511" s="33"/>
      <c r="EK511" s="33"/>
      <c r="EL511" s="33"/>
      <c r="EM511" s="33"/>
      <c r="EN511" s="33"/>
      <c r="EO511" s="33"/>
      <c r="EP511" s="33"/>
      <c r="EQ511" s="33"/>
      <c r="ER511" s="33"/>
      <c r="ES511" s="33"/>
      <c r="ET511" s="33"/>
      <c r="EU511" s="33"/>
      <c r="EV511" s="33"/>
      <c r="EW511" s="33"/>
      <c r="EX511" s="33"/>
      <c r="EY511" s="33"/>
      <c r="EZ511" s="33"/>
      <c r="FA511" s="33"/>
      <c r="FB511" s="33"/>
      <c r="FC511" s="33"/>
      <c r="FD511" s="33"/>
      <c r="FE511" s="33"/>
      <c r="FF511" s="33"/>
      <c r="FG511" s="33"/>
      <c r="FH511" s="33"/>
      <c r="FI511" s="33"/>
      <c r="FJ511" s="33"/>
      <c r="FK511" s="33"/>
      <c r="FL511" s="33"/>
      <c r="FM511" s="33"/>
      <c r="FN511" s="33"/>
      <c r="FO511" s="33"/>
      <c r="FP511" s="33"/>
      <c r="FQ511" s="33"/>
      <c r="FR511" s="33"/>
      <c r="FS511" s="33"/>
      <c r="FT511" s="33"/>
      <c r="FU511" s="33"/>
      <c r="FV511" s="33"/>
      <c r="FW511" s="33"/>
      <c r="FX511" s="33"/>
      <c r="FY511" s="33"/>
      <c r="FZ511" s="33"/>
      <c r="GA511" s="33"/>
      <c r="GB511" s="33"/>
      <c r="GC511" s="33"/>
      <c r="GD511" s="33"/>
      <c r="GE511" s="33"/>
      <c r="GF511" s="33"/>
      <c r="GG511" s="33">
        <v>0.1</v>
      </c>
      <c r="GH511" s="33">
        <v>0.1</v>
      </c>
      <c r="GI511" s="33">
        <v>0.3</v>
      </c>
      <c r="GJ511" s="33"/>
      <c r="GK511" s="33"/>
      <c r="GL511" s="33"/>
      <c r="GM511" s="33"/>
      <c r="GN511" s="33"/>
      <c r="GO511" s="33"/>
      <c r="GP511" s="33"/>
      <c r="GQ511" s="33"/>
      <c r="GR511" s="33"/>
      <c r="GS511" s="33"/>
      <c r="GT511" s="33"/>
      <c r="GU511" s="33"/>
      <c r="GV511" s="33"/>
      <c r="GW511" s="33"/>
      <c r="GX511" s="33"/>
      <c r="GY511" s="33" t="s">
        <v>15</v>
      </c>
      <c r="GZ511" s="33"/>
      <c r="HA511" s="33">
        <v>0.08</v>
      </c>
      <c r="HB511" s="33"/>
      <c r="HC511" s="33">
        <v>0.01</v>
      </c>
      <c r="HD511" s="53" t="s">
        <v>15</v>
      </c>
      <c r="HE511" s="53"/>
      <c r="HF511" s="53" t="s">
        <v>15</v>
      </c>
      <c r="HG511" s="53"/>
      <c r="HH511" s="53" t="s">
        <v>15</v>
      </c>
      <c r="HI511" s="53"/>
      <c r="HJ511" s="53"/>
      <c r="HK511" s="53"/>
      <c r="HL511" s="53"/>
      <c r="HM511" s="53"/>
      <c r="HN511" s="53" t="s">
        <v>15</v>
      </c>
      <c r="HO511" s="33"/>
      <c r="HP511" s="33"/>
      <c r="HQ511" s="33"/>
      <c r="HR511" s="33"/>
      <c r="HS511" s="33"/>
      <c r="HT511" s="33"/>
      <c r="HU511" s="33">
        <v>0.14000000000000001</v>
      </c>
      <c r="HV511" s="33"/>
      <c r="HW511" s="33"/>
      <c r="HX511" s="33"/>
      <c r="HY511" s="33"/>
      <c r="HZ511" s="33"/>
      <c r="IA511" s="33"/>
      <c r="IB511" s="33"/>
      <c r="IC511" s="53" t="s">
        <v>15</v>
      </c>
      <c r="ID511" s="33"/>
      <c r="IE511" s="33"/>
      <c r="IF511" s="33"/>
      <c r="IG511" s="33"/>
      <c r="IH511" s="33"/>
      <c r="II511" s="33"/>
      <c r="IJ511" s="33"/>
      <c r="IK511" s="33"/>
      <c r="IL511" s="33"/>
      <c r="IM511" s="33"/>
      <c r="IN511" s="33"/>
      <c r="IO511" s="33"/>
      <c r="IP511" s="33"/>
      <c r="IQ511" s="33"/>
      <c r="IR511" s="33"/>
      <c r="IS511" s="33">
        <v>0.21</v>
      </c>
      <c r="IT511" s="33"/>
      <c r="IU511" s="33"/>
      <c r="IV511" s="33"/>
      <c r="IW511" s="33"/>
      <c r="IX511" s="33"/>
      <c r="IY511" s="33"/>
      <c r="IZ511" s="33"/>
      <c r="JA511" s="33"/>
      <c r="JB511" s="33"/>
      <c r="JC511" s="33"/>
      <c r="JD511" s="33"/>
      <c r="JE511" s="33">
        <v>0.04</v>
      </c>
      <c r="JF511" s="33"/>
      <c r="JG511" s="33"/>
      <c r="JI511" s="33"/>
      <c r="JJ511" s="33"/>
      <c r="JK511" s="33"/>
      <c r="JL511" s="33"/>
      <c r="JM511" s="33"/>
      <c r="JN511" s="33"/>
      <c r="JO511" s="33"/>
      <c r="JP511" s="33"/>
      <c r="JQ511" s="33"/>
      <c r="JR511" s="33"/>
      <c r="KZ511" s="33"/>
      <c r="LA511" s="33"/>
      <c r="LB511" s="33"/>
      <c r="LC511" s="33"/>
      <c r="LD511" s="33"/>
      <c r="LE511" s="33"/>
      <c r="LF511" s="33"/>
      <c r="LG511" s="33"/>
      <c r="LH511" s="33"/>
      <c r="LI511" s="33"/>
      <c r="LJ511" s="33"/>
      <c r="LK511" s="33"/>
      <c r="LL511" s="33"/>
      <c r="LM511" s="33"/>
      <c r="LN511" s="33"/>
      <c r="LO511" s="33"/>
      <c r="LP511" s="44"/>
      <c r="LQ511" s="44"/>
      <c r="LR511" s="44"/>
      <c r="LS511" s="44"/>
      <c r="LT511" s="44"/>
      <c r="LU511" s="44"/>
      <c r="LV511" s="44"/>
    </row>
    <row r="512" spans="1:334" x14ac:dyDescent="0.2">
      <c r="A512" s="1" t="s">
        <v>9336</v>
      </c>
      <c r="B512" s="1" t="s">
        <v>238</v>
      </c>
      <c r="C512" s="1" t="s">
        <v>9334</v>
      </c>
      <c r="D512" s="1" t="s">
        <v>8260</v>
      </c>
      <c r="E512" s="1" t="s">
        <v>7</v>
      </c>
      <c r="F512" s="1" t="s">
        <v>8024</v>
      </c>
      <c r="K512" s="1">
        <v>2011</v>
      </c>
      <c r="L512" s="1" t="s">
        <v>9325</v>
      </c>
      <c r="M512" s="1" t="s">
        <v>7657</v>
      </c>
      <c r="N512" s="17" t="s">
        <v>7945</v>
      </c>
      <c r="O512" s="33">
        <v>1418.9669490116671</v>
      </c>
      <c r="P512" s="33">
        <v>339.14124020355331</v>
      </c>
      <c r="Q512" s="33"/>
      <c r="R512" s="33"/>
      <c r="S512" s="33">
        <v>11.466666666666667</v>
      </c>
      <c r="T512" s="33"/>
      <c r="U512" s="33">
        <v>6.25</v>
      </c>
      <c r="V512" s="33"/>
      <c r="W512" s="33"/>
      <c r="X512" s="33"/>
      <c r="Y512" s="33"/>
      <c r="Z512" s="33">
        <v>23.152173913043477</v>
      </c>
      <c r="AA512" s="33"/>
      <c r="AB512" s="33"/>
      <c r="AC512" s="33">
        <v>0.77</v>
      </c>
      <c r="AD512" s="33"/>
      <c r="AE512" s="33"/>
      <c r="AF512" s="33">
        <v>62.004492753623182</v>
      </c>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v>16.936666666666667</v>
      </c>
      <c r="BC512" s="33"/>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c r="CA512" s="33"/>
      <c r="CB512" s="33"/>
      <c r="CC512" s="33"/>
      <c r="CD512" s="33"/>
      <c r="CE512" s="33"/>
      <c r="CF512" s="33"/>
      <c r="CG512" s="33"/>
      <c r="CH512" s="33"/>
      <c r="CI512" s="33"/>
      <c r="CJ512" s="33"/>
      <c r="CK512" s="33"/>
      <c r="CL512" s="33"/>
      <c r="CM512" s="33"/>
      <c r="CN512" s="33"/>
      <c r="CO512" s="33">
        <v>2.6066666666666669</v>
      </c>
      <c r="CP512" s="33">
        <v>53.523333333333333</v>
      </c>
      <c r="CQ512" s="33"/>
      <c r="CR512" s="33">
        <v>0.83333333333333337</v>
      </c>
      <c r="CS512" s="33">
        <v>7.046666666666666</v>
      </c>
      <c r="CT512" s="33"/>
      <c r="CU512" s="33">
        <v>886.88333333333321</v>
      </c>
      <c r="CV512" s="33">
        <v>93.53</v>
      </c>
      <c r="CW512" s="33">
        <v>1.0843333333333334</v>
      </c>
      <c r="CX512" s="33" t="s">
        <v>15</v>
      </c>
      <c r="CY512" s="33">
        <v>367.73666666666668</v>
      </c>
      <c r="CZ512" s="33"/>
      <c r="DA512" s="33">
        <v>3.4866666666666664</v>
      </c>
      <c r="DB512" s="33"/>
      <c r="DC512" s="33"/>
      <c r="DD512" s="33"/>
      <c r="DE512" s="33"/>
      <c r="DF512" s="33"/>
      <c r="DG512" s="33"/>
      <c r="DH512" s="33"/>
      <c r="DI512" s="33"/>
      <c r="DJ512" s="33"/>
      <c r="DK512" s="33"/>
      <c r="DL512" s="33"/>
      <c r="DM512" s="33"/>
      <c r="DN512" s="33"/>
      <c r="DO512" s="33"/>
      <c r="DP512" s="33"/>
      <c r="DQ512" s="33">
        <v>0.11333333333333333</v>
      </c>
      <c r="DR512" s="33"/>
      <c r="DS512" s="33" t="s">
        <v>15</v>
      </c>
      <c r="DT512" s="33">
        <v>5.0733333333333333</v>
      </c>
      <c r="DU512" s="33"/>
      <c r="DV512" s="33"/>
      <c r="DW512" s="33"/>
      <c r="DX512" s="33"/>
      <c r="DY512" s="33">
        <v>0.41666666666666669</v>
      </c>
      <c r="DZ512" s="33"/>
      <c r="EA512" s="33"/>
      <c r="EB512" s="33"/>
      <c r="EC512" s="33"/>
      <c r="ED512" s="33" t="s">
        <v>9380</v>
      </c>
      <c r="EE512" s="33"/>
      <c r="EF512" s="33"/>
      <c r="EG512" s="33"/>
      <c r="EH512" s="33"/>
      <c r="EI512" s="33"/>
      <c r="EJ512" s="33"/>
      <c r="EK512" s="33"/>
      <c r="EL512" s="33"/>
      <c r="EM512" s="33"/>
      <c r="EN512" s="33"/>
      <c r="EO512" s="33"/>
      <c r="EP512" s="33"/>
      <c r="EQ512" s="33"/>
      <c r="ER512" s="33"/>
      <c r="ES512" s="33"/>
      <c r="ET512" s="33"/>
      <c r="EU512" s="33"/>
      <c r="EV512" s="33"/>
      <c r="EW512" s="33"/>
      <c r="EX512" s="33"/>
      <c r="EY512" s="33"/>
      <c r="EZ512" s="33"/>
      <c r="FA512" s="33"/>
      <c r="FB512" s="33"/>
      <c r="FC512" s="33"/>
      <c r="FD512" s="33"/>
      <c r="FE512" s="33"/>
      <c r="FF512" s="33"/>
      <c r="FG512" s="33"/>
      <c r="FH512" s="33"/>
      <c r="FI512" s="33"/>
      <c r="FJ512" s="33"/>
      <c r="FK512" s="33"/>
      <c r="FL512" s="33"/>
      <c r="FM512" s="33"/>
      <c r="FN512" s="33"/>
      <c r="FO512" s="33"/>
      <c r="FP512" s="33"/>
      <c r="FQ512" s="33"/>
      <c r="FR512" s="33"/>
      <c r="FS512" s="33"/>
      <c r="FT512" s="33"/>
      <c r="FU512" s="33"/>
      <c r="FV512" s="33"/>
      <c r="FW512" s="33"/>
      <c r="FX512" s="33"/>
      <c r="FY512" s="33"/>
      <c r="FZ512" s="33"/>
      <c r="GA512" s="33"/>
      <c r="GB512" s="33"/>
      <c r="GC512" s="33"/>
      <c r="GD512" s="33"/>
      <c r="GE512" s="33"/>
      <c r="GF512" s="33"/>
      <c r="GG512" s="33">
        <v>0.1</v>
      </c>
      <c r="GH512" s="33">
        <v>0.2</v>
      </c>
      <c r="GI512" s="33">
        <v>0.4</v>
      </c>
      <c r="GJ512" s="33"/>
      <c r="GK512" s="33"/>
      <c r="GL512" s="33"/>
      <c r="GM512" s="33"/>
      <c r="GN512" s="33"/>
      <c r="GO512" s="33"/>
      <c r="GP512" s="33"/>
      <c r="GQ512" s="33"/>
      <c r="GR512" s="33"/>
      <c r="GS512" s="33"/>
      <c r="GT512" s="33"/>
      <c r="GU512" s="33"/>
      <c r="GV512" s="33"/>
      <c r="GW512" s="33"/>
      <c r="GX512" s="33"/>
      <c r="GY512" s="33">
        <v>0.01</v>
      </c>
      <c r="GZ512" s="33"/>
      <c r="HA512" s="33">
        <v>0.1</v>
      </c>
      <c r="HB512" s="33"/>
      <c r="HC512" s="33">
        <v>0.01</v>
      </c>
      <c r="HD512" s="53">
        <v>0.01</v>
      </c>
      <c r="HE512" s="53"/>
      <c r="HF512" s="53" t="s">
        <v>15</v>
      </c>
      <c r="HG512" s="53"/>
      <c r="HH512" s="53" t="s">
        <v>15</v>
      </c>
      <c r="HI512" s="53"/>
      <c r="HJ512" s="53" t="s">
        <v>15</v>
      </c>
      <c r="HK512" s="53"/>
      <c r="HL512" s="53"/>
      <c r="HM512" s="53"/>
      <c r="HN512" s="53" t="s">
        <v>15</v>
      </c>
      <c r="HO512" s="33"/>
      <c r="HP512" s="33"/>
      <c r="HQ512" s="33"/>
      <c r="HR512" s="33"/>
      <c r="HS512" s="33"/>
      <c r="HT512" s="33"/>
      <c r="HU512" s="33">
        <v>0.16</v>
      </c>
      <c r="HV512" s="33"/>
      <c r="HW512" s="33"/>
      <c r="HX512" s="33"/>
      <c r="HY512" s="33"/>
      <c r="HZ512" s="33"/>
      <c r="IA512" s="33"/>
      <c r="IB512" s="33"/>
      <c r="IC512" s="53">
        <v>0.01</v>
      </c>
      <c r="ID512" s="33"/>
      <c r="IE512" s="33"/>
      <c r="IF512" s="33"/>
      <c r="IG512" s="33"/>
      <c r="IH512" s="33"/>
      <c r="II512" s="33"/>
      <c r="IJ512" s="33"/>
      <c r="IK512" s="33"/>
      <c r="IL512" s="33"/>
      <c r="IM512" s="33"/>
      <c r="IN512" s="33"/>
      <c r="IO512" s="33"/>
      <c r="IP512" s="33"/>
      <c r="IQ512" s="33"/>
      <c r="IR512" s="33"/>
      <c r="IS512" s="33">
        <v>0.33</v>
      </c>
      <c r="IT512" s="33"/>
      <c r="IU512" s="33"/>
      <c r="IV512" s="33"/>
      <c r="IW512" s="33"/>
      <c r="IX512" s="33"/>
      <c r="IY512" s="33"/>
      <c r="IZ512" s="33"/>
      <c r="JA512" s="33"/>
      <c r="JB512" s="33"/>
      <c r="JC512" s="33"/>
      <c r="JD512" s="33"/>
      <c r="JE512" s="33">
        <v>0.09</v>
      </c>
      <c r="JF512" s="33"/>
      <c r="JG512" s="33"/>
      <c r="JI512" s="33"/>
      <c r="JJ512" s="33"/>
      <c r="JK512" s="33"/>
      <c r="JL512" s="33"/>
      <c r="JM512" s="33"/>
      <c r="JN512" s="33"/>
      <c r="JO512" s="33"/>
      <c r="JP512" s="33"/>
      <c r="JQ512" s="33"/>
      <c r="JR512" s="33"/>
      <c r="KZ512" s="33"/>
      <c r="LA512" s="33"/>
      <c r="LB512" s="33"/>
      <c r="LC512" s="33"/>
      <c r="LD512" s="33"/>
      <c r="LE512" s="33"/>
      <c r="LF512" s="33"/>
      <c r="LG512" s="33"/>
      <c r="LH512" s="33"/>
      <c r="LI512" s="33"/>
      <c r="LJ512" s="33"/>
      <c r="LK512" s="33"/>
      <c r="LL512" s="33"/>
      <c r="LM512" s="33"/>
      <c r="LN512" s="33"/>
      <c r="LO512" s="33"/>
      <c r="LP512" s="44"/>
      <c r="LQ512" s="44"/>
      <c r="LR512" s="44"/>
      <c r="LS512" s="44"/>
      <c r="LT512" s="44"/>
      <c r="LU512" s="44"/>
      <c r="LV512" s="44"/>
    </row>
    <row r="513" spans="1:334" x14ac:dyDescent="0.2">
      <c r="A513" s="1" t="s">
        <v>9337</v>
      </c>
      <c r="B513" s="1" t="s">
        <v>238</v>
      </c>
      <c r="C513" s="1" t="s">
        <v>9338</v>
      </c>
      <c r="D513" s="1" t="s">
        <v>9339</v>
      </c>
      <c r="E513" s="1" t="s">
        <v>7</v>
      </c>
      <c r="F513" s="1" t="s">
        <v>9340</v>
      </c>
      <c r="K513" s="1">
        <v>2011</v>
      </c>
      <c r="L513" s="1" t="s">
        <v>9325</v>
      </c>
      <c r="M513" s="1" t="s">
        <v>7657</v>
      </c>
      <c r="N513" s="17" t="s">
        <v>7945</v>
      </c>
      <c r="O513" s="33">
        <v>1595.2678798491816</v>
      </c>
      <c r="P513" s="33">
        <v>381.27817396012944</v>
      </c>
      <c r="Q513" s="33"/>
      <c r="R513" s="33"/>
      <c r="S513" s="33">
        <v>9.6920000000000002</v>
      </c>
      <c r="T513" s="33"/>
      <c r="U513" s="33">
        <v>6.25</v>
      </c>
      <c r="V513" s="33"/>
      <c r="W513" s="33"/>
      <c r="X513" s="33"/>
      <c r="Y513" s="33"/>
      <c r="Z513" s="33">
        <v>33.575000000000003</v>
      </c>
      <c r="AA513" s="33"/>
      <c r="AB513" s="33"/>
      <c r="AC513" s="33">
        <v>10.341999999999999</v>
      </c>
      <c r="AD513" s="33"/>
      <c r="AE513" s="33"/>
      <c r="AF513" s="33">
        <v>43.786333333333324</v>
      </c>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v>32.306999999999995</v>
      </c>
      <c r="BC513" s="33"/>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c r="CA513" s="33"/>
      <c r="CB513" s="33"/>
      <c r="CC513" s="33"/>
      <c r="CD513" s="33"/>
      <c r="CE513" s="33"/>
      <c r="CF513" s="33"/>
      <c r="CG513" s="33"/>
      <c r="CH513" s="33"/>
      <c r="CI513" s="33"/>
      <c r="CJ513" s="33"/>
      <c r="CK513" s="33"/>
      <c r="CL513" s="33"/>
      <c r="CM513" s="33"/>
      <c r="CN513" s="33"/>
      <c r="CO513" s="33">
        <v>2.6046666666666667</v>
      </c>
      <c r="CP513" s="33">
        <v>176.74533333333332</v>
      </c>
      <c r="CQ513" s="33"/>
      <c r="CR513" s="33">
        <v>0.79100000000000004</v>
      </c>
      <c r="CS513" s="33">
        <v>2.7886666666666664</v>
      </c>
      <c r="CT513" s="33"/>
      <c r="CU513" s="33">
        <v>708.32099999999991</v>
      </c>
      <c r="CV513" s="33">
        <v>121.43233333333335</v>
      </c>
      <c r="CW513" s="33"/>
      <c r="CX513" s="33">
        <v>3.2906666666666666</v>
      </c>
      <c r="CY513" s="33">
        <v>264.68366666666668</v>
      </c>
      <c r="CZ513" s="33"/>
      <c r="DA513" s="33">
        <v>4.2376666666666667</v>
      </c>
      <c r="DB513" s="33"/>
      <c r="DC513" s="33"/>
      <c r="DD513" s="33"/>
      <c r="DE513" s="33"/>
      <c r="DF513" s="33"/>
      <c r="DG513" s="33"/>
      <c r="DH513" s="33"/>
      <c r="DI513" s="33"/>
      <c r="DJ513" s="33"/>
      <c r="DK513" s="33"/>
      <c r="DL513" s="33"/>
      <c r="DM513" s="33"/>
      <c r="DN513" s="33"/>
      <c r="DO513" s="33"/>
      <c r="DP513" s="33"/>
      <c r="DQ513" s="33">
        <v>0.24</v>
      </c>
      <c r="DR513" s="33"/>
      <c r="DS513" s="33" t="s">
        <v>15</v>
      </c>
      <c r="DT513" s="33" t="s">
        <v>15</v>
      </c>
      <c r="DU513" s="33"/>
      <c r="DV513" s="33"/>
      <c r="DW513" s="33"/>
      <c r="DX513" s="33"/>
      <c r="DY513" s="33">
        <v>6.6666666666666666E-2</v>
      </c>
      <c r="DZ513" s="33"/>
      <c r="EA513" s="33"/>
      <c r="EB513" s="33"/>
      <c r="EC513" s="33"/>
      <c r="ED513" s="33" t="s">
        <v>9381</v>
      </c>
      <c r="EE513" s="33"/>
      <c r="EF513" s="33"/>
      <c r="EG513" s="33"/>
      <c r="EH513" s="33"/>
      <c r="EI513" s="33"/>
      <c r="EJ513" s="33"/>
      <c r="EK513" s="33"/>
      <c r="EL513" s="33"/>
      <c r="EM513" s="33"/>
      <c r="EN513" s="33"/>
      <c r="EO513" s="33"/>
      <c r="EP513" s="33"/>
      <c r="EQ513" s="33"/>
      <c r="ER513" s="33"/>
      <c r="ES513" s="33"/>
      <c r="ET513" s="33"/>
      <c r="EU513" s="33"/>
      <c r="EV513" s="33"/>
      <c r="EW513" s="33"/>
      <c r="EX513" s="33"/>
      <c r="EY513" s="33"/>
      <c r="EZ513" s="33"/>
      <c r="FA513" s="33"/>
      <c r="FB513" s="33"/>
      <c r="FC513" s="33"/>
      <c r="FD513" s="33"/>
      <c r="FE513" s="33"/>
      <c r="FF513" s="33"/>
      <c r="FG513" s="33"/>
      <c r="FH513" s="33"/>
      <c r="FI513" s="33"/>
      <c r="FJ513" s="33"/>
      <c r="FK513" s="33"/>
      <c r="FL513" s="33"/>
      <c r="FM513" s="33"/>
      <c r="FN513" s="33"/>
      <c r="FO513" s="33"/>
      <c r="FP513" s="33"/>
      <c r="FQ513" s="33"/>
      <c r="FR513" s="33"/>
      <c r="FS513" s="33"/>
      <c r="FT513" s="33"/>
      <c r="FU513" s="33"/>
      <c r="FV513" s="33"/>
      <c r="FW513" s="33"/>
      <c r="FX513" s="33"/>
      <c r="FY513" s="33"/>
      <c r="FZ513" s="33"/>
      <c r="GA513" s="33"/>
      <c r="GB513" s="33"/>
      <c r="GC513" s="33"/>
      <c r="GD513" s="33"/>
      <c r="GE513" s="33"/>
      <c r="GF513" s="33"/>
      <c r="GG513" s="33"/>
      <c r="GH513" s="33"/>
      <c r="GI513" s="33"/>
      <c r="GJ513" s="33"/>
      <c r="GK513" s="33"/>
      <c r="GL513" s="33"/>
      <c r="GM513" s="33"/>
      <c r="GN513" s="33"/>
      <c r="GO513" s="33"/>
      <c r="GP513" s="33"/>
      <c r="GQ513" s="33"/>
      <c r="GR513" s="33"/>
      <c r="GS513" s="33"/>
      <c r="GT513" s="33"/>
      <c r="GU513" s="33"/>
      <c r="GV513" s="33"/>
      <c r="GW513" s="33"/>
      <c r="GX513" s="33"/>
      <c r="GY513" s="33"/>
      <c r="GZ513" s="33"/>
      <c r="HA513" s="33"/>
      <c r="HB513" s="33"/>
      <c r="HC513" s="33"/>
      <c r="HD513" s="33"/>
      <c r="HE513" s="33"/>
      <c r="HF513" s="33"/>
      <c r="HG513" s="33"/>
      <c r="HH513" s="33"/>
      <c r="HI513" s="33"/>
      <c r="HJ513" s="33"/>
      <c r="HK513" s="33"/>
      <c r="HL513" s="33"/>
      <c r="HM513" s="33"/>
      <c r="HN513" s="33"/>
      <c r="HO513" s="33"/>
      <c r="HP513" s="33"/>
      <c r="HQ513" s="33"/>
      <c r="HR513" s="33"/>
      <c r="HS513" s="33"/>
      <c r="HT513" s="33"/>
      <c r="HU513" s="33"/>
      <c r="HV513" s="33"/>
      <c r="HW513" s="33"/>
      <c r="HX513" s="33"/>
      <c r="HY513" s="33"/>
      <c r="HZ513" s="33"/>
      <c r="IA513" s="33"/>
      <c r="IB513" s="33"/>
      <c r="IC513" s="53"/>
      <c r="ID513" s="33"/>
      <c r="IE513" s="33"/>
      <c r="IF513" s="33"/>
      <c r="IG513" s="33"/>
      <c r="IH513" s="33"/>
      <c r="II513" s="33"/>
      <c r="IJ513" s="33"/>
      <c r="IK513" s="33"/>
      <c r="IL513" s="33"/>
      <c r="IM513" s="33"/>
      <c r="IN513" s="33"/>
      <c r="IO513" s="33"/>
      <c r="IP513" s="33"/>
      <c r="IQ513" s="33"/>
      <c r="IR513" s="33"/>
      <c r="IS513" s="33"/>
      <c r="IT513" s="33"/>
      <c r="IU513" s="33"/>
      <c r="IV513" s="33"/>
      <c r="IW513" s="33"/>
      <c r="IX513" s="33"/>
      <c r="IY513" s="33"/>
      <c r="IZ513" s="33"/>
      <c r="JA513" s="33"/>
      <c r="JB513" s="33"/>
      <c r="JC513" s="33"/>
      <c r="JD513" s="33"/>
      <c r="JE513" s="33"/>
      <c r="JF513" s="33"/>
      <c r="JG513" s="33"/>
      <c r="JH513" s="33"/>
      <c r="JI513" s="33"/>
      <c r="JJ513" s="33"/>
      <c r="JK513" s="33"/>
      <c r="JL513" s="33"/>
      <c r="JM513" s="33"/>
      <c r="JN513" s="33"/>
      <c r="JO513" s="33"/>
      <c r="JP513" s="33"/>
      <c r="JQ513" s="33"/>
      <c r="JR513" s="33"/>
      <c r="KZ513" s="33"/>
      <c r="LA513" s="33"/>
      <c r="LB513" s="33"/>
      <c r="LC513" s="33"/>
      <c r="LD513" s="33"/>
      <c r="LE513" s="33"/>
      <c r="LF513" s="33"/>
      <c r="LG513" s="33"/>
      <c r="LH513" s="33"/>
      <c r="LI513" s="33"/>
      <c r="LJ513" s="33"/>
      <c r="LK513" s="33"/>
      <c r="LL513" s="33"/>
      <c r="LM513" s="33"/>
      <c r="LN513" s="33"/>
      <c r="LO513" s="33"/>
      <c r="LP513" s="44"/>
      <c r="LQ513" s="44"/>
      <c r="LR513" s="44"/>
      <c r="LS513" s="44"/>
      <c r="LT513" s="44"/>
      <c r="LU513" s="44"/>
      <c r="LV513" s="44"/>
    </row>
    <row r="514" spans="1:334" x14ac:dyDescent="0.2">
      <c r="A514" s="1" t="s">
        <v>9341</v>
      </c>
      <c r="B514" s="1" t="s">
        <v>238</v>
      </c>
      <c r="C514" s="1" t="s">
        <v>9338</v>
      </c>
      <c r="D514" s="1" t="s">
        <v>9342</v>
      </c>
      <c r="E514" s="1" t="s">
        <v>11</v>
      </c>
      <c r="F514" s="1" t="s">
        <v>9340</v>
      </c>
      <c r="K514" s="1">
        <v>2011</v>
      </c>
      <c r="L514" s="1" t="s">
        <v>9325</v>
      </c>
      <c r="M514" s="1" t="s">
        <v>7657</v>
      </c>
      <c r="N514" s="17" t="s">
        <v>7945</v>
      </c>
      <c r="O514" s="33">
        <v>504.76857708293988</v>
      </c>
      <c r="P514" s="33">
        <v>120.64258534487091</v>
      </c>
      <c r="Q514" s="33"/>
      <c r="R514" s="33"/>
      <c r="S514" s="33">
        <v>67.684333333333328</v>
      </c>
      <c r="T514" s="33"/>
      <c r="U514" s="33">
        <v>6.25</v>
      </c>
      <c r="V514" s="33"/>
      <c r="W514" s="33"/>
      <c r="X514" s="33"/>
      <c r="Y514" s="33"/>
      <c r="Z514" s="33">
        <v>11.108333333333333</v>
      </c>
      <c r="AA514" s="33"/>
      <c r="AB514" s="33"/>
      <c r="AC514" s="33">
        <v>3.7840000000000003</v>
      </c>
      <c r="AD514" s="33"/>
      <c r="AE514" s="33"/>
      <c r="AF514" s="33">
        <v>12.38933333333334</v>
      </c>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v>14.44</v>
      </c>
      <c r="BC514" s="33"/>
      <c r="BD514" s="33"/>
      <c r="BE514" s="33"/>
      <c r="BF514" s="33"/>
      <c r="BG514" s="33"/>
      <c r="BH514" s="33"/>
      <c r="BI514" s="33"/>
      <c r="BJ514" s="33"/>
      <c r="BK514" s="33"/>
      <c r="BL514" s="33"/>
      <c r="BM514" s="33"/>
      <c r="BN514" s="33"/>
      <c r="BO514" s="33"/>
      <c r="BP514" s="33"/>
      <c r="BQ514" s="33"/>
      <c r="BR514" s="33"/>
      <c r="BS514" s="33"/>
      <c r="BT514" s="33"/>
      <c r="BU514" s="33"/>
      <c r="BV514" s="33"/>
      <c r="BW514" s="33"/>
      <c r="BX514" s="33"/>
      <c r="BY514" s="33"/>
      <c r="BZ514" s="33"/>
      <c r="CA514" s="33"/>
      <c r="CB514" s="33"/>
      <c r="CC514" s="33"/>
      <c r="CD514" s="33"/>
      <c r="CE514" s="33"/>
      <c r="CF514" s="33"/>
      <c r="CG514" s="33"/>
      <c r="CH514" s="33"/>
      <c r="CI514" s="33"/>
      <c r="CJ514" s="33"/>
      <c r="CK514" s="33"/>
      <c r="CL514" s="33"/>
      <c r="CM514" s="33"/>
      <c r="CN514" s="33"/>
      <c r="CO514" s="33">
        <v>5.0339999999999998</v>
      </c>
      <c r="CP514" s="33">
        <v>15.537333333333331</v>
      </c>
      <c r="CQ514" s="33"/>
      <c r="CR514" s="33">
        <v>0.26533333333333337</v>
      </c>
      <c r="CS514" s="33">
        <v>0.33800000000000002</v>
      </c>
      <c r="CT514" s="33"/>
      <c r="CU514" s="33">
        <v>5.2046666666666672</v>
      </c>
      <c r="CV514" s="33">
        <v>3.5169999999999999</v>
      </c>
      <c r="CW514" s="33"/>
      <c r="CX514" s="33">
        <v>1808.7576666666666</v>
      </c>
      <c r="CY514" s="33">
        <v>39.724666666666664</v>
      </c>
      <c r="CZ514" s="33"/>
      <c r="DA514" s="33">
        <v>0.63633333333333331</v>
      </c>
      <c r="DB514" s="33"/>
      <c r="DC514" s="33"/>
      <c r="DD514" s="33"/>
      <c r="DE514" s="33"/>
      <c r="DF514" s="33"/>
      <c r="DG514" s="33"/>
      <c r="DH514" s="33"/>
      <c r="DI514" s="33"/>
      <c r="DJ514" s="33"/>
      <c r="DK514" s="33"/>
      <c r="DL514" s="33"/>
      <c r="DM514" s="33"/>
      <c r="DN514" s="33"/>
      <c r="DO514" s="33"/>
      <c r="DP514" s="33"/>
      <c r="DQ514" s="33" t="s">
        <v>15</v>
      </c>
      <c r="DR514" s="33"/>
      <c r="DS514" s="33" t="s">
        <v>15</v>
      </c>
      <c r="DT514" s="33" t="s">
        <v>15</v>
      </c>
      <c r="DU514" s="33"/>
      <c r="DV514" s="33"/>
      <c r="DW514" s="33"/>
      <c r="DX514" s="33"/>
      <c r="DY514" s="33" t="s">
        <v>15</v>
      </c>
      <c r="DZ514" s="33"/>
      <c r="EA514" s="33"/>
      <c r="EB514" s="33"/>
      <c r="EC514" s="33"/>
      <c r="ED514" s="33" t="s">
        <v>15</v>
      </c>
      <c r="EE514" s="33"/>
      <c r="EF514" s="33"/>
      <c r="EG514" s="33"/>
      <c r="EH514" s="33"/>
      <c r="EI514" s="33"/>
      <c r="EJ514" s="33"/>
      <c r="EK514" s="33"/>
      <c r="EL514" s="33"/>
      <c r="EM514" s="33"/>
      <c r="EN514" s="33"/>
      <c r="EO514" s="33"/>
      <c r="EP514" s="33"/>
      <c r="EQ514" s="33"/>
      <c r="ER514" s="33"/>
      <c r="ES514" s="33"/>
      <c r="ET514" s="33"/>
      <c r="EU514" s="33"/>
      <c r="EV514" s="33"/>
      <c r="EW514" s="33"/>
      <c r="EX514" s="33"/>
      <c r="EY514" s="33"/>
      <c r="EZ514" s="33"/>
      <c r="FA514" s="33"/>
      <c r="FB514" s="33"/>
      <c r="FC514" s="33"/>
      <c r="FD514" s="33"/>
      <c r="FE514" s="33"/>
      <c r="FF514" s="33"/>
      <c r="FG514" s="33"/>
      <c r="FH514" s="33"/>
      <c r="FI514" s="33"/>
      <c r="FJ514" s="33"/>
      <c r="FK514" s="33"/>
      <c r="FL514" s="33"/>
      <c r="FM514" s="33"/>
      <c r="FN514" s="33"/>
      <c r="FO514" s="33"/>
      <c r="FP514" s="33"/>
      <c r="FQ514" s="33"/>
      <c r="FR514" s="33"/>
      <c r="FS514" s="33"/>
      <c r="FT514" s="33"/>
      <c r="FU514" s="33"/>
      <c r="FV514" s="33"/>
      <c r="FW514" s="33"/>
      <c r="FX514" s="33"/>
      <c r="FY514" s="33"/>
      <c r="FZ514" s="33"/>
      <c r="GA514" s="33"/>
      <c r="GB514" s="33"/>
      <c r="GC514" s="33"/>
      <c r="GD514" s="33"/>
      <c r="GE514" s="33"/>
      <c r="GF514" s="33"/>
      <c r="GG514" s="33"/>
      <c r="GH514" s="33"/>
      <c r="GI514" s="33"/>
      <c r="GJ514" s="33"/>
      <c r="GK514" s="33"/>
      <c r="GL514" s="33"/>
      <c r="GM514" s="33"/>
      <c r="GN514" s="33"/>
      <c r="GO514" s="33"/>
      <c r="GP514" s="33"/>
      <c r="GQ514" s="33"/>
      <c r="GR514" s="33"/>
      <c r="GS514" s="33"/>
      <c r="GT514" s="33"/>
      <c r="GU514" s="33"/>
      <c r="GV514" s="33"/>
      <c r="GW514" s="33"/>
      <c r="GX514" s="33"/>
      <c r="GY514" s="33"/>
      <c r="GZ514" s="33"/>
      <c r="HA514" s="33"/>
      <c r="HB514" s="33"/>
      <c r="HC514" s="33"/>
      <c r="HD514" s="33"/>
      <c r="HE514" s="33"/>
      <c r="HF514" s="33"/>
      <c r="HG514" s="33"/>
      <c r="HH514" s="33"/>
      <c r="HI514" s="33"/>
      <c r="HJ514" s="33"/>
      <c r="HK514" s="33"/>
      <c r="HL514" s="33"/>
      <c r="HM514" s="33"/>
      <c r="HN514" s="33"/>
      <c r="HO514" s="33"/>
      <c r="HP514" s="33"/>
      <c r="HQ514" s="33"/>
      <c r="HR514" s="33"/>
      <c r="HS514" s="33"/>
      <c r="HT514" s="33"/>
      <c r="HU514" s="33"/>
      <c r="HV514" s="33"/>
      <c r="HW514" s="33"/>
      <c r="HX514" s="33"/>
      <c r="HY514" s="33"/>
      <c r="HZ514" s="33"/>
      <c r="IA514" s="33"/>
      <c r="IB514" s="33"/>
      <c r="IC514" s="33"/>
      <c r="ID514" s="33"/>
      <c r="IE514" s="33"/>
      <c r="IF514" s="33"/>
      <c r="IG514" s="33"/>
      <c r="IH514" s="33"/>
      <c r="II514" s="33"/>
      <c r="IJ514" s="33"/>
      <c r="IK514" s="33"/>
      <c r="IL514" s="33"/>
      <c r="IM514" s="33"/>
      <c r="IN514" s="33"/>
      <c r="IO514" s="33"/>
      <c r="IP514" s="33"/>
      <c r="IQ514" s="33"/>
      <c r="IR514" s="33"/>
      <c r="IS514" s="33"/>
      <c r="IT514" s="33"/>
      <c r="IU514" s="33"/>
      <c r="IV514" s="33"/>
      <c r="IW514" s="33"/>
      <c r="IX514" s="33"/>
      <c r="IY514" s="33"/>
      <c r="IZ514" s="33"/>
      <c r="JA514" s="33"/>
      <c r="JB514" s="33"/>
      <c r="JC514" s="33"/>
      <c r="JD514" s="33"/>
      <c r="JE514" s="33"/>
      <c r="JF514" s="33"/>
      <c r="JG514" s="33"/>
      <c r="JH514" s="33"/>
      <c r="JI514" s="33"/>
      <c r="JJ514" s="33"/>
      <c r="JK514" s="33"/>
      <c r="JL514" s="33"/>
      <c r="JM514" s="33"/>
      <c r="JN514" s="33"/>
      <c r="JO514" s="33"/>
      <c r="JP514" s="33"/>
      <c r="JQ514" s="33"/>
      <c r="JR514" s="33"/>
      <c r="KZ514" s="33"/>
      <c r="LA514" s="33"/>
      <c r="LB514" s="33"/>
      <c r="LC514" s="33"/>
      <c r="LD514" s="33"/>
      <c r="LE514" s="33"/>
      <c r="LF514" s="33"/>
      <c r="LG514" s="33"/>
      <c r="LH514" s="33"/>
      <c r="LI514" s="33"/>
      <c r="LJ514" s="33"/>
      <c r="LK514" s="33"/>
      <c r="LL514" s="33"/>
      <c r="LM514" s="33"/>
      <c r="LN514" s="33"/>
      <c r="LO514" s="33"/>
      <c r="LP514" s="44"/>
      <c r="LQ514" s="44"/>
      <c r="LR514" s="44"/>
      <c r="LS514" s="44"/>
      <c r="LT514" s="44"/>
      <c r="LU514" s="44"/>
      <c r="LV514" s="44"/>
    </row>
    <row r="515" spans="1:334" x14ac:dyDescent="0.2">
      <c r="LP515" s="44"/>
      <c r="LQ515" s="44"/>
      <c r="LR515" s="44"/>
      <c r="LS515" s="44"/>
      <c r="LT515" s="44"/>
      <c r="LU515" s="44"/>
      <c r="LV515" s="44"/>
    </row>
    <row r="516" spans="1:334" x14ac:dyDescent="0.2">
      <c r="LP516" s="44"/>
      <c r="LQ516" s="44"/>
      <c r="LR516" s="44"/>
      <c r="LS516" s="44"/>
      <c r="LT516" s="44"/>
      <c r="LU516" s="44"/>
      <c r="LV516" s="44"/>
    </row>
    <row r="517" spans="1:334" x14ac:dyDescent="0.2">
      <c r="LP517" s="44"/>
      <c r="LQ517" s="44"/>
      <c r="LR517" s="44"/>
      <c r="LS517" s="44"/>
      <c r="LT517" s="44"/>
      <c r="LU517" s="44"/>
      <c r="LV517" s="44"/>
    </row>
    <row r="518" spans="1:334" x14ac:dyDescent="0.2">
      <c r="LP518" s="44"/>
      <c r="LQ518" s="44"/>
      <c r="LR518" s="44"/>
      <c r="LS518" s="44"/>
      <c r="LT518" s="44"/>
      <c r="LU518" s="44"/>
      <c r="LV518" s="44"/>
    </row>
    <row r="519" spans="1:334" x14ac:dyDescent="0.2">
      <c r="LP519" s="44"/>
      <c r="LQ519" s="44"/>
      <c r="LR519" s="44"/>
      <c r="LS519" s="44"/>
      <c r="LT519" s="44"/>
      <c r="LU519" s="44"/>
      <c r="LV519" s="44"/>
    </row>
    <row r="520" spans="1:334" x14ac:dyDescent="0.2">
      <c r="LP520" s="44"/>
      <c r="LQ520" s="44"/>
      <c r="LR520" s="44"/>
      <c r="LS520" s="44"/>
      <c r="LT520" s="44"/>
      <c r="LU520" s="44"/>
      <c r="LV520" s="44"/>
    </row>
    <row r="521" spans="1:334" x14ac:dyDescent="0.2">
      <c r="LP521" s="44"/>
      <c r="LQ521" s="44"/>
      <c r="LR521" s="44"/>
      <c r="LS521" s="44"/>
      <c r="LT521" s="44"/>
      <c r="LU521" s="44"/>
      <c r="LV521" s="44"/>
    </row>
    <row r="522" spans="1:334" x14ac:dyDescent="0.2">
      <c r="LP522" s="44"/>
      <c r="LQ522" s="44"/>
      <c r="LR522" s="44"/>
      <c r="LS522" s="44"/>
      <c r="LT522" s="44"/>
      <c r="LU522" s="44"/>
      <c r="LV522" s="44"/>
    </row>
    <row r="523" spans="1:334" x14ac:dyDescent="0.2">
      <c r="LP523" s="44"/>
      <c r="LQ523" s="44"/>
      <c r="LR523" s="44"/>
      <c r="LS523" s="44"/>
      <c r="LT523" s="44"/>
      <c r="LU523" s="44"/>
      <c r="LV523" s="44"/>
    </row>
    <row r="524" spans="1:334" x14ac:dyDescent="0.2">
      <c r="LP524" s="44"/>
      <c r="LQ524" s="44"/>
      <c r="LR524" s="44"/>
      <c r="LS524" s="44"/>
      <c r="LT524" s="44"/>
      <c r="LU524" s="44"/>
      <c r="LV524" s="44"/>
    </row>
    <row r="525" spans="1:334" x14ac:dyDescent="0.2">
      <c r="LP525" s="44"/>
      <c r="LQ525" s="44"/>
      <c r="LR525" s="44"/>
      <c r="LS525" s="44"/>
      <c r="LT525" s="44"/>
      <c r="LU525" s="44"/>
      <c r="LV525" s="44"/>
    </row>
    <row r="526" spans="1:334" x14ac:dyDescent="0.2">
      <c r="LP526" s="44"/>
      <c r="LQ526" s="44"/>
      <c r="LR526" s="44"/>
      <c r="LS526" s="44"/>
      <c r="LT526" s="44"/>
      <c r="LU526" s="44"/>
      <c r="LV526" s="44"/>
    </row>
    <row r="527" spans="1:334" x14ac:dyDescent="0.2">
      <c r="LP527" s="44"/>
      <c r="LQ527" s="44"/>
      <c r="LR527" s="44"/>
      <c r="LS527" s="44"/>
      <c r="LT527" s="44"/>
      <c r="LU527" s="44"/>
      <c r="LV527" s="44"/>
    </row>
    <row r="528" spans="1:334" x14ac:dyDescent="0.2">
      <c r="LP528" s="44"/>
      <c r="LQ528" s="44"/>
      <c r="LR528" s="44"/>
      <c r="LS528" s="44"/>
      <c r="LT528" s="44"/>
      <c r="LU528" s="44"/>
      <c r="LV528" s="44"/>
    </row>
    <row r="529" spans="328:334" x14ac:dyDescent="0.2">
      <c r="LP529" s="44"/>
      <c r="LQ529" s="44"/>
      <c r="LR529" s="44"/>
      <c r="LS529" s="44"/>
      <c r="LT529" s="44"/>
      <c r="LU529" s="44"/>
      <c r="LV529" s="44"/>
    </row>
    <row r="530" spans="328:334" x14ac:dyDescent="0.2">
      <c r="LP530" s="44"/>
      <c r="LQ530" s="44"/>
      <c r="LR530" s="44"/>
      <c r="LS530" s="44"/>
      <c r="LT530" s="44"/>
      <c r="LU530" s="44"/>
      <c r="LV530" s="44"/>
    </row>
    <row r="531" spans="328:334" x14ac:dyDescent="0.2">
      <c r="LP531" s="44"/>
      <c r="LQ531" s="44"/>
      <c r="LR531" s="44"/>
      <c r="LS531" s="44"/>
      <c r="LT531" s="44"/>
      <c r="LU531" s="44"/>
      <c r="LV531" s="44"/>
    </row>
    <row r="532" spans="328:334" x14ac:dyDescent="0.2">
      <c r="LP532" s="44"/>
      <c r="LQ532" s="44"/>
      <c r="LR532" s="44"/>
      <c r="LS532" s="44"/>
      <c r="LT532" s="44"/>
      <c r="LU532" s="44"/>
      <c r="LV532" s="44"/>
    </row>
    <row r="533" spans="328:334" x14ac:dyDescent="0.2">
      <c r="LP533" s="44"/>
      <c r="LQ533" s="44"/>
      <c r="LR533" s="44"/>
      <c r="LS533" s="44"/>
      <c r="LT533" s="44"/>
      <c r="LU533" s="44"/>
      <c r="LV533" s="44"/>
    </row>
    <row r="534" spans="328:334" x14ac:dyDescent="0.2">
      <c r="LP534" s="44"/>
      <c r="LQ534" s="44"/>
      <c r="LR534" s="44"/>
      <c r="LS534" s="44"/>
      <c r="LT534" s="44"/>
      <c r="LU534" s="44"/>
      <c r="LV534" s="44"/>
    </row>
    <row r="535" spans="328:334" x14ac:dyDescent="0.2">
      <c r="LP535" s="44"/>
      <c r="LQ535" s="44"/>
      <c r="LR535" s="44"/>
      <c r="LS535" s="44"/>
      <c r="LT535" s="44"/>
      <c r="LU535" s="44"/>
      <c r="LV535" s="44"/>
    </row>
    <row r="536" spans="328:334" x14ac:dyDescent="0.2">
      <c r="LP536" s="44"/>
      <c r="LQ536" s="44"/>
      <c r="LR536" s="44"/>
      <c r="LS536" s="44"/>
      <c r="LT536" s="44"/>
      <c r="LU536" s="44"/>
      <c r="LV536" s="44"/>
    </row>
    <row r="537" spans="328:334" x14ac:dyDescent="0.2">
      <c r="LP537" s="44"/>
      <c r="LQ537" s="44"/>
      <c r="LR537" s="44"/>
      <c r="LS537" s="44"/>
      <c r="LT537" s="44"/>
      <c r="LU537" s="44"/>
      <c r="LV537" s="44"/>
    </row>
    <row r="538" spans="328:334" x14ac:dyDescent="0.2">
      <c r="LP538" s="44"/>
      <c r="LQ538" s="44"/>
      <c r="LR538" s="44"/>
      <c r="LS538" s="44"/>
      <c r="LT538" s="44"/>
      <c r="LU538" s="44"/>
      <c r="LV538" s="44"/>
    </row>
    <row r="539" spans="328:334" x14ac:dyDescent="0.2">
      <c r="LP539" s="44"/>
      <c r="LQ539" s="44"/>
      <c r="LR539" s="44"/>
      <c r="LS539" s="44"/>
      <c r="LT539" s="44"/>
      <c r="LU539" s="44"/>
      <c r="LV539" s="44"/>
    </row>
    <row r="540" spans="328:334" x14ac:dyDescent="0.2">
      <c r="LP540" s="44"/>
      <c r="LQ540" s="44"/>
      <c r="LR540" s="44"/>
      <c r="LS540" s="44"/>
      <c r="LT540" s="44"/>
      <c r="LU540" s="44"/>
      <c r="LV540" s="44"/>
    </row>
    <row r="541" spans="328:334" x14ac:dyDescent="0.2">
      <c r="LP541" s="44"/>
      <c r="LQ541" s="44"/>
      <c r="LR541" s="44"/>
      <c r="LS541" s="44"/>
      <c r="LT541" s="44"/>
      <c r="LU541" s="44"/>
      <c r="LV541" s="44"/>
    </row>
    <row r="542" spans="328:334" x14ac:dyDescent="0.2">
      <c r="LP542" s="44"/>
      <c r="LQ542" s="44"/>
      <c r="LR542" s="44"/>
      <c r="LS542" s="44"/>
      <c r="LT542" s="44"/>
      <c r="LU542" s="44"/>
      <c r="LV542" s="44"/>
    </row>
    <row r="543" spans="328:334" x14ac:dyDescent="0.2">
      <c r="LP543" s="44"/>
      <c r="LQ543" s="44"/>
      <c r="LR543" s="44"/>
      <c r="LS543" s="44"/>
      <c r="LT543" s="44"/>
      <c r="LU543" s="44"/>
      <c r="LV543" s="44"/>
    </row>
    <row r="544" spans="328:334" x14ac:dyDescent="0.2">
      <c r="LP544" s="44"/>
      <c r="LQ544" s="44"/>
      <c r="LR544" s="44"/>
      <c r="LS544" s="44"/>
      <c r="LT544" s="44"/>
      <c r="LU544" s="44"/>
      <c r="LV544" s="44"/>
    </row>
    <row r="545" spans="328:334" x14ac:dyDescent="0.2">
      <c r="LP545" s="44"/>
      <c r="LQ545" s="44"/>
      <c r="LR545" s="44"/>
      <c r="LS545" s="44"/>
      <c r="LT545" s="44"/>
      <c r="LU545" s="44"/>
      <c r="LV545" s="44"/>
    </row>
    <row r="546" spans="328:334" x14ac:dyDescent="0.2">
      <c r="LP546" s="44"/>
      <c r="LQ546" s="44"/>
      <c r="LR546" s="44"/>
      <c r="LS546" s="44"/>
      <c r="LT546" s="44"/>
      <c r="LU546" s="44"/>
      <c r="LV546" s="44"/>
    </row>
    <row r="547" spans="328:334" x14ac:dyDescent="0.2">
      <c r="LP547" s="44"/>
      <c r="LQ547" s="44"/>
      <c r="LR547" s="44"/>
      <c r="LS547" s="44"/>
      <c r="LT547" s="44"/>
      <c r="LU547" s="44"/>
      <c r="LV547" s="44"/>
    </row>
    <row r="548" spans="328:334" x14ac:dyDescent="0.2">
      <c r="LP548" s="44"/>
      <c r="LQ548" s="44"/>
      <c r="LR548" s="44"/>
      <c r="LS548" s="44"/>
      <c r="LT548" s="44"/>
      <c r="LU548" s="44"/>
      <c r="LV548" s="44"/>
    </row>
    <row r="549" spans="328:334" x14ac:dyDescent="0.2">
      <c r="LP549" s="44"/>
      <c r="LQ549" s="44"/>
      <c r="LR549" s="44"/>
      <c r="LS549" s="44"/>
      <c r="LT549" s="44"/>
      <c r="LU549" s="44"/>
      <c r="LV549" s="44"/>
    </row>
    <row r="550" spans="328:334" x14ac:dyDescent="0.2">
      <c r="LP550" s="44"/>
      <c r="LQ550" s="44"/>
      <c r="LR550" s="44"/>
      <c r="LS550" s="44"/>
      <c r="LT550" s="44"/>
      <c r="LU550" s="44"/>
      <c r="LV550" s="44"/>
    </row>
    <row r="551" spans="328:334" x14ac:dyDescent="0.2">
      <c r="LP551" s="44"/>
      <c r="LQ551" s="44"/>
      <c r="LR551" s="44"/>
      <c r="LS551" s="44"/>
      <c r="LT551" s="44"/>
      <c r="LU551" s="44"/>
      <c r="LV551" s="44"/>
    </row>
    <row r="552" spans="328:334" x14ac:dyDescent="0.2">
      <c r="LP552" s="44"/>
      <c r="LQ552" s="44"/>
      <c r="LR552" s="44"/>
      <c r="LS552" s="44"/>
      <c r="LT552" s="44"/>
      <c r="LU552" s="44"/>
      <c r="LV552" s="44"/>
    </row>
    <row r="553" spans="328:334" x14ac:dyDescent="0.2">
      <c r="LP553" s="44"/>
      <c r="LQ553" s="44"/>
      <c r="LR553" s="44"/>
      <c r="LS553" s="44"/>
      <c r="LT553" s="44"/>
      <c r="LU553" s="44"/>
      <c r="LV553" s="44"/>
    </row>
    <row r="554" spans="328:334" x14ac:dyDescent="0.2">
      <c r="LP554" s="44"/>
      <c r="LQ554" s="44"/>
      <c r="LR554" s="44"/>
      <c r="LS554" s="44"/>
      <c r="LT554" s="44"/>
      <c r="LU554" s="44"/>
      <c r="LV554" s="44"/>
    </row>
    <row r="555" spans="328:334" x14ac:dyDescent="0.2">
      <c r="LP555" s="44"/>
      <c r="LQ555" s="44"/>
      <c r="LR555" s="44"/>
      <c r="LS555" s="44"/>
      <c r="LT555" s="44"/>
      <c r="LU555" s="44"/>
      <c r="LV555" s="44"/>
    </row>
    <row r="556" spans="328:334" x14ac:dyDescent="0.2">
      <c r="LP556" s="44"/>
      <c r="LQ556" s="44"/>
      <c r="LR556" s="44"/>
      <c r="LS556" s="44"/>
      <c r="LT556" s="44"/>
      <c r="LU556" s="44"/>
      <c r="LV556" s="44"/>
    </row>
    <row r="557" spans="328:334" x14ac:dyDescent="0.2">
      <c r="LP557" s="44"/>
      <c r="LQ557" s="44"/>
      <c r="LR557" s="44"/>
      <c r="LS557" s="44"/>
      <c r="LT557" s="44"/>
      <c r="LU557" s="44"/>
      <c r="LV557" s="44"/>
    </row>
    <row r="558" spans="328:334" x14ac:dyDescent="0.2">
      <c r="LP558" s="44"/>
      <c r="LQ558" s="44"/>
      <c r="LR558" s="44"/>
      <c r="LS558" s="44"/>
      <c r="LT558" s="44"/>
      <c r="LU558" s="44"/>
      <c r="LV558" s="4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U5"/>
  <sheetViews>
    <sheetView zoomScale="130" zoomScaleNormal="130" zoomScalePageLayoutView="130" workbookViewId="0">
      <pane ySplit="3" topLeftCell="A4" activePane="bottomLeft" state="frozen"/>
      <selection pane="bottomLeft" activeCell="CA5" sqref="CA5"/>
    </sheetView>
  </sheetViews>
  <sheetFormatPr baseColWidth="10" defaultColWidth="11.5" defaultRowHeight="14" x14ac:dyDescent="0.2"/>
  <cols>
    <col min="1" max="16384" width="11.5" style="1"/>
  </cols>
  <sheetData>
    <row r="1" spans="1:229" ht="58.5" customHeight="1" x14ac:dyDescent="0.2">
      <c r="A1" s="4" t="s">
        <v>64</v>
      </c>
      <c r="B1" s="4" t="s">
        <v>65</v>
      </c>
      <c r="C1" s="4" t="s">
        <v>66</v>
      </c>
      <c r="D1" s="4" t="s">
        <v>67</v>
      </c>
      <c r="E1" s="4" t="s">
        <v>6</v>
      </c>
      <c r="F1" s="4" t="s">
        <v>239</v>
      </c>
      <c r="G1" s="4" t="s">
        <v>68</v>
      </c>
      <c r="H1" s="4" t="s">
        <v>69</v>
      </c>
      <c r="I1" s="4" t="s">
        <v>13</v>
      </c>
      <c r="J1" s="4" t="s">
        <v>70</v>
      </c>
      <c r="K1" s="4" t="s">
        <v>71</v>
      </c>
      <c r="L1" s="4" t="s">
        <v>240</v>
      </c>
      <c r="M1" s="4" t="s">
        <v>19</v>
      </c>
      <c r="N1" s="4" t="s">
        <v>72</v>
      </c>
      <c r="O1" s="2" t="s">
        <v>73</v>
      </c>
      <c r="P1" s="2" t="s">
        <v>74</v>
      </c>
      <c r="Q1" s="2" t="s">
        <v>1070</v>
      </c>
      <c r="R1" s="2" t="s">
        <v>6193</v>
      </c>
      <c r="S1" s="2" t="s">
        <v>246</v>
      </c>
      <c r="T1" s="2" t="s">
        <v>1072</v>
      </c>
      <c r="U1" s="2" t="s">
        <v>76</v>
      </c>
      <c r="V1" s="2" t="s">
        <v>77</v>
      </c>
      <c r="W1" s="2" t="s">
        <v>79</v>
      </c>
      <c r="X1" s="2" t="s">
        <v>6194</v>
      </c>
      <c r="Y1" s="2" t="s">
        <v>6195</v>
      </c>
      <c r="Z1" s="2" t="s">
        <v>247</v>
      </c>
      <c r="AA1" s="2" t="s">
        <v>6196</v>
      </c>
      <c r="AB1" s="2" t="s">
        <v>6197</v>
      </c>
      <c r="AC1" s="2" t="s">
        <v>81</v>
      </c>
      <c r="AD1" s="2" t="s">
        <v>248</v>
      </c>
      <c r="AE1" s="2" t="s">
        <v>6198</v>
      </c>
      <c r="AF1" s="2" t="s">
        <v>6199</v>
      </c>
      <c r="AG1" s="2" t="s">
        <v>6200</v>
      </c>
      <c r="AH1" s="2" t="s">
        <v>6201</v>
      </c>
      <c r="AI1" s="2" t="s">
        <v>6202</v>
      </c>
      <c r="AJ1" s="2" t="s">
        <v>82</v>
      </c>
      <c r="AK1" s="2" t="s">
        <v>83</v>
      </c>
      <c r="AL1" s="2" t="s">
        <v>6203</v>
      </c>
      <c r="AM1" s="2" t="s">
        <v>6204</v>
      </c>
      <c r="AN1" s="2" t="s">
        <v>6205</v>
      </c>
      <c r="AO1" s="2" t="s">
        <v>6206</v>
      </c>
      <c r="AP1" s="2" t="s">
        <v>84</v>
      </c>
      <c r="AQ1" s="2" t="s">
        <v>85</v>
      </c>
      <c r="AR1" s="2" t="s">
        <v>1081</v>
      </c>
      <c r="AS1" s="2" t="s">
        <v>1082</v>
      </c>
      <c r="AT1" s="2" t="s">
        <v>86</v>
      </c>
      <c r="AU1" s="2" t="s">
        <v>87</v>
      </c>
      <c r="AV1" s="2" t="s">
        <v>88</v>
      </c>
      <c r="AW1" s="2" t="s">
        <v>89</v>
      </c>
      <c r="AX1" s="2" t="s">
        <v>251</v>
      </c>
      <c r="AY1" s="2" t="s">
        <v>90</v>
      </c>
      <c r="AZ1" s="2" t="s">
        <v>1086</v>
      </c>
      <c r="BA1" s="2" t="s">
        <v>91</v>
      </c>
      <c r="BB1" s="2" t="s">
        <v>1087</v>
      </c>
      <c r="BC1" s="2" t="s">
        <v>1088</v>
      </c>
      <c r="BD1" s="2" t="s">
        <v>92</v>
      </c>
      <c r="BE1" s="2" t="s">
        <v>252</v>
      </c>
      <c r="BF1" s="2" t="s">
        <v>6207</v>
      </c>
      <c r="BG1" s="2" t="s">
        <v>6208</v>
      </c>
      <c r="BH1" s="2" t="s">
        <v>254</v>
      </c>
      <c r="BI1" s="2" t="s">
        <v>253</v>
      </c>
      <c r="BJ1" s="2" t="s">
        <v>1097</v>
      </c>
      <c r="BK1" s="2" t="s">
        <v>6209</v>
      </c>
      <c r="BL1" s="2" t="s">
        <v>255</v>
      </c>
      <c r="BM1" s="2" t="s">
        <v>6210</v>
      </c>
      <c r="BN1" s="2" t="s">
        <v>1101</v>
      </c>
      <c r="BO1" s="2" t="s">
        <v>256</v>
      </c>
      <c r="BP1" s="2" t="s">
        <v>6211</v>
      </c>
      <c r="BQ1" s="2" t="s">
        <v>7158</v>
      </c>
      <c r="BR1" s="2" t="s">
        <v>6213</v>
      </c>
      <c r="BS1" s="2" t="s">
        <v>258</v>
      </c>
      <c r="BT1" s="2" t="s">
        <v>6214</v>
      </c>
      <c r="BU1" s="2" t="s">
        <v>259</v>
      </c>
      <c r="BV1" s="2" t="s">
        <v>260</v>
      </c>
      <c r="BW1" s="2" t="s">
        <v>6215</v>
      </c>
      <c r="BX1" s="2" t="s">
        <v>6216</v>
      </c>
      <c r="BY1" s="2" t="s">
        <v>6217</v>
      </c>
      <c r="BZ1" s="2" t="s">
        <v>6218</v>
      </c>
      <c r="CA1" s="2" t="s">
        <v>93</v>
      </c>
      <c r="CB1" s="2" t="s">
        <v>94</v>
      </c>
      <c r="CC1" s="46" t="s">
        <v>6832</v>
      </c>
      <c r="CD1" s="8" t="s">
        <v>1106</v>
      </c>
      <c r="CE1" s="46" t="s">
        <v>6247</v>
      </c>
      <c r="CF1" s="2" t="s">
        <v>95</v>
      </c>
      <c r="CG1" s="2" t="s">
        <v>1112</v>
      </c>
      <c r="CH1" s="2" t="s">
        <v>262</v>
      </c>
      <c r="CI1" s="2" t="s">
        <v>263</v>
      </c>
      <c r="CJ1" s="2" t="s">
        <v>264</v>
      </c>
      <c r="CK1" s="2" t="s">
        <v>96</v>
      </c>
      <c r="CL1" s="2" t="s">
        <v>97</v>
      </c>
      <c r="CM1" s="2" t="s">
        <v>1114</v>
      </c>
      <c r="CN1" s="2" t="s">
        <v>133</v>
      </c>
      <c r="CO1" s="2" t="s">
        <v>134</v>
      </c>
      <c r="CP1" s="2" t="s">
        <v>135</v>
      </c>
      <c r="CQ1" s="2" t="s">
        <v>267</v>
      </c>
      <c r="CR1" s="2" t="s">
        <v>136</v>
      </c>
      <c r="CS1" s="2" t="s">
        <v>1118</v>
      </c>
      <c r="CT1" s="2" t="s">
        <v>137</v>
      </c>
      <c r="CU1" s="2" t="s">
        <v>138</v>
      </c>
      <c r="CV1" s="2" t="s">
        <v>139</v>
      </c>
      <c r="CW1" s="2" t="s">
        <v>140</v>
      </c>
      <c r="CX1" s="2" t="s">
        <v>141</v>
      </c>
      <c r="CY1" s="2" t="s">
        <v>142</v>
      </c>
      <c r="CZ1" s="2" t="s">
        <v>143</v>
      </c>
      <c r="DA1" s="2" t="s">
        <v>144</v>
      </c>
      <c r="DB1" s="2" t="s">
        <v>145</v>
      </c>
      <c r="DC1" s="2" t="s">
        <v>146</v>
      </c>
      <c r="DD1" s="2" t="s">
        <v>147</v>
      </c>
      <c r="DE1" s="2" t="s">
        <v>148</v>
      </c>
      <c r="DF1" s="2" t="s">
        <v>149</v>
      </c>
      <c r="DG1" s="2" t="s">
        <v>150</v>
      </c>
      <c r="DH1" s="2" t="s">
        <v>6219</v>
      </c>
      <c r="DI1" s="2" t="s">
        <v>6220</v>
      </c>
      <c r="DJ1" s="2" t="s">
        <v>269</v>
      </c>
      <c r="DK1" s="2" t="s">
        <v>268</v>
      </c>
      <c r="DL1" s="2" t="s">
        <v>6221</v>
      </c>
      <c r="DM1" s="2" t="s">
        <v>6222</v>
      </c>
      <c r="DN1" s="2" t="s">
        <v>6223</v>
      </c>
      <c r="DO1" s="2" t="s">
        <v>6224</v>
      </c>
      <c r="DP1" s="2" t="s">
        <v>6225</v>
      </c>
      <c r="DQ1" s="2" t="s">
        <v>6226</v>
      </c>
      <c r="DR1" s="2" t="s">
        <v>6227</v>
      </c>
      <c r="DS1" s="2" t="s">
        <v>6228</v>
      </c>
      <c r="DT1" s="2" t="s">
        <v>6229</v>
      </c>
      <c r="DU1" s="2" t="s">
        <v>6230</v>
      </c>
      <c r="DV1" s="2" t="s">
        <v>6231</v>
      </c>
      <c r="DW1" s="2" t="s">
        <v>6232</v>
      </c>
      <c r="DX1" s="2" t="s">
        <v>6233</v>
      </c>
      <c r="DY1" s="2" t="s">
        <v>6234</v>
      </c>
      <c r="DZ1" s="2" t="s">
        <v>6235</v>
      </c>
      <c r="EA1" s="2" t="s">
        <v>6236</v>
      </c>
      <c r="EB1" s="2" t="s">
        <v>6237</v>
      </c>
      <c r="EC1" s="2" t="s">
        <v>272</v>
      </c>
      <c r="ED1" s="2" t="s">
        <v>6238</v>
      </c>
      <c r="EE1" s="2" t="s">
        <v>6239</v>
      </c>
      <c r="EF1" s="2" t="s">
        <v>6240</v>
      </c>
      <c r="EG1" s="2" t="s">
        <v>6241</v>
      </c>
      <c r="EH1" s="2" t="s">
        <v>7418</v>
      </c>
      <c r="EI1" s="2" t="s">
        <v>7421</v>
      </c>
      <c r="EJ1" s="2" t="s">
        <v>6242</v>
      </c>
      <c r="EK1" s="2" t="s">
        <v>257</v>
      </c>
      <c r="EL1" s="2" t="s">
        <v>6243</v>
      </c>
      <c r="EM1" s="2" t="s">
        <v>6244</v>
      </c>
      <c r="EN1" s="2" t="s">
        <v>6245</v>
      </c>
      <c r="EO1" s="2" t="s">
        <v>6246</v>
      </c>
      <c r="EP1" s="2" t="s">
        <v>6247</v>
      </c>
      <c r="EQ1" s="2"/>
      <c r="ER1" s="2"/>
      <c r="ES1" s="2"/>
    </row>
    <row r="2" spans="1:229" ht="58.5" customHeight="1" x14ac:dyDescent="0.2">
      <c r="A2" s="5"/>
      <c r="B2" s="5" t="s">
        <v>152</v>
      </c>
      <c r="C2" s="5"/>
      <c r="D2" s="5"/>
      <c r="E2" s="5" t="s">
        <v>153</v>
      </c>
      <c r="F2" s="5"/>
      <c r="G2" s="5" t="s">
        <v>154</v>
      </c>
      <c r="H2" s="5" t="s">
        <v>155</v>
      </c>
      <c r="I2" s="5" t="s">
        <v>14</v>
      </c>
      <c r="J2" s="5"/>
      <c r="K2" s="5"/>
      <c r="L2" s="5"/>
      <c r="M2" s="5"/>
      <c r="N2" s="5"/>
      <c r="BH2" s="30" t="s">
        <v>7051</v>
      </c>
      <c r="BI2" s="30" t="s">
        <v>7050</v>
      </c>
      <c r="CC2" s="45" t="s">
        <v>6833</v>
      </c>
      <c r="CD2" s="30" t="s">
        <v>6834</v>
      </c>
      <c r="CE2" s="45" t="s">
        <v>9748</v>
      </c>
    </row>
    <row r="3" spans="1:229" s="29" customFormat="1" ht="58.5" hidden="1" customHeight="1" x14ac:dyDescent="0.15">
      <c r="O3" s="29" t="str">
        <f>IF(COUNTA(O4:O65536)=0,"","04")</f>
        <v>04</v>
      </c>
      <c r="P3" s="29" t="str">
        <f t="shared" ref="P3:CA3" si="0">IF(COUNTA(P4:P65536)=0,"","04")</f>
        <v/>
      </c>
      <c r="Q3" s="29" t="str">
        <f t="shared" si="0"/>
        <v/>
      </c>
      <c r="R3" s="29" t="str">
        <f t="shared" si="0"/>
        <v/>
      </c>
      <c r="S3" s="29" t="str">
        <f t="shared" si="0"/>
        <v/>
      </c>
      <c r="T3" s="29" t="str">
        <f t="shared" si="0"/>
        <v/>
      </c>
      <c r="U3" s="29" t="str">
        <f t="shared" si="0"/>
        <v/>
      </c>
      <c r="V3" s="29" t="str">
        <f t="shared" si="0"/>
        <v/>
      </c>
      <c r="W3" s="29" t="str">
        <f t="shared" si="0"/>
        <v/>
      </c>
      <c r="X3" s="29" t="str">
        <f t="shared" si="0"/>
        <v/>
      </c>
      <c r="Y3" s="29" t="str">
        <f t="shared" si="0"/>
        <v/>
      </c>
      <c r="Z3" s="29" t="str">
        <f t="shared" si="0"/>
        <v/>
      </c>
      <c r="AA3" s="29" t="str">
        <f t="shared" si="0"/>
        <v/>
      </c>
      <c r="AB3" s="29" t="str">
        <f t="shared" si="0"/>
        <v/>
      </c>
      <c r="AC3" s="29" t="str">
        <f t="shared" si="0"/>
        <v/>
      </c>
      <c r="AD3" s="29" t="str">
        <f t="shared" si="0"/>
        <v/>
      </c>
      <c r="AE3" s="29" t="str">
        <f t="shared" si="0"/>
        <v/>
      </c>
      <c r="AF3" s="29" t="str">
        <f t="shared" si="0"/>
        <v/>
      </c>
      <c r="AG3" s="29" t="str">
        <f t="shared" si="0"/>
        <v/>
      </c>
      <c r="AH3" s="29" t="str">
        <f t="shared" si="0"/>
        <v/>
      </c>
      <c r="AI3" s="29" t="str">
        <f t="shared" si="0"/>
        <v/>
      </c>
      <c r="AJ3" s="29" t="str">
        <f t="shared" si="0"/>
        <v/>
      </c>
      <c r="AK3" s="29" t="str">
        <f t="shared" si="0"/>
        <v/>
      </c>
      <c r="AL3" s="29" t="str">
        <f t="shared" si="0"/>
        <v/>
      </c>
      <c r="AM3" s="29" t="str">
        <f t="shared" si="0"/>
        <v/>
      </c>
      <c r="AN3" s="29" t="str">
        <f t="shared" si="0"/>
        <v/>
      </c>
      <c r="AO3" s="29" t="str">
        <f t="shared" si="0"/>
        <v/>
      </c>
      <c r="AP3" s="29" t="str">
        <f t="shared" si="0"/>
        <v/>
      </c>
      <c r="AQ3" s="29" t="str">
        <f t="shared" si="0"/>
        <v>04</v>
      </c>
      <c r="AR3" s="29" t="str">
        <f t="shared" si="0"/>
        <v/>
      </c>
      <c r="AS3" s="29" t="str">
        <f t="shared" si="0"/>
        <v/>
      </c>
      <c r="AT3" s="29" t="str">
        <f t="shared" si="0"/>
        <v>04</v>
      </c>
      <c r="AU3" s="29" t="str">
        <f t="shared" si="0"/>
        <v/>
      </c>
      <c r="AV3" s="29" t="str">
        <f t="shared" si="0"/>
        <v>04</v>
      </c>
      <c r="AW3" s="29" t="str">
        <f t="shared" si="0"/>
        <v>04</v>
      </c>
      <c r="AX3" s="29" t="str">
        <f t="shared" si="0"/>
        <v>04</v>
      </c>
      <c r="AY3" s="29" t="str">
        <f t="shared" si="0"/>
        <v>04</v>
      </c>
      <c r="AZ3" s="29" t="str">
        <f t="shared" si="0"/>
        <v/>
      </c>
      <c r="BA3" s="29" t="str">
        <f t="shared" si="0"/>
        <v>04</v>
      </c>
      <c r="BB3" s="29" t="str">
        <f t="shared" si="0"/>
        <v/>
      </c>
      <c r="BC3" s="29" t="str">
        <f t="shared" si="0"/>
        <v/>
      </c>
      <c r="BD3" s="29" t="str">
        <f t="shared" si="0"/>
        <v>04</v>
      </c>
      <c r="BE3" s="29" t="str">
        <f t="shared" si="0"/>
        <v/>
      </c>
      <c r="BF3" s="29" t="str">
        <f t="shared" si="0"/>
        <v/>
      </c>
      <c r="BG3" s="29" t="str">
        <f t="shared" si="0"/>
        <v/>
      </c>
      <c r="BH3" s="29" t="str">
        <f t="shared" si="0"/>
        <v/>
      </c>
      <c r="BI3" s="29" t="str">
        <f>IF(COUNTA(BI4:BI65536)=0,"","04")</f>
        <v/>
      </c>
      <c r="BJ3" s="29" t="str">
        <f t="shared" si="0"/>
        <v/>
      </c>
      <c r="BK3" s="29" t="str">
        <f t="shared" si="0"/>
        <v/>
      </c>
      <c r="BL3" s="29" t="str">
        <f t="shared" si="0"/>
        <v/>
      </c>
      <c r="BM3" s="29" t="str">
        <f t="shared" si="0"/>
        <v/>
      </c>
      <c r="BN3" s="29" t="str">
        <f t="shared" si="0"/>
        <v/>
      </c>
      <c r="BO3" s="29" t="str">
        <f t="shared" si="0"/>
        <v/>
      </c>
      <c r="BP3" s="29" t="str">
        <f t="shared" si="0"/>
        <v/>
      </c>
      <c r="BQ3" s="29" t="str">
        <f t="shared" si="0"/>
        <v/>
      </c>
      <c r="BR3" s="29" t="str">
        <f t="shared" si="0"/>
        <v/>
      </c>
      <c r="BS3" s="29" t="str">
        <f t="shared" si="0"/>
        <v/>
      </c>
      <c r="BT3" s="29" t="str">
        <f t="shared" si="0"/>
        <v/>
      </c>
      <c r="BU3" s="29" t="str">
        <f t="shared" si="0"/>
        <v/>
      </c>
      <c r="BV3" s="29" t="str">
        <f t="shared" si="0"/>
        <v/>
      </c>
      <c r="BW3" s="29" t="str">
        <f t="shared" si="0"/>
        <v/>
      </c>
      <c r="BX3" s="29" t="str">
        <f t="shared" si="0"/>
        <v/>
      </c>
      <c r="BY3" s="29" t="str">
        <f t="shared" si="0"/>
        <v/>
      </c>
      <c r="BZ3" s="29" t="str">
        <f t="shared" si="0"/>
        <v/>
      </c>
      <c r="CA3" s="29" t="str">
        <f t="shared" si="0"/>
        <v/>
      </c>
      <c r="CB3" s="29" t="str">
        <f t="shared" ref="CB3:EO3" si="1">IF(COUNTA(CB4:CB65536)=0,"","04")</f>
        <v/>
      </c>
      <c r="CD3" s="29" t="str">
        <f t="shared" si="1"/>
        <v/>
      </c>
      <c r="CF3" s="29" t="str">
        <f t="shared" si="1"/>
        <v/>
      </c>
      <c r="CG3" s="29" t="str">
        <f t="shared" si="1"/>
        <v/>
      </c>
      <c r="CH3" s="29" t="str">
        <f t="shared" si="1"/>
        <v/>
      </c>
      <c r="CI3" s="29" t="str">
        <f t="shared" si="1"/>
        <v/>
      </c>
      <c r="CJ3" s="29" t="str">
        <f t="shared" si="1"/>
        <v/>
      </c>
      <c r="CK3" s="29" t="str">
        <f t="shared" si="1"/>
        <v/>
      </c>
      <c r="CL3" s="29" t="str">
        <f t="shared" si="1"/>
        <v/>
      </c>
      <c r="CM3" s="29" t="str">
        <f t="shared" si="1"/>
        <v/>
      </c>
      <c r="CN3" s="29" t="str">
        <f t="shared" si="1"/>
        <v/>
      </c>
      <c r="CO3" s="29" t="str">
        <f t="shared" si="1"/>
        <v/>
      </c>
      <c r="CP3" s="29" t="str">
        <f t="shared" si="1"/>
        <v/>
      </c>
      <c r="CQ3" s="29" t="str">
        <f t="shared" si="1"/>
        <v/>
      </c>
      <c r="CR3" s="29" t="str">
        <f t="shared" si="1"/>
        <v/>
      </c>
      <c r="CS3" s="29" t="str">
        <f t="shared" si="1"/>
        <v/>
      </c>
      <c r="CT3" s="29" t="str">
        <f t="shared" si="1"/>
        <v/>
      </c>
      <c r="CU3" s="29" t="str">
        <f t="shared" si="1"/>
        <v/>
      </c>
      <c r="CV3" s="29" t="str">
        <f t="shared" si="1"/>
        <v/>
      </c>
      <c r="CW3" s="29" t="str">
        <f t="shared" si="1"/>
        <v/>
      </c>
      <c r="CX3" s="29" t="str">
        <f t="shared" si="1"/>
        <v/>
      </c>
      <c r="CY3" s="29" t="str">
        <f t="shared" si="1"/>
        <v/>
      </c>
      <c r="CZ3" s="29" t="str">
        <f t="shared" si="1"/>
        <v/>
      </c>
      <c r="DA3" s="29" t="str">
        <f t="shared" si="1"/>
        <v/>
      </c>
      <c r="DB3" s="29" t="str">
        <f t="shared" si="1"/>
        <v/>
      </c>
      <c r="DC3" s="29" t="str">
        <f t="shared" si="1"/>
        <v/>
      </c>
      <c r="DD3" s="29" t="str">
        <f t="shared" si="1"/>
        <v/>
      </c>
      <c r="DE3" s="29" t="str">
        <f t="shared" si="1"/>
        <v/>
      </c>
      <c r="DF3" s="29" t="str">
        <f t="shared" si="1"/>
        <v/>
      </c>
      <c r="DG3" s="29" t="str">
        <f t="shared" si="1"/>
        <v/>
      </c>
      <c r="DH3" s="29" t="str">
        <f t="shared" si="1"/>
        <v/>
      </c>
      <c r="DI3" s="29" t="str">
        <f t="shared" si="1"/>
        <v/>
      </c>
      <c r="DJ3" s="29" t="str">
        <f t="shared" si="1"/>
        <v/>
      </c>
      <c r="DK3" s="29" t="str">
        <f t="shared" si="1"/>
        <v/>
      </c>
      <c r="DL3" s="29" t="str">
        <f t="shared" si="1"/>
        <v/>
      </c>
      <c r="DM3" s="29" t="str">
        <f t="shared" si="1"/>
        <v/>
      </c>
      <c r="DN3" s="29" t="str">
        <f t="shared" si="1"/>
        <v/>
      </c>
      <c r="DO3" s="29" t="str">
        <f t="shared" si="1"/>
        <v/>
      </c>
      <c r="DP3" s="29" t="str">
        <f t="shared" si="1"/>
        <v/>
      </c>
      <c r="DQ3" s="29" t="str">
        <f t="shared" si="1"/>
        <v/>
      </c>
      <c r="DR3" s="29" t="str">
        <f t="shared" si="1"/>
        <v/>
      </c>
      <c r="DS3" s="29" t="str">
        <f t="shared" si="1"/>
        <v/>
      </c>
      <c r="DT3" s="29" t="str">
        <f t="shared" si="1"/>
        <v/>
      </c>
      <c r="DU3" s="29" t="str">
        <f t="shared" si="1"/>
        <v/>
      </c>
      <c r="DV3" s="29" t="str">
        <f t="shared" si="1"/>
        <v/>
      </c>
      <c r="DW3" s="29" t="str">
        <f t="shared" si="1"/>
        <v/>
      </c>
      <c r="DX3" s="29" t="str">
        <f t="shared" si="1"/>
        <v/>
      </c>
      <c r="DY3" s="29" t="str">
        <f t="shared" si="1"/>
        <v/>
      </c>
      <c r="DZ3" s="29" t="str">
        <f t="shared" si="1"/>
        <v/>
      </c>
      <c r="EA3" s="29" t="str">
        <f t="shared" si="1"/>
        <v/>
      </c>
      <c r="EB3" s="29" t="str">
        <f t="shared" si="1"/>
        <v/>
      </c>
      <c r="EC3" s="29" t="str">
        <f t="shared" si="1"/>
        <v/>
      </c>
      <c r="ED3" s="29" t="str">
        <f t="shared" si="1"/>
        <v/>
      </c>
      <c r="EE3" s="29" t="str">
        <f t="shared" si="1"/>
        <v/>
      </c>
      <c r="EF3" s="29" t="str">
        <f t="shared" si="1"/>
        <v/>
      </c>
      <c r="EG3" s="29" t="str">
        <f t="shared" si="1"/>
        <v/>
      </c>
      <c r="EH3" s="29" t="str">
        <f t="shared" si="1"/>
        <v/>
      </c>
      <c r="EI3" s="29" t="str">
        <f t="shared" si="1"/>
        <v/>
      </c>
      <c r="EJ3" s="29" t="str">
        <f t="shared" si="1"/>
        <v/>
      </c>
      <c r="EK3" s="29" t="str">
        <f t="shared" si="1"/>
        <v/>
      </c>
      <c r="EL3" s="29" t="str">
        <f t="shared" si="1"/>
        <v/>
      </c>
      <c r="EM3" s="29" t="str">
        <f t="shared" si="1"/>
        <v/>
      </c>
      <c r="EN3" s="29" t="str">
        <f t="shared" si="1"/>
        <v/>
      </c>
      <c r="EO3" s="29" t="str">
        <f t="shared" si="1"/>
        <v/>
      </c>
      <c r="EP3" s="29" t="str">
        <f t="shared" ref="EP3:HA3" si="2">IF(COUNTA(EP4:EP65536)=0,"","04")</f>
        <v/>
      </c>
      <c r="EQ3" s="29" t="str">
        <f t="shared" si="2"/>
        <v/>
      </c>
      <c r="ER3" s="29" t="str">
        <f t="shared" si="2"/>
        <v/>
      </c>
      <c r="ES3" s="29" t="str">
        <f t="shared" si="2"/>
        <v/>
      </c>
      <c r="ET3" s="29" t="str">
        <f t="shared" si="2"/>
        <v/>
      </c>
      <c r="EU3" s="29" t="str">
        <f t="shared" si="2"/>
        <v/>
      </c>
      <c r="EV3" s="29" t="str">
        <f t="shared" si="2"/>
        <v/>
      </c>
      <c r="EW3" s="29" t="str">
        <f t="shared" si="2"/>
        <v/>
      </c>
      <c r="EX3" s="29" t="str">
        <f t="shared" si="2"/>
        <v/>
      </c>
      <c r="EY3" s="29" t="str">
        <f t="shared" si="2"/>
        <v/>
      </c>
      <c r="EZ3" s="29" t="str">
        <f t="shared" si="2"/>
        <v/>
      </c>
      <c r="FA3" s="29" t="str">
        <f t="shared" si="2"/>
        <v/>
      </c>
      <c r="FB3" s="29" t="str">
        <f t="shared" si="2"/>
        <v/>
      </c>
      <c r="FC3" s="29" t="str">
        <f t="shared" si="2"/>
        <v/>
      </c>
      <c r="FD3" s="29" t="str">
        <f t="shared" si="2"/>
        <v/>
      </c>
      <c r="FE3" s="29" t="str">
        <f t="shared" si="2"/>
        <v/>
      </c>
      <c r="FF3" s="29" t="str">
        <f t="shared" si="2"/>
        <v/>
      </c>
      <c r="FG3" s="29" t="str">
        <f t="shared" si="2"/>
        <v/>
      </c>
      <c r="FH3" s="29" t="str">
        <f t="shared" si="2"/>
        <v/>
      </c>
      <c r="FI3" s="29" t="str">
        <f t="shared" si="2"/>
        <v/>
      </c>
      <c r="FJ3" s="29" t="str">
        <f t="shared" si="2"/>
        <v/>
      </c>
      <c r="FK3" s="29" t="str">
        <f t="shared" si="2"/>
        <v/>
      </c>
      <c r="FL3" s="29" t="str">
        <f t="shared" si="2"/>
        <v/>
      </c>
      <c r="FM3" s="29" t="str">
        <f t="shared" si="2"/>
        <v/>
      </c>
      <c r="FN3" s="29" t="str">
        <f t="shared" si="2"/>
        <v/>
      </c>
      <c r="FO3" s="29" t="str">
        <f t="shared" si="2"/>
        <v/>
      </c>
      <c r="FP3" s="29" t="str">
        <f t="shared" si="2"/>
        <v/>
      </c>
      <c r="FQ3" s="29" t="str">
        <f t="shared" si="2"/>
        <v/>
      </c>
      <c r="FR3" s="29" t="str">
        <f t="shared" si="2"/>
        <v/>
      </c>
      <c r="FS3" s="29" t="str">
        <f t="shared" si="2"/>
        <v/>
      </c>
      <c r="FT3" s="29" t="str">
        <f t="shared" si="2"/>
        <v/>
      </c>
      <c r="FU3" s="29" t="str">
        <f t="shared" si="2"/>
        <v/>
      </c>
      <c r="FV3" s="29" t="str">
        <f t="shared" si="2"/>
        <v/>
      </c>
      <c r="FW3" s="29" t="str">
        <f t="shared" si="2"/>
        <v/>
      </c>
      <c r="FX3" s="29" t="str">
        <f t="shared" si="2"/>
        <v/>
      </c>
      <c r="FY3" s="29" t="str">
        <f t="shared" si="2"/>
        <v/>
      </c>
      <c r="FZ3" s="29" t="str">
        <f t="shared" si="2"/>
        <v/>
      </c>
      <c r="GA3" s="29" t="str">
        <f t="shared" si="2"/>
        <v/>
      </c>
      <c r="GB3" s="29" t="str">
        <f t="shared" si="2"/>
        <v/>
      </c>
      <c r="GC3" s="29" t="str">
        <f t="shared" si="2"/>
        <v/>
      </c>
      <c r="GD3" s="29" t="str">
        <f t="shared" si="2"/>
        <v/>
      </c>
      <c r="GE3" s="29" t="str">
        <f t="shared" si="2"/>
        <v/>
      </c>
      <c r="GF3" s="29" t="str">
        <f t="shared" si="2"/>
        <v/>
      </c>
      <c r="GG3" s="29" t="str">
        <f t="shared" si="2"/>
        <v/>
      </c>
      <c r="GH3" s="29" t="str">
        <f t="shared" si="2"/>
        <v/>
      </c>
      <c r="GI3" s="29" t="str">
        <f t="shared" si="2"/>
        <v/>
      </c>
      <c r="GJ3" s="29" t="str">
        <f t="shared" si="2"/>
        <v/>
      </c>
      <c r="GK3" s="29" t="str">
        <f t="shared" si="2"/>
        <v/>
      </c>
      <c r="GL3" s="29" t="str">
        <f t="shared" si="2"/>
        <v/>
      </c>
      <c r="GM3" s="29" t="str">
        <f t="shared" si="2"/>
        <v/>
      </c>
      <c r="GN3" s="29" t="str">
        <f t="shared" si="2"/>
        <v/>
      </c>
      <c r="GO3" s="29" t="str">
        <f t="shared" si="2"/>
        <v/>
      </c>
      <c r="GP3" s="29" t="str">
        <f t="shared" si="2"/>
        <v/>
      </c>
      <c r="GQ3" s="29" t="str">
        <f t="shared" si="2"/>
        <v/>
      </c>
      <c r="GR3" s="29" t="str">
        <f t="shared" si="2"/>
        <v/>
      </c>
      <c r="GS3" s="29" t="str">
        <f t="shared" si="2"/>
        <v/>
      </c>
      <c r="GT3" s="29" t="str">
        <f t="shared" si="2"/>
        <v/>
      </c>
      <c r="GU3" s="29" t="str">
        <f t="shared" si="2"/>
        <v/>
      </c>
      <c r="GV3" s="29" t="str">
        <f t="shared" si="2"/>
        <v/>
      </c>
      <c r="GW3" s="29" t="str">
        <f t="shared" si="2"/>
        <v/>
      </c>
      <c r="GX3" s="29" t="str">
        <f t="shared" si="2"/>
        <v/>
      </c>
      <c r="GY3" s="29" t="str">
        <f t="shared" si="2"/>
        <v/>
      </c>
      <c r="GZ3" s="29" t="str">
        <f t="shared" si="2"/>
        <v/>
      </c>
      <c r="HA3" s="29" t="str">
        <f t="shared" si="2"/>
        <v/>
      </c>
      <c r="HB3" s="29" t="str">
        <f t="shared" ref="HB3:HU3" si="3">IF(COUNTA(HB4:HB65536)=0,"","04")</f>
        <v/>
      </c>
      <c r="HC3" s="29" t="str">
        <f t="shared" si="3"/>
        <v/>
      </c>
      <c r="HD3" s="29" t="str">
        <f t="shared" si="3"/>
        <v/>
      </c>
      <c r="HE3" s="29" t="str">
        <f t="shared" si="3"/>
        <v/>
      </c>
      <c r="HF3" s="29" t="str">
        <f t="shared" si="3"/>
        <v/>
      </c>
      <c r="HG3" s="29" t="str">
        <f t="shared" si="3"/>
        <v/>
      </c>
      <c r="HH3" s="29" t="str">
        <f t="shared" si="3"/>
        <v/>
      </c>
      <c r="HI3" s="29" t="str">
        <f t="shared" si="3"/>
        <v/>
      </c>
      <c r="HJ3" s="29" t="str">
        <f t="shared" si="3"/>
        <v/>
      </c>
      <c r="HK3" s="29" t="str">
        <f t="shared" si="3"/>
        <v/>
      </c>
      <c r="HL3" s="29" t="str">
        <f t="shared" si="3"/>
        <v/>
      </c>
      <c r="HM3" s="29" t="str">
        <f t="shared" si="3"/>
        <v/>
      </c>
      <c r="HN3" s="29" t="str">
        <f t="shared" si="3"/>
        <v/>
      </c>
      <c r="HO3" s="29" t="str">
        <f t="shared" si="3"/>
        <v/>
      </c>
      <c r="HP3" s="29" t="str">
        <f t="shared" si="3"/>
        <v/>
      </c>
      <c r="HQ3" s="29" t="str">
        <f t="shared" si="3"/>
        <v/>
      </c>
      <c r="HR3" s="29" t="str">
        <f t="shared" si="3"/>
        <v/>
      </c>
      <c r="HS3" s="29" t="str">
        <f t="shared" si="3"/>
        <v/>
      </c>
      <c r="HT3" s="29" t="str">
        <f t="shared" si="3"/>
        <v/>
      </c>
      <c r="HU3" s="29" t="str">
        <f t="shared" si="3"/>
        <v/>
      </c>
    </row>
    <row r="4" spans="1:229" s="11" customFormat="1" x14ac:dyDescent="0.2">
      <c r="A4" s="10" t="s">
        <v>7539</v>
      </c>
      <c r="B4" s="11" t="s">
        <v>6176</v>
      </c>
      <c r="D4" s="11" t="s">
        <v>6269</v>
      </c>
      <c r="E4" s="11" t="s">
        <v>11</v>
      </c>
      <c r="F4" s="11" t="s">
        <v>6270</v>
      </c>
      <c r="G4" s="11" t="s">
        <v>6179</v>
      </c>
      <c r="J4" s="11" t="s">
        <v>6180</v>
      </c>
      <c r="K4" s="11">
        <v>1989</v>
      </c>
      <c r="L4" s="11" t="s">
        <v>6181</v>
      </c>
      <c r="M4" s="11" t="s">
        <v>6182</v>
      </c>
      <c r="N4" s="11">
        <v>1.1000000000000001</v>
      </c>
      <c r="O4" s="11">
        <v>49</v>
      </c>
      <c r="AQ4" s="13">
        <v>41</v>
      </c>
      <c r="AT4" s="11">
        <v>0.4</v>
      </c>
      <c r="AV4" s="11">
        <v>510</v>
      </c>
      <c r="AW4" s="12">
        <v>123</v>
      </c>
      <c r="AX4" s="11">
        <v>0.65</v>
      </c>
      <c r="AY4" s="11">
        <v>15</v>
      </c>
      <c r="BA4" s="11">
        <v>265</v>
      </c>
      <c r="BD4" s="11">
        <v>1.4</v>
      </c>
    </row>
    <row r="5" spans="1:229" s="11" customFormat="1" x14ac:dyDescent="0.2">
      <c r="A5" s="10" t="s">
        <v>7540</v>
      </c>
      <c r="B5" s="11" t="s">
        <v>6176</v>
      </c>
      <c r="D5" s="11" t="s">
        <v>6271</v>
      </c>
      <c r="E5" s="11" t="s">
        <v>11</v>
      </c>
      <c r="F5" s="11" t="s">
        <v>6270</v>
      </c>
      <c r="G5" s="11" t="s">
        <v>6179</v>
      </c>
      <c r="J5" s="11" t="s">
        <v>6180</v>
      </c>
      <c r="K5" s="11">
        <v>1989</v>
      </c>
      <c r="L5" s="11" t="s">
        <v>6181</v>
      </c>
      <c r="M5" s="11" t="s">
        <v>6182</v>
      </c>
      <c r="N5" s="11">
        <v>1.1000000000000001</v>
      </c>
      <c r="O5" s="11">
        <v>8</v>
      </c>
      <c r="AQ5" s="13">
        <v>83</v>
      </c>
      <c r="AT5" s="11">
        <v>0.8</v>
      </c>
      <c r="AV5" s="11">
        <v>892</v>
      </c>
      <c r="AW5" s="12">
        <v>187</v>
      </c>
      <c r="AX5" s="11">
        <v>0.93</v>
      </c>
      <c r="AY5" s="11">
        <v>18</v>
      </c>
      <c r="BA5" s="11">
        <v>455</v>
      </c>
      <c r="BD5" s="11">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L271"/>
  <sheetViews>
    <sheetView zoomScale="130" zoomScaleNormal="130" zoomScalePageLayoutView="130" workbookViewId="0">
      <pane ySplit="3" topLeftCell="A4" activePane="bottomLeft" state="frozen"/>
      <selection pane="bottomLeft"/>
    </sheetView>
  </sheetViews>
  <sheetFormatPr baseColWidth="10" defaultColWidth="11.5" defaultRowHeight="14" x14ac:dyDescent="0.2"/>
  <cols>
    <col min="1" max="3" width="11.5" style="1" customWidth="1"/>
    <col min="4" max="4" width="30.6640625" style="1" customWidth="1"/>
    <col min="5" max="5" width="11.5" style="17"/>
    <col min="6" max="9" width="11.5" style="1"/>
    <col min="10" max="10" width="18.83203125" style="1" customWidth="1"/>
    <col min="11" max="11" width="11.5" style="1"/>
    <col min="12" max="13" width="11.5" style="17"/>
    <col min="14" max="15" width="11.5" style="1"/>
    <col min="16" max="84" width="11.5" style="1" customWidth="1"/>
    <col min="85" max="86" width="12.1640625" style="1" customWidth="1"/>
    <col min="87" max="152" width="11.5" style="1" customWidth="1"/>
    <col min="153" max="16384" width="11.5" style="1"/>
  </cols>
  <sheetData>
    <row r="1" spans="1:246" s="4" customFormat="1" ht="33.5" customHeight="1" x14ac:dyDescent="0.15">
      <c r="A1" s="4" t="s">
        <v>64</v>
      </c>
      <c r="B1" s="4" t="s">
        <v>65</v>
      </c>
      <c r="C1" s="4" t="s">
        <v>241</v>
      </c>
      <c r="D1" s="4" t="s">
        <v>67</v>
      </c>
      <c r="E1" s="4" t="s">
        <v>6</v>
      </c>
      <c r="F1" s="4" t="s">
        <v>239</v>
      </c>
      <c r="G1" s="4" t="s">
        <v>68</v>
      </c>
      <c r="H1" s="4" t="s">
        <v>69</v>
      </c>
      <c r="I1" s="4" t="s">
        <v>13</v>
      </c>
      <c r="J1" s="4" t="s">
        <v>70</v>
      </c>
      <c r="K1" s="4" t="s">
        <v>71</v>
      </c>
      <c r="L1" s="4" t="s">
        <v>240</v>
      </c>
      <c r="M1" s="4" t="s">
        <v>19</v>
      </c>
      <c r="N1" s="4" t="s">
        <v>242</v>
      </c>
      <c r="O1" s="4" t="s">
        <v>1068</v>
      </c>
      <c r="P1" s="4" t="s">
        <v>243</v>
      </c>
      <c r="Q1" s="4" t="s">
        <v>244</v>
      </c>
      <c r="R1" s="4" t="s">
        <v>73</v>
      </c>
      <c r="S1" s="4" t="s">
        <v>245</v>
      </c>
      <c r="T1" s="4" t="s">
        <v>74</v>
      </c>
      <c r="U1" s="4" t="s">
        <v>1070</v>
      </c>
      <c r="V1" s="4" t="s">
        <v>6193</v>
      </c>
      <c r="W1" s="4" t="s">
        <v>6985</v>
      </c>
      <c r="X1" s="4" t="s">
        <v>246</v>
      </c>
      <c r="Y1" s="4" t="s">
        <v>1072</v>
      </c>
      <c r="Z1" s="4" t="s">
        <v>76</v>
      </c>
      <c r="AA1" s="4" t="s">
        <v>77</v>
      </c>
      <c r="AB1" s="4" t="s">
        <v>1073</v>
      </c>
      <c r="AC1" s="4" t="s">
        <v>1074</v>
      </c>
      <c r="AD1" s="4" t="s">
        <v>1075</v>
      </c>
      <c r="AE1" s="4" t="s">
        <v>79</v>
      </c>
      <c r="AF1" s="4" t="s">
        <v>6194</v>
      </c>
      <c r="AG1" s="4" t="s">
        <v>6989</v>
      </c>
      <c r="AH1" s="4" t="s">
        <v>6195</v>
      </c>
      <c r="AI1" s="4" t="s">
        <v>247</v>
      </c>
      <c r="AJ1" s="4" t="s">
        <v>248</v>
      </c>
      <c r="AK1" s="4" t="s">
        <v>6198</v>
      </c>
      <c r="AL1" s="4" t="s">
        <v>6200</v>
      </c>
      <c r="AM1" s="4" t="s">
        <v>6201</v>
      </c>
      <c r="AN1" s="4" t="s">
        <v>6202</v>
      </c>
      <c r="AO1" s="4" t="s">
        <v>82</v>
      </c>
      <c r="AP1" s="4" t="s">
        <v>83</v>
      </c>
      <c r="AQ1" s="4" t="s">
        <v>6992</v>
      </c>
      <c r="AR1" s="4" t="s">
        <v>6203</v>
      </c>
      <c r="AS1" s="4" t="s">
        <v>6204</v>
      </c>
      <c r="AT1" s="4" t="s">
        <v>6205</v>
      </c>
      <c r="AU1" s="4" t="s">
        <v>6246</v>
      </c>
      <c r="AV1" s="4" t="s">
        <v>6245</v>
      </c>
      <c r="AW1" s="4" t="s">
        <v>84</v>
      </c>
      <c r="AX1" s="4" t="s">
        <v>85</v>
      </c>
      <c r="AY1" s="4" t="s">
        <v>1081</v>
      </c>
      <c r="AZ1" s="4" t="s">
        <v>250</v>
      </c>
      <c r="BA1" s="4" t="s">
        <v>1082</v>
      </c>
      <c r="BB1" s="4" t="s">
        <v>86</v>
      </c>
      <c r="BC1" s="4" t="s">
        <v>87</v>
      </c>
      <c r="BD1" s="4" t="s">
        <v>88</v>
      </c>
      <c r="BE1" s="4" t="s">
        <v>89</v>
      </c>
      <c r="BF1" s="4" t="s">
        <v>251</v>
      </c>
      <c r="BG1" s="4" t="s">
        <v>90</v>
      </c>
      <c r="BH1" s="4" t="s">
        <v>1086</v>
      </c>
      <c r="BI1" s="4" t="s">
        <v>91</v>
      </c>
      <c r="BJ1" s="4" t="s">
        <v>1088</v>
      </c>
      <c r="BK1" s="4" t="s">
        <v>1089</v>
      </c>
      <c r="BL1" s="4" t="s">
        <v>92</v>
      </c>
      <c r="BM1" s="4" t="s">
        <v>249</v>
      </c>
      <c r="BN1" s="4" t="s">
        <v>252</v>
      </c>
      <c r="BO1" s="4" t="s">
        <v>6207</v>
      </c>
      <c r="BP1" s="4" t="s">
        <v>253</v>
      </c>
      <c r="BQ1" s="4" t="s">
        <v>254</v>
      </c>
      <c r="BR1" s="4" t="s">
        <v>1097</v>
      </c>
      <c r="BS1" s="4" t="s">
        <v>255</v>
      </c>
      <c r="BT1" s="4" t="s">
        <v>6210</v>
      </c>
      <c r="BU1" s="4" t="s">
        <v>1101</v>
      </c>
      <c r="BV1" s="4" t="s">
        <v>256</v>
      </c>
      <c r="BW1" s="4" t="s">
        <v>257</v>
      </c>
      <c r="BX1" s="4" t="s">
        <v>7000</v>
      </c>
      <c r="BY1" s="4" t="s">
        <v>6211</v>
      </c>
      <c r="BZ1" s="4" t="s">
        <v>7158</v>
      </c>
      <c r="CA1" s="4" t="s">
        <v>6214</v>
      </c>
      <c r="CB1" s="4" t="s">
        <v>258</v>
      </c>
      <c r="CC1" s="4" t="s">
        <v>259</v>
      </c>
      <c r="CD1" s="4" t="s">
        <v>7003</v>
      </c>
      <c r="CE1" s="4" t="s">
        <v>260</v>
      </c>
      <c r="CF1" s="4" t="s">
        <v>6215</v>
      </c>
      <c r="CG1" s="4" t="s">
        <v>6216</v>
      </c>
      <c r="CH1" s="4" t="s">
        <v>1105</v>
      </c>
      <c r="CI1" s="4" t="s">
        <v>93</v>
      </c>
      <c r="CJ1" s="4" t="s">
        <v>94</v>
      </c>
      <c r="CK1" s="4" t="s">
        <v>6832</v>
      </c>
      <c r="CL1" s="4" t="s">
        <v>1106</v>
      </c>
      <c r="CM1" s="4" t="s">
        <v>6247</v>
      </c>
      <c r="CN1" s="4" t="s">
        <v>95</v>
      </c>
      <c r="CO1" s="4" t="s">
        <v>261</v>
      </c>
      <c r="CP1" s="4" t="s">
        <v>262</v>
      </c>
      <c r="CQ1" s="4" t="s">
        <v>263</v>
      </c>
      <c r="CR1" s="4" t="s">
        <v>264</v>
      </c>
      <c r="CS1" s="4" t="s">
        <v>265</v>
      </c>
      <c r="CT1" s="4" t="s">
        <v>7005</v>
      </c>
      <c r="CU1" s="4" t="s">
        <v>98</v>
      </c>
      <c r="CV1" s="4" t="s">
        <v>7006</v>
      </c>
      <c r="CW1" s="4" t="s">
        <v>114</v>
      </c>
      <c r="CX1" s="4" t="s">
        <v>115</v>
      </c>
      <c r="CY1" s="4" t="s">
        <v>116</v>
      </c>
      <c r="CZ1" s="4" t="s">
        <v>117</v>
      </c>
      <c r="DA1" s="4" t="s">
        <v>118</v>
      </c>
      <c r="DB1" s="4" t="s">
        <v>119</v>
      </c>
      <c r="DC1" s="4" t="s">
        <v>121</v>
      </c>
      <c r="DD1" s="4" t="s">
        <v>122</v>
      </c>
      <c r="DE1" s="4" t="s">
        <v>5180</v>
      </c>
      <c r="DF1" s="4" t="s">
        <v>123</v>
      </c>
      <c r="DG1" s="4" t="s">
        <v>6840</v>
      </c>
      <c r="DH1" s="4" t="s">
        <v>5197</v>
      </c>
      <c r="DI1" s="4" t="s">
        <v>5198</v>
      </c>
      <c r="DJ1" s="4" t="s">
        <v>124</v>
      </c>
      <c r="DK1" s="4" t="s">
        <v>5204</v>
      </c>
      <c r="DL1" s="4" t="s">
        <v>125</v>
      </c>
      <c r="DM1" s="4" t="s">
        <v>126</v>
      </c>
      <c r="DN1" s="4" t="s">
        <v>5217</v>
      </c>
      <c r="DO1" s="4" t="s">
        <v>5220</v>
      </c>
      <c r="DP1" s="4" t="s">
        <v>5225</v>
      </c>
      <c r="DQ1" s="4" t="s">
        <v>5237</v>
      </c>
      <c r="DR1" s="4" t="s">
        <v>5235</v>
      </c>
      <c r="DS1" s="4" t="s">
        <v>5239</v>
      </c>
      <c r="DT1" s="4" t="s">
        <v>5248</v>
      </c>
      <c r="DU1" s="4" t="s">
        <v>5252</v>
      </c>
      <c r="DV1" s="4" t="s">
        <v>5255</v>
      </c>
      <c r="DW1" s="4" t="s">
        <v>5259</v>
      </c>
      <c r="DX1" s="4" t="s">
        <v>5264</v>
      </c>
      <c r="DY1" s="4" t="s">
        <v>5267</v>
      </c>
      <c r="DZ1" s="4" t="s">
        <v>5266</v>
      </c>
      <c r="EA1" s="4" t="s">
        <v>266</v>
      </c>
      <c r="EB1" s="4" t="s">
        <v>133</v>
      </c>
      <c r="EC1" s="4" t="s">
        <v>134</v>
      </c>
      <c r="ED1" s="4" t="s">
        <v>267</v>
      </c>
      <c r="EE1" s="4" t="s">
        <v>136</v>
      </c>
      <c r="EF1" s="4" t="s">
        <v>6867</v>
      </c>
      <c r="EG1" s="4" t="s">
        <v>137</v>
      </c>
      <c r="EH1" s="4" t="s">
        <v>138</v>
      </c>
      <c r="EI1" s="4" t="s">
        <v>139</v>
      </c>
      <c r="EJ1" s="4" t="s">
        <v>140</v>
      </c>
      <c r="EK1" s="4" t="s">
        <v>141</v>
      </c>
      <c r="EL1" s="4" t="s">
        <v>142</v>
      </c>
      <c r="EM1" s="4" t="s">
        <v>143</v>
      </c>
      <c r="EN1" s="4" t="s">
        <v>144</v>
      </c>
      <c r="EO1" s="4" t="s">
        <v>145</v>
      </c>
      <c r="EP1" s="4" t="s">
        <v>146</v>
      </c>
      <c r="EQ1" s="4" t="s">
        <v>147</v>
      </c>
      <c r="ER1" s="4" t="s">
        <v>148</v>
      </c>
      <c r="ES1" s="4" t="s">
        <v>149</v>
      </c>
      <c r="ET1" s="4" t="s">
        <v>150</v>
      </c>
      <c r="EU1" s="4" t="s">
        <v>6220</v>
      </c>
      <c r="EV1" s="4" t="s">
        <v>269</v>
      </c>
      <c r="EW1" s="4" t="s">
        <v>7665</v>
      </c>
      <c r="EX1" s="4" t="s">
        <v>7666</v>
      </c>
      <c r="EY1" s="4" t="s">
        <v>7667</v>
      </c>
      <c r="EZ1" s="4" t="s">
        <v>7668</v>
      </c>
      <c r="FA1" s="4" t="s">
        <v>7669</v>
      </c>
      <c r="FB1" s="4" t="s">
        <v>7670</v>
      </c>
      <c r="FC1" s="4" t="s">
        <v>7671</v>
      </c>
      <c r="FD1" s="4" t="s">
        <v>7672</v>
      </c>
      <c r="FE1" s="4" t="s">
        <v>7673</v>
      </c>
      <c r="FF1" s="4" t="s">
        <v>7674</v>
      </c>
      <c r="FG1" s="4" t="s">
        <v>7675</v>
      </c>
      <c r="FH1" s="4" t="s">
        <v>7676</v>
      </c>
      <c r="FI1" s="4" t="s">
        <v>7677</v>
      </c>
      <c r="FJ1" s="4" t="s">
        <v>7678</v>
      </c>
      <c r="FK1" s="4" t="s">
        <v>7679</v>
      </c>
      <c r="FL1" s="4" t="s">
        <v>7680</v>
      </c>
      <c r="FM1" s="4" t="s">
        <v>6224</v>
      </c>
      <c r="FN1" s="4" t="s">
        <v>270</v>
      </c>
      <c r="FO1" s="4" t="s">
        <v>6225</v>
      </c>
      <c r="FP1" s="4" t="s">
        <v>6227</v>
      </c>
      <c r="FQ1" s="4" t="s">
        <v>7013</v>
      </c>
      <c r="FR1" s="4" t="s">
        <v>7014</v>
      </c>
      <c r="FS1" s="4" t="s">
        <v>270</v>
      </c>
      <c r="FT1" s="4" t="s">
        <v>7015</v>
      </c>
      <c r="FU1" s="4" t="s">
        <v>6234</v>
      </c>
      <c r="FV1" s="4" t="s">
        <v>7082</v>
      </c>
      <c r="FW1" s="4" t="s">
        <v>6237</v>
      </c>
      <c r="FX1" s="4" t="s">
        <v>271</v>
      </c>
      <c r="FY1" s="4" t="s">
        <v>272</v>
      </c>
      <c r="FZ1" s="4" t="s">
        <v>273</v>
      </c>
      <c r="GA1" s="26" t="s">
        <v>7221</v>
      </c>
      <c r="GB1" s="4" t="s">
        <v>6230</v>
      </c>
      <c r="GC1" s="26" t="s">
        <v>6244</v>
      </c>
    </row>
    <row r="2" spans="1:246" s="5" customFormat="1" ht="58.5" customHeight="1" x14ac:dyDescent="0.15">
      <c r="B2" s="5" t="s">
        <v>152</v>
      </c>
      <c r="E2" s="5" t="s">
        <v>153</v>
      </c>
      <c r="G2" s="5" t="s">
        <v>154</v>
      </c>
      <c r="H2" s="5" t="s">
        <v>155</v>
      </c>
      <c r="I2" s="5" t="s">
        <v>14</v>
      </c>
      <c r="O2" s="5" t="s">
        <v>6777</v>
      </c>
      <c r="P2" s="5" t="s">
        <v>274</v>
      </c>
      <c r="Q2" s="5" t="s">
        <v>274</v>
      </c>
      <c r="R2" s="5" t="s">
        <v>156</v>
      </c>
      <c r="S2" s="5" t="s">
        <v>275</v>
      </c>
      <c r="T2" s="5" t="s">
        <v>276</v>
      </c>
      <c r="U2" s="5" t="s">
        <v>6778</v>
      </c>
      <c r="V2" s="5" t="s">
        <v>158</v>
      </c>
      <c r="W2" s="5" t="s">
        <v>6986</v>
      </c>
      <c r="X2" s="5" t="s">
        <v>277</v>
      </c>
      <c r="Y2" s="5" t="s">
        <v>6693</v>
      </c>
      <c r="Z2" s="5" t="s">
        <v>160</v>
      </c>
      <c r="AA2" s="5" t="s">
        <v>278</v>
      </c>
      <c r="AB2" s="5" t="s">
        <v>6779</v>
      </c>
      <c r="AC2" s="5" t="s">
        <v>6987</v>
      </c>
      <c r="AD2" s="5" t="s">
        <v>6780</v>
      </c>
      <c r="AE2" s="5" t="s">
        <v>163</v>
      </c>
      <c r="AF2" s="5" t="s">
        <v>6988</v>
      </c>
      <c r="AG2" s="5" t="s">
        <v>6990</v>
      </c>
      <c r="AH2" s="5" t="s">
        <v>164</v>
      </c>
      <c r="AI2" s="5" t="s">
        <v>279</v>
      </c>
      <c r="AJ2" s="5" t="s">
        <v>280</v>
      </c>
      <c r="AK2" s="5" t="s">
        <v>6991</v>
      </c>
      <c r="AL2" s="5" t="s">
        <v>281</v>
      </c>
      <c r="AM2" s="5" t="s">
        <v>6785</v>
      </c>
      <c r="AN2" s="5" t="s">
        <v>6770</v>
      </c>
      <c r="AO2" s="5" t="s">
        <v>166</v>
      </c>
      <c r="AP2" s="5" t="s">
        <v>282</v>
      </c>
      <c r="AQ2" s="5" t="s">
        <v>6993</v>
      </c>
      <c r="AR2" s="5" t="s">
        <v>6994</v>
      </c>
      <c r="AS2" s="5" t="s">
        <v>6995</v>
      </c>
      <c r="AT2" s="5" t="s">
        <v>6996</v>
      </c>
      <c r="AU2" s="5" t="s">
        <v>6997</v>
      </c>
      <c r="AV2" s="5" t="s">
        <v>6788</v>
      </c>
      <c r="AW2" s="5" t="s">
        <v>168</v>
      </c>
      <c r="AX2" s="5" t="s">
        <v>169</v>
      </c>
      <c r="AY2" s="5" t="s">
        <v>6789</v>
      </c>
      <c r="AZ2" s="5" t="s">
        <v>284</v>
      </c>
      <c r="BA2" s="5" t="s">
        <v>6791</v>
      </c>
      <c r="BB2" s="5" t="s">
        <v>170</v>
      </c>
      <c r="BC2" s="5" t="s">
        <v>285</v>
      </c>
      <c r="BD2" s="5" t="s">
        <v>172</v>
      </c>
      <c r="BE2" s="5" t="s">
        <v>173</v>
      </c>
      <c r="BF2" s="5" t="s">
        <v>286</v>
      </c>
      <c r="BG2" s="5" t="s">
        <v>174</v>
      </c>
      <c r="BH2" s="5" t="s">
        <v>6794</v>
      </c>
      <c r="BI2" s="5" t="s">
        <v>175</v>
      </c>
      <c r="BJ2" s="5" t="s">
        <v>6796</v>
      </c>
      <c r="BK2" s="5" t="s">
        <v>6797</v>
      </c>
      <c r="BL2" s="5" t="s">
        <v>176</v>
      </c>
      <c r="BM2" s="5" t="s">
        <v>283</v>
      </c>
      <c r="BN2" s="5" t="s">
        <v>287</v>
      </c>
      <c r="BO2" s="5" t="s">
        <v>6998</v>
      </c>
      <c r="BP2" s="5" t="s">
        <v>288</v>
      </c>
      <c r="BQ2" s="5" t="s">
        <v>289</v>
      </c>
      <c r="BR2" s="5" t="s">
        <v>6999</v>
      </c>
      <c r="BS2" s="5" t="s">
        <v>290</v>
      </c>
      <c r="BT2" s="5" t="s">
        <v>6813</v>
      </c>
      <c r="BU2" s="5" t="s">
        <v>6814</v>
      </c>
      <c r="BV2" s="5" t="s">
        <v>291</v>
      </c>
      <c r="BW2" s="5" t="s">
        <v>292</v>
      </c>
      <c r="BX2" s="5" t="s">
        <v>7001</v>
      </c>
      <c r="BY2" s="5" t="s">
        <v>7002</v>
      </c>
      <c r="BZ2" s="5" t="s">
        <v>6821</v>
      </c>
      <c r="CA2" s="5" t="s">
        <v>6823</v>
      </c>
      <c r="CB2" s="5" t="s">
        <v>293</v>
      </c>
      <c r="CC2" s="5" t="s">
        <v>294</v>
      </c>
      <c r="CD2" s="5" t="s">
        <v>7004</v>
      </c>
      <c r="CE2" s="5" t="s">
        <v>295</v>
      </c>
      <c r="CF2" s="5" t="s">
        <v>6824</v>
      </c>
      <c r="CG2" s="5" t="s">
        <v>6523</v>
      </c>
      <c r="CH2" s="5" t="s">
        <v>7060</v>
      </c>
      <c r="CI2" s="5" t="s">
        <v>177</v>
      </c>
      <c r="CJ2" s="5" t="s">
        <v>178</v>
      </c>
      <c r="CK2" s="5" t="s">
        <v>6833</v>
      </c>
      <c r="CL2" s="5" t="s">
        <v>6834</v>
      </c>
      <c r="CM2" s="5" t="s">
        <v>9748</v>
      </c>
      <c r="CN2" s="5" t="s">
        <v>6713</v>
      </c>
      <c r="CO2" s="5" t="s">
        <v>296</v>
      </c>
      <c r="CP2" s="5" t="s">
        <v>297</v>
      </c>
      <c r="CQ2" s="5" t="s">
        <v>298</v>
      </c>
      <c r="CR2" s="5" t="s">
        <v>299</v>
      </c>
      <c r="CS2" s="5" t="s">
        <v>297</v>
      </c>
      <c r="CT2" s="5" t="s">
        <v>7007</v>
      </c>
      <c r="CU2" s="5" t="s">
        <v>6724</v>
      </c>
      <c r="CV2" s="5" t="s">
        <v>7008</v>
      </c>
      <c r="CW2" s="5" t="s">
        <v>6736</v>
      </c>
      <c r="CX2" s="5" t="s">
        <v>6737</v>
      </c>
      <c r="CY2" s="5" t="s">
        <v>6716</v>
      </c>
      <c r="CZ2" s="5" t="s">
        <v>6738</v>
      </c>
      <c r="DA2" s="5" t="s">
        <v>6717</v>
      </c>
      <c r="DB2" s="5" t="s">
        <v>6739</v>
      </c>
      <c r="DC2" s="5" t="s">
        <v>6741</v>
      </c>
      <c r="DD2" s="5" t="s">
        <v>6742</v>
      </c>
      <c r="DE2" s="5" t="s">
        <v>6899</v>
      </c>
      <c r="DF2" s="5" t="s">
        <v>6743</v>
      </c>
      <c r="DG2" s="5" t="s">
        <v>6903</v>
      </c>
      <c r="DH2" s="5" t="s">
        <v>6916</v>
      </c>
      <c r="DI2" s="5" t="s">
        <v>6918</v>
      </c>
      <c r="DJ2" s="5" t="s">
        <v>6718</v>
      </c>
      <c r="DK2" s="5" t="s">
        <v>6929</v>
      </c>
      <c r="DL2" s="5" t="s">
        <v>6744</v>
      </c>
      <c r="DM2" s="5" t="s">
        <v>6745</v>
      </c>
      <c r="DN2" s="5" t="s">
        <v>6935</v>
      </c>
      <c r="DO2" s="5" t="s">
        <v>6938</v>
      </c>
      <c r="DP2" s="5" t="s">
        <v>6940</v>
      </c>
      <c r="DQ2" s="5" t="s">
        <v>6946</v>
      </c>
      <c r="DR2" s="5" t="s">
        <v>6945</v>
      </c>
      <c r="DS2" s="5" t="s">
        <v>6948</v>
      </c>
      <c r="DT2" s="5" t="s">
        <v>6953</v>
      </c>
      <c r="DU2" s="5" t="s">
        <v>6955</v>
      </c>
      <c r="DV2" s="5" t="s">
        <v>6958</v>
      </c>
      <c r="DW2" s="5" t="s">
        <v>6960</v>
      </c>
      <c r="DX2" s="5" t="s">
        <v>6961</v>
      </c>
      <c r="DY2" s="5" t="s">
        <v>6964</v>
      </c>
      <c r="DZ2" s="5" t="s">
        <v>6963</v>
      </c>
      <c r="EA2" s="5" t="s">
        <v>300</v>
      </c>
      <c r="EB2" s="5" t="s">
        <v>217</v>
      </c>
      <c r="EC2" s="5" t="s">
        <v>218</v>
      </c>
      <c r="ED2" s="5" t="s">
        <v>301</v>
      </c>
      <c r="EE2" s="5" t="s">
        <v>220</v>
      </c>
      <c r="EF2" s="5" t="s">
        <v>6975</v>
      </c>
      <c r="EG2" s="5" t="s">
        <v>221</v>
      </c>
      <c r="EH2" s="5" t="s">
        <v>222</v>
      </c>
      <c r="EI2" s="5" t="s">
        <v>223</v>
      </c>
      <c r="EJ2" s="5" t="s">
        <v>224</v>
      </c>
      <c r="EK2" s="5" t="s">
        <v>225</v>
      </c>
      <c r="EL2" s="5" t="s">
        <v>226</v>
      </c>
      <c r="EM2" s="5" t="s">
        <v>227</v>
      </c>
      <c r="EN2" s="5" t="s">
        <v>228</v>
      </c>
      <c r="EO2" s="5" t="s">
        <v>229</v>
      </c>
      <c r="EP2" s="5" t="s">
        <v>230</v>
      </c>
      <c r="EQ2" s="5" t="s">
        <v>231</v>
      </c>
      <c r="ER2" s="5" t="s">
        <v>232</v>
      </c>
      <c r="ES2" s="5" t="s">
        <v>233</v>
      </c>
      <c r="ET2" s="5" t="s">
        <v>234</v>
      </c>
      <c r="EU2" s="5" t="s">
        <v>7009</v>
      </c>
      <c r="EV2" s="5" t="s">
        <v>302</v>
      </c>
      <c r="EW2" s="51" t="s">
        <v>7681</v>
      </c>
      <c r="EX2" s="51" t="s">
        <v>7682</v>
      </c>
      <c r="EY2" s="51" t="s">
        <v>7683</v>
      </c>
      <c r="EZ2" s="51" t="s">
        <v>7684</v>
      </c>
      <c r="FA2" s="51" t="s">
        <v>7685</v>
      </c>
      <c r="FB2" s="51" t="s">
        <v>7686</v>
      </c>
      <c r="FC2" s="51" t="s">
        <v>7687</v>
      </c>
      <c r="FD2" s="51" t="s">
        <v>7688</v>
      </c>
      <c r="FE2" s="51" t="s">
        <v>7689</v>
      </c>
      <c r="FF2" s="51" t="s">
        <v>7690</v>
      </c>
      <c r="FG2" s="51" t="s">
        <v>7691</v>
      </c>
      <c r="FH2" s="51" t="s">
        <v>7692</v>
      </c>
      <c r="FI2" s="51" t="s">
        <v>7693</v>
      </c>
      <c r="FJ2" s="51" t="s">
        <v>7694</v>
      </c>
      <c r="FK2" s="51" t="s">
        <v>7695</v>
      </c>
      <c r="FL2" s="51" t="s">
        <v>7696</v>
      </c>
      <c r="FM2" s="5" t="s">
        <v>7010</v>
      </c>
      <c r="FN2" s="5" t="s">
        <v>303</v>
      </c>
      <c r="FO2" s="5" t="s">
        <v>7011</v>
      </c>
      <c r="FP2" s="5" t="s">
        <v>7012</v>
      </c>
      <c r="FQ2" s="5" t="s">
        <v>7016</v>
      </c>
      <c r="FR2" s="5" t="s">
        <v>7017</v>
      </c>
      <c r="FS2" s="5" t="s">
        <v>7018</v>
      </c>
      <c r="FT2" s="5" t="s">
        <v>7019</v>
      </c>
      <c r="FU2" s="5" t="s">
        <v>7020</v>
      </c>
      <c r="FV2" s="5" t="s">
        <v>305</v>
      </c>
      <c r="FW2" s="5" t="s">
        <v>7021</v>
      </c>
      <c r="FX2" s="5" t="s">
        <v>304</v>
      </c>
      <c r="FY2" s="5" t="s">
        <v>306</v>
      </c>
      <c r="FZ2" s="5" t="s">
        <v>307</v>
      </c>
      <c r="GA2" s="52" t="s">
        <v>7022</v>
      </c>
      <c r="GB2" s="5" t="s">
        <v>6475</v>
      </c>
      <c r="GC2" s="5" t="s">
        <v>6476</v>
      </c>
    </row>
    <row r="3" spans="1:246" s="29" customFormat="1" ht="58.5" hidden="1" customHeight="1" x14ac:dyDescent="0.15">
      <c r="E3" s="37"/>
      <c r="L3" s="37"/>
      <c r="M3" s="37"/>
      <c r="O3" s="29" t="str">
        <f>IF(COUNTA(O4:O65536)=0,"","04")</f>
        <v/>
      </c>
      <c r="P3" s="29" t="str">
        <f>IF(COUNTA(P4:P65536)=0,"","05")</f>
        <v>05</v>
      </c>
      <c r="Q3" s="29" t="str">
        <f t="shared" ref="Q3:CB3" si="0">IF(COUNTA(Q4:Q65536)=0,"","05")</f>
        <v>05</v>
      </c>
      <c r="R3" s="29" t="str">
        <f t="shared" si="0"/>
        <v>05</v>
      </c>
      <c r="S3" s="29" t="str">
        <f t="shared" si="0"/>
        <v>05</v>
      </c>
      <c r="T3" s="29" t="str">
        <f t="shared" si="0"/>
        <v>05</v>
      </c>
      <c r="U3" s="29" t="str">
        <f t="shared" si="0"/>
        <v/>
      </c>
      <c r="V3" s="29" t="str">
        <f t="shared" si="0"/>
        <v>05</v>
      </c>
      <c r="W3" s="29" t="str">
        <f t="shared" si="0"/>
        <v/>
      </c>
      <c r="X3" s="29" t="str">
        <f t="shared" si="0"/>
        <v>05</v>
      </c>
      <c r="Y3" s="29" t="str">
        <f t="shared" si="0"/>
        <v/>
      </c>
      <c r="Z3" s="29" t="str">
        <f t="shared" si="0"/>
        <v>05</v>
      </c>
      <c r="AA3" s="29" t="str">
        <f t="shared" si="0"/>
        <v>05</v>
      </c>
      <c r="AB3" s="29" t="str">
        <f t="shared" si="0"/>
        <v/>
      </c>
      <c r="AC3" s="29" t="str">
        <f t="shared" si="0"/>
        <v/>
      </c>
      <c r="AD3" s="29" t="str">
        <f t="shared" si="0"/>
        <v/>
      </c>
      <c r="AE3" s="29" t="str">
        <f t="shared" si="0"/>
        <v>05</v>
      </c>
      <c r="AF3" s="29" t="str">
        <f t="shared" si="0"/>
        <v/>
      </c>
      <c r="AG3" s="29" t="str">
        <f t="shared" si="0"/>
        <v/>
      </c>
      <c r="AH3" s="29" t="str">
        <f t="shared" si="0"/>
        <v>05</v>
      </c>
      <c r="AI3" s="29" t="str">
        <f t="shared" si="0"/>
        <v>05</v>
      </c>
      <c r="AJ3" s="29" t="str">
        <f t="shared" si="0"/>
        <v>05</v>
      </c>
      <c r="AK3" s="29" t="str">
        <f t="shared" si="0"/>
        <v/>
      </c>
      <c r="AL3" s="29" t="str">
        <f t="shared" si="0"/>
        <v>05</v>
      </c>
      <c r="AM3" s="29" t="str">
        <f t="shared" si="0"/>
        <v/>
      </c>
      <c r="AN3" s="29" t="str">
        <f t="shared" si="0"/>
        <v/>
      </c>
      <c r="AO3" s="29" t="str">
        <f t="shared" si="0"/>
        <v>05</v>
      </c>
      <c r="AP3" s="29" t="str">
        <f t="shared" si="0"/>
        <v>05</v>
      </c>
      <c r="AQ3" s="29" t="str">
        <f t="shared" si="0"/>
        <v/>
      </c>
      <c r="AR3" s="29" t="str">
        <f t="shared" si="0"/>
        <v/>
      </c>
      <c r="AS3" s="29" t="str">
        <f t="shared" si="0"/>
        <v/>
      </c>
      <c r="AT3" s="29" t="str">
        <f t="shared" si="0"/>
        <v/>
      </c>
      <c r="AU3" s="29" t="str">
        <f t="shared" si="0"/>
        <v/>
      </c>
      <c r="AV3" s="29" t="str">
        <f t="shared" si="0"/>
        <v/>
      </c>
      <c r="AW3" s="29" t="str">
        <f t="shared" si="0"/>
        <v>05</v>
      </c>
      <c r="AX3" s="29" t="str">
        <f t="shared" si="0"/>
        <v>05</v>
      </c>
      <c r="AY3" s="29" t="str">
        <f t="shared" si="0"/>
        <v/>
      </c>
      <c r="AZ3" s="29" t="str">
        <f t="shared" si="0"/>
        <v>05</v>
      </c>
      <c r="BA3" s="29" t="str">
        <f t="shared" si="0"/>
        <v/>
      </c>
      <c r="BB3" s="29" t="str">
        <f t="shared" si="0"/>
        <v>05</v>
      </c>
      <c r="BC3" s="29" t="str">
        <f t="shared" si="0"/>
        <v>05</v>
      </c>
      <c r="BD3" s="29" t="str">
        <f t="shared" si="0"/>
        <v>05</v>
      </c>
      <c r="BE3" s="29" t="str">
        <f t="shared" si="0"/>
        <v>05</v>
      </c>
      <c r="BF3" s="29" t="str">
        <f t="shared" si="0"/>
        <v>05</v>
      </c>
      <c r="BG3" s="29" t="str">
        <f t="shared" si="0"/>
        <v>05</v>
      </c>
      <c r="BH3" s="29" t="str">
        <f t="shared" si="0"/>
        <v/>
      </c>
      <c r="BI3" s="29" t="str">
        <f t="shared" si="0"/>
        <v>05</v>
      </c>
      <c r="BJ3" s="29" t="str">
        <f t="shared" si="0"/>
        <v/>
      </c>
      <c r="BK3" s="29" t="str">
        <f t="shared" si="0"/>
        <v/>
      </c>
      <c r="BL3" s="29" t="str">
        <f t="shared" si="0"/>
        <v>05</v>
      </c>
      <c r="BM3" s="29" t="str">
        <f t="shared" si="0"/>
        <v>05</v>
      </c>
      <c r="BN3" s="29" t="str">
        <f t="shared" si="0"/>
        <v>05</v>
      </c>
      <c r="BO3" s="29" t="str">
        <f t="shared" si="0"/>
        <v/>
      </c>
      <c r="BP3" s="29" t="str">
        <f t="shared" si="0"/>
        <v>05</v>
      </c>
      <c r="BQ3" s="29" t="str">
        <f t="shared" si="0"/>
        <v>05</v>
      </c>
      <c r="BR3" s="29" t="str">
        <f t="shared" si="0"/>
        <v/>
      </c>
      <c r="BS3" s="29" t="str">
        <f t="shared" si="0"/>
        <v>05</v>
      </c>
      <c r="BT3" s="29" t="str">
        <f t="shared" si="0"/>
        <v/>
      </c>
      <c r="BU3" s="29" t="str">
        <f t="shared" si="0"/>
        <v/>
      </c>
      <c r="BV3" s="29" t="str">
        <f t="shared" si="0"/>
        <v>05</v>
      </c>
      <c r="BW3" s="29" t="str">
        <f t="shared" si="0"/>
        <v>05</v>
      </c>
      <c r="BX3" s="29" t="str">
        <f t="shared" si="0"/>
        <v/>
      </c>
      <c r="BY3" s="29" t="str">
        <f t="shared" si="0"/>
        <v/>
      </c>
      <c r="BZ3" s="29" t="str">
        <f t="shared" si="0"/>
        <v/>
      </c>
      <c r="CA3" s="29" t="str">
        <f t="shared" si="0"/>
        <v/>
      </c>
      <c r="CB3" s="29" t="str">
        <f t="shared" si="0"/>
        <v>05</v>
      </c>
      <c r="CC3" s="29" t="str">
        <f t="shared" ref="CC3:ER3" si="1">IF(COUNTA(CC4:CC65536)=0,"","05")</f>
        <v>05</v>
      </c>
      <c r="CD3" s="29" t="str">
        <f t="shared" si="1"/>
        <v/>
      </c>
      <c r="CE3" s="29" t="str">
        <f t="shared" si="1"/>
        <v>05</v>
      </c>
      <c r="CF3" s="29" t="str">
        <f t="shared" si="1"/>
        <v/>
      </c>
      <c r="CG3" s="29" t="str">
        <f t="shared" si="1"/>
        <v>05</v>
      </c>
      <c r="CI3" s="29" t="str">
        <f t="shared" si="1"/>
        <v>05</v>
      </c>
      <c r="CJ3" s="29" t="str">
        <f t="shared" si="1"/>
        <v>05</v>
      </c>
      <c r="CN3" s="29" t="str">
        <f t="shared" si="1"/>
        <v/>
      </c>
      <c r="CO3" s="29" t="str">
        <f t="shared" si="1"/>
        <v>05</v>
      </c>
      <c r="CP3" s="29" t="str">
        <f t="shared" si="1"/>
        <v>05</v>
      </c>
      <c r="CQ3" s="29" t="str">
        <f t="shared" si="1"/>
        <v>05</v>
      </c>
      <c r="CR3" s="29" t="str">
        <f t="shared" si="1"/>
        <v>05</v>
      </c>
      <c r="CS3" s="29" t="str">
        <f t="shared" si="1"/>
        <v>05</v>
      </c>
      <c r="CT3" s="29" t="str">
        <f t="shared" si="1"/>
        <v/>
      </c>
      <c r="CU3" s="29" t="str">
        <f t="shared" si="1"/>
        <v/>
      </c>
      <c r="CV3" s="29" t="str">
        <f t="shared" si="1"/>
        <v/>
      </c>
      <c r="CW3" s="29" t="str">
        <f t="shared" si="1"/>
        <v/>
      </c>
      <c r="CX3" s="29" t="str">
        <f t="shared" si="1"/>
        <v/>
      </c>
      <c r="CY3" s="29" t="str">
        <f t="shared" si="1"/>
        <v/>
      </c>
      <c r="CZ3" s="29" t="str">
        <f t="shared" si="1"/>
        <v/>
      </c>
      <c r="DA3" s="29" t="str">
        <f t="shared" si="1"/>
        <v/>
      </c>
      <c r="DB3" s="29" t="str">
        <f t="shared" si="1"/>
        <v/>
      </c>
      <c r="DC3" s="29" t="str">
        <f t="shared" si="1"/>
        <v/>
      </c>
      <c r="DD3" s="29" t="str">
        <f t="shared" si="1"/>
        <v/>
      </c>
      <c r="DE3" s="29" t="str">
        <f t="shared" si="1"/>
        <v/>
      </c>
      <c r="DF3" s="29" t="str">
        <f t="shared" si="1"/>
        <v/>
      </c>
      <c r="DG3" s="29" t="str">
        <f t="shared" si="1"/>
        <v/>
      </c>
      <c r="DH3" s="29" t="str">
        <f t="shared" si="1"/>
        <v/>
      </c>
      <c r="DI3" s="29" t="str">
        <f t="shared" si="1"/>
        <v/>
      </c>
      <c r="DJ3" s="29" t="str">
        <f t="shared" si="1"/>
        <v/>
      </c>
      <c r="DK3" s="29" t="str">
        <f t="shared" si="1"/>
        <v/>
      </c>
      <c r="DL3" s="29" t="str">
        <f t="shared" si="1"/>
        <v/>
      </c>
      <c r="DM3" s="29" t="str">
        <f t="shared" si="1"/>
        <v/>
      </c>
      <c r="DN3" s="29" t="str">
        <f t="shared" si="1"/>
        <v/>
      </c>
      <c r="DO3" s="29" t="str">
        <f t="shared" si="1"/>
        <v/>
      </c>
      <c r="DP3" s="29" t="str">
        <f t="shared" si="1"/>
        <v/>
      </c>
      <c r="DQ3" s="29" t="str">
        <f t="shared" si="1"/>
        <v/>
      </c>
      <c r="DR3" s="29" t="str">
        <f t="shared" si="1"/>
        <v/>
      </c>
      <c r="DS3" s="29" t="str">
        <f t="shared" si="1"/>
        <v/>
      </c>
      <c r="DT3" s="29" t="str">
        <f t="shared" si="1"/>
        <v/>
      </c>
      <c r="DU3" s="29" t="str">
        <f t="shared" si="1"/>
        <v/>
      </c>
      <c r="DV3" s="29" t="str">
        <f t="shared" si="1"/>
        <v/>
      </c>
      <c r="DW3" s="29" t="str">
        <f t="shared" si="1"/>
        <v/>
      </c>
      <c r="DX3" s="29" t="str">
        <f t="shared" si="1"/>
        <v/>
      </c>
      <c r="DY3" s="29" t="str">
        <f t="shared" si="1"/>
        <v/>
      </c>
      <c r="DZ3" s="29" t="str">
        <f t="shared" si="1"/>
        <v/>
      </c>
      <c r="EA3" s="29" t="str">
        <f t="shared" si="1"/>
        <v>05</v>
      </c>
      <c r="EB3" s="29" t="str">
        <f t="shared" si="1"/>
        <v>05</v>
      </c>
      <c r="EC3" s="29" t="str">
        <f t="shared" si="1"/>
        <v>05</v>
      </c>
      <c r="ED3" s="29" t="str">
        <f t="shared" si="1"/>
        <v>05</v>
      </c>
      <c r="EE3" s="29" t="str">
        <f t="shared" si="1"/>
        <v>05</v>
      </c>
      <c r="EF3" s="29" t="str">
        <f t="shared" si="1"/>
        <v/>
      </c>
      <c r="EG3" s="29" t="str">
        <f t="shared" si="1"/>
        <v>05</v>
      </c>
      <c r="EH3" s="29" t="str">
        <f t="shared" si="1"/>
        <v>05</v>
      </c>
      <c r="EI3" s="29" t="str">
        <f t="shared" si="1"/>
        <v>05</v>
      </c>
      <c r="EJ3" s="29" t="str">
        <f t="shared" si="1"/>
        <v>05</v>
      </c>
      <c r="EK3" s="29" t="str">
        <f t="shared" si="1"/>
        <v>05</v>
      </c>
      <c r="EL3" s="29" t="str">
        <f t="shared" si="1"/>
        <v>05</v>
      </c>
      <c r="EM3" s="29" t="str">
        <f t="shared" si="1"/>
        <v>05</v>
      </c>
      <c r="EN3" s="29" t="str">
        <f t="shared" si="1"/>
        <v>05</v>
      </c>
      <c r="EO3" s="29" t="str">
        <f t="shared" si="1"/>
        <v>05</v>
      </c>
      <c r="EP3" s="29" t="str">
        <f t="shared" si="1"/>
        <v>05</v>
      </c>
      <c r="EQ3" s="29" t="str">
        <f t="shared" si="1"/>
        <v>05</v>
      </c>
      <c r="ER3" s="29" t="str">
        <f t="shared" si="1"/>
        <v>05</v>
      </c>
      <c r="ES3" s="29" t="str">
        <f t="shared" ref="ES3:HS3" si="2">IF(COUNTA(ES4:ES65536)=0,"","05")</f>
        <v>05</v>
      </c>
      <c r="ET3" s="29" t="str">
        <f t="shared" si="2"/>
        <v>05</v>
      </c>
      <c r="EU3" s="29" t="str">
        <f t="shared" si="2"/>
        <v/>
      </c>
      <c r="EV3" s="29" t="str">
        <f t="shared" si="2"/>
        <v>05</v>
      </c>
      <c r="EW3" s="5"/>
      <c r="EX3" s="5"/>
      <c r="EY3" s="5"/>
      <c r="EZ3" s="5"/>
      <c r="FA3" s="5"/>
      <c r="FB3" s="5"/>
      <c r="FC3" s="5"/>
      <c r="FD3" s="5"/>
      <c r="FE3" s="5"/>
      <c r="FF3" s="5"/>
      <c r="FG3" s="5"/>
      <c r="FH3" s="5"/>
      <c r="FI3" s="5"/>
      <c r="FJ3" s="5"/>
      <c r="FK3" s="5"/>
      <c r="FL3" s="5"/>
      <c r="FM3" s="29" t="str">
        <f t="shared" si="2"/>
        <v/>
      </c>
      <c r="FN3" s="29" t="str">
        <f t="shared" si="2"/>
        <v>05</v>
      </c>
      <c r="FO3" s="29" t="str">
        <f t="shared" si="2"/>
        <v/>
      </c>
      <c r="FP3" s="29" t="str">
        <f t="shared" si="2"/>
        <v/>
      </c>
      <c r="FQ3" s="29" t="str">
        <f t="shared" si="2"/>
        <v/>
      </c>
      <c r="FR3" s="29" t="str">
        <f t="shared" si="2"/>
        <v/>
      </c>
      <c r="FS3" s="29" t="str">
        <f t="shared" si="2"/>
        <v/>
      </c>
      <c r="FT3" s="29" t="str">
        <f t="shared" si="2"/>
        <v/>
      </c>
      <c r="FU3" s="29" t="str">
        <f t="shared" si="2"/>
        <v/>
      </c>
      <c r="FV3" s="29" t="str">
        <f t="shared" si="2"/>
        <v>05</v>
      </c>
      <c r="FW3" s="29" t="str">
        <f t="shared" si="2"/>
        <v/>
      </c>
      <c r="FX3" s="29" t="str">
        <f t="shared" si="2"/>
        <v>05</v>
      </c>
      <c r="FY3" s="29" t="str">
        <f t="shared" si="2"/>
        <v>05</v>
      </c>
      <c r="FZ3" s="29" t="str">
        <f t="shared" si="2"/>
        <v>05</v>
      </c>
      <c r="GA3" s="29" t="str">
        <f t="shared" si="2"/>
        <v/>
      </c>
      <c r="GB3" s="29" t="str">
        <f t="shared" si="2"/>
        <v>05</v>
      </c>
      <c r="GC3" s="29" t="str">
        <f t="shared" si="2"/>
        <v>05</v>
      </c>
      <c r="GD3" s="29" t="str">
        <f t="shared" si="2"/>
        <v/>
      </c>
      <c r="GE3" s="29" t="str">
        <f t="shared" si="2"/>
        <v/>
      </c>
      <c r="GF3" s="29" t="str">
        <f t="shared" si="2"/>
        <v/>
      </c>
      <c r="GG3" s="29" t="str">
        <f t="shared" si="2"/>
        <v/>
      </c>
      <c r="GH3" s="29" t="str">
        <f t="shared" si="2"/>
        <v/>
      </c>
      <c r="GI3" s="29" t="str">
        <f t="shared" si="2"/>
        <v/>
      </c>
      <c r="GJ3" s="29" t="str">
        <f t="shared" si="2"/>
        <v/>
      </c>
      <c r="GK3" s="29" t="str">
        <f t="shared" si="2"/>
        <v/>
      </c>
      <c r="GL3" s="29" t="str">
        <f t="shared" si="2"/>
        <v/>
      </c>
      <c r="GM3" s="29" t="str">
        <f t="shared" si="2"/>
        <v/>
      </c>
      <c r="GN3" s="29" t="str">
        <f t="shared" si="2"/>
        <v/>
      </c>
      <c r="GO3" s="29" t="str">
        <f t="shared" si="2"/>
        <v/>
      </c>
      <c r="GP3" s="29" t="str">
        <f t="shared" si="2"/>
        <v/>
      </c>
      <c r="GQ3" s="29" t="str">
        <f t="shared" si="2"/>
        <v/>
      </c>
      <c r="GR3" s="29" t="str">
        <f t="shared" si="2"/>
        <v/>
      </c>
      <c r="GS3" s="29" t="str">
        <f t="shared" si="2"/>
        <v/>
      </c>
      <c r="GT3" s="29" t="str">
        <f t="shared" si="2"/>
        <v/>
      </c>
      <c r="GU3" s="29" t="str">
        <f t="shared" si="2"/>
        <v/>
      </c>
      <c r="GV3" s="29" t="str">
        <f t="shared" si="2"/>
        <v/>
      </c>
      <c r="GW3" s="29" t="str">
        <f t="shared" si="2"/>
        <v/>
      </c>
      <c r="GX3" s="29" t="str">
        <f t="shared" si="2"/>
        <v/>
      </c>
      <c r="GY3" s="29" t="str">
        <f t="shared" si="2"/>
        <v/>
      </c>
      <c r="GZ3" s="29" t="str">
        <f t="shared" si="2"/>
        <v/>
      </c>
      <c r="HA3" s="29" t="str">
        <f t="shared" si="2"/>
        <v/>
      </c>
      <c r="HB3" s="29" t="str">
        <f t="shared" si="2"/>
        <v/>
      </c>
      <c r="HC3" s="29" t="str">
        <f t="shared" si="2"/>
        <v/>
      </c>
      <c r="HD3" s="29" t="str">
        <f t="shared" si="2"/>
        <v/>
      </c>
      <c r="HE3" s="29" t="str">
        <f t="shared" si="2"/>
        <v/>
      </c>
      <c r="HF3" s="29" t="str">
        <f t="shared" si="2"/>
        <v/>
      </c>
      <c r="HG3" s="29" t="str">
        <f t="shared" si="2"/>
        <v/>
      </c>
      <c r="HH3" s="29" t="str">
        <f t="shared" si="2"/>
        <v/>
      </c>
      <c r="HI3" s="29" t="str">
        <f t="shared" si="2"/>
        <v/>
      </c>
      <c r="HJ3" s="29" t="str">
        <f t="shared" si="2"/>
        <v/>
      </c>
      <c r="HK3" s="29" t="str">
        <f t="shared" si="2"/>
        <v/>
      </c>
      <c r="HL3" s="29" t="str">
        <f t="shared" si="2"/>
        <v/>
      </c>
      <c r="HM3" s="29" t="str">
        <f t="shared" si="2"/>
        <v/>
      </c>
      <c r="HN3" s="29" t="str">
        <f t="shared" si="2"/>
        <v/>
      </c>
      <c r="HO3" s="29" t="str">
        <f t="shared" si="2"/>
        <v/>
      </c>
      <c r="HP3" s="29" t="str">
        <f t="shared" si="2"/>
        <v/>
      </c>
      <c r="HQ3" s="29" t="str">
        <f t="shared" si="2"/>
        <v/>
      </c>
      <c r="HR3" s="29" t="str">
        <f t="shared" si="2"/>
        <v/>
      </c>
      <c r="HS3" s="29" t="str">
        <f t="shared" si="2"/>
        <v/>
      </c>
      <c r="HT3" s="29" t="str">
        <f t="shared" ref="HT3:IL3" si="3">IF(COUNTA(HT4:HT65536)=0,"","05")</f>
        <v/>
      </c>
      <c r="HU3" s="29" t="str">
        <f t="shared" si="3"/>
        <v/>
      </c>
      <c r="HV3" s="29" t="str">
        <f t="shared" si="3"/>
        <v/>
      </c>
      <c r="HW3" s="29" t="str">
        <f t="shared" si="3"/>
        <v/>
      </c>
      <c r="HX3" s="29" t="str">
        <f t="shared" si="3"/>
        <v/>
      </c>
      <c r="HY3" s="29" t="str">
        <f t="shared" si="3"/>
        <v/>
      </c>
      <c r="HZ3" s="29" t="str">
        <f t="shared" si="3"/>
        <v/>
      </c>
      <c r="IA3" s="29" t="str">
        <f t="shared" si="3"/>
        <v/>
      </c>
      <c r="IB3" s="29" t="str">
        <f t="shared" si="3"/>
        <v/>
      </c>
      <c r="IC3" s="29" t="str">
        <f t="shared" si="3"/>
        <v/>
      </c>
      <c r="ID3" s="29" t="str">
        <f t="shared" si="3"/>
        <v/>
      </c>
      <c r="IE3" s="29" t="str">
        <f t="shared" si="3"/>
        <v/>
      </c>
      <c r="IF3" s="29" t="str">
        <f t="shared" si="3"/>
        <v/>
      </c>
      <c r="IG3" s="29" t="str">
        <f t="shared" si="3"/>
        <v/>
      </c>
      <c r="IH3" s="29" t="str">
        <f t="shared" si="3"/>
        <v/>
      </c>
      <c r="II3" s="29" t="str">
        <f t="shared" si="3"/>
        <v/>
      </c>
      <c r="IJ3" s="29" t="str">
        <f t="shared" si="3"/>
        <v/>
      </c>
      <c r="IK3" s="29" t="str">
        <f t="shared" si="3"/>
        <v/>
      </c>
      <c r="IL3" s="29" t="str">
        <f t="shared" si="3"/>
        <v/>
      </c>
    </row>
    <row r="4" spans="1:246" x14ac:dyDescent="0.2">
      <c r="A4" s="1" t="s">
        <v>308</v>
      </c>
      <c r="B4" s="1" t="s">
        <v>309</v>
      </c>
      <c r="C4" s="1" t="s">
        <v>310</v>
      </c>
      <c r="D4" s="1" t="s">
        <v>311</v>
      </c>
      <c r="E4" s="17" t="s">
        <v>7</v>
      </c>
      <c r="F4" s="1" t="s">
        <v>312</v>
      </c>
      <c r="G4" s="1" t="s">
        <v>313</v>
      </c>
      <c r="H4" s="1" t="s">
        <v>314</v>
      </c>
      <c r="I4" s="1">
        <v>3</v>
      </c>
      <c r="L4" s="17" t="s">
        <v>315</v>
      </c>
      <c r="M4" s="17" t="s">
        <v>29</v>
      </c>
      <c r="N4" s="6">
        <v>1</v>
      </c>
      <c r="O4" s="6"/>
      <c r="R4" s="1">
        <v>90</v>
      </c>
      <c r="T4" s="1">
        <v>6.25</v>
      </c>
      <c r="V4" s="1">
        <v>3.9</v>
      </c>
      <c r="AA4" s="1">
        <v>0.7</v>
      </c>
      <c r="AI4" s="1">
        <v>3.6</v>
      </c>
      <c r="AO4" s="1">
        <v>1.1000000000000001</v>
      </c>
      <c r="AW4" s="1">
        <v>0.9</v>
      </c>
      <c r="AX4" s="1">
        <v>101</v>
      </c>
      <c r="BC4" s="1">
        <v>1</v>
      </c>
      <c r="BD4" s="1">
        <v>221</v>
      </c>
      <c r="BE4" s="1">
        <v>49</v>
      </c>
      <c r="BI4" s="1">
        <v>58</v>
      </c>
      <c r="BV4" s="1">
        <v>1300</v>
      </c>
    </row>
    <row r="5" spans="1:246" x14ac:dyDescent="0.2">
      <c r="A5" s="1" t="s">
        <v>316</v>
      </c>
      <c r="B5" s="1" t="s">
        <v>309</v>
      </c>
      <c r="C5" s="1" t="s">
        <v>310</v>
      </c>
      <c r="D5" s="1" t="s">
        <v>317</v>
      </c>
      <c r="E5" s="17" t="s">
        <v>11</v>
      </c>
      <c r="F5" s="1" t="s">
        <v>312</v>
      </c>
      <c r="G5" s="1" t="s">
        <v>313</v>
      </c>
      <c r="H5" s="1" t="s">
        <v>318</v>
      </c>
      <c r="I5" s="1">
        <v>2</v>
      </c>
      <c r="L5" s="17" t="s">
        <v>315</v>
      </c>
      <c r="M5" s="17" t="s">
        <v>29</v>
      </c>
      <c r="N5" s="6">
        <v>1</v>
      </c>
      <c r="O5" s="6"/>
      <c r="Q5" s="1">
        <v>50</v>
      </c>
      <c r="R5" s="1">
        <v>87.8</v>
      </c>
      <c r="T5" s="1">
        <v>6.25</v>
      </c>
      <c r="V5" s="1">
        <v>4.9000000000000004</v>
      </c>
      <c r="AA5" s="1">
        <v>1</v>
      </c>
      <c r="AI5" s="1">
        <v>3.6</v>
      </c>
      <c r="AO5" s="1">
        <v>1.6</v>
      </c>
      <c r="AW5" s="1">
        <v>0.7</v>
      </c>
      <c r="AX5" s="1">
        <v>109</v>
      </c>
      <c r="BC5" s="1">
        <v>4</v>
      </c>
      <c r="BD5" s="1">
        <v>94</v>
      </c>
      <c r="BE5" s="1">
        <v>33</v>
      </c>
      <c r="BI5" s="1">
        <v>55</v>
      </c>
      <c r="BV5" s="1">
        <v>8900</v>
      </c>
    </row>
    <row r="6" spans="1:246" x14ac:dyDescent="0.2">
      <c r="A6" s="1" t="s">
        <v>319</v>
      </c>
      <c r="B6" s="1" t="s">
        <v>309</v>
      </c>
      <c r="C6" s="1" t="s">
        <v>320</v>
      </c>
      <c r="D6" s="1" t="s">
        <v>321</v>
      </c>
      <c r="E6" s="17" t="s">
        <v>7</v>
      </c>
      <c r="F6" s="1" t="s">
        <v>322</v>
      </c>
      <c r="G6" s="1" t="s">
        <v>313</v>
      </c>
      <c r="H6" s="1" t="s">
        <v>314</v>
      </c>
      <c r="I6" s="1">
        <v>2</v>
      </c>
      <c r="L6" s="17" t="s">
        <v>315</v>
      </c>
      <c r="M6" s="17" t="s">
        <v>29</v>
      </c>
      <c r="N6" s="6">
        <v>1</v>
      </c>
      <c r="O6" s="6"/>
      <c r="Q6" s="1">
        <v>57.702702702702702</v>
      </c>
      <c r="R6" s="1">
        <v>89.9</v>
      </c>
      <c r="T6" s="1">
        <v>6.25</v>
      </c>
      <c r="V6" s="1">
        <v>1.7</v>
      </c>
      <c r="AA6" s="1">
        <v>0.6</v>
      </c>
      <c r="AI6" s="1">
        <v>4.5</v>
      </c>
      <c r="AO6" s="1">
        <v>1.5</v>
      </c>
      <c r="AW6" s="1">
        <v>1.4</v>
      </c>
      <c r="AX6" s="1">
        <v>174</v>
      </c>
      <c r="BC6" s="1">
        <v>10</v>
      </c>
      <c r="BD6" s="1">
        <v>285</v>
      </c>
      <c r="BE6" s="1">
        <v>38</v>
      </c>
      <c r="BI6" s="1">
        <v>36</v>
      </c>
      <c r="BV6" s="1">
        <v>2100</v>
      </c>
    </row>
    <row r="7" spans="1:246" x14ac:dyDescent="0.2">
      <c r="A7" s="1" t="s">
        <v>323</v>
      </c>
      <c r="B7" s="1" t="s">
        <v>309</v>
      </c>
      <c r="C7" s="1" t="s">
        <v>320</v>
      </c>
      <c r="D7" s="1" t="s">
        <v>324</v>
      </c>
      <c r="E7" s="17" t="s">
        <v>11</v>
      </c>
      <c r="F7" s="1" t="s">
        <v>322</v>
      </c>
      <c r="G7" s="1" t="s">
        <v>313</v>
      </c>
      <c r="H7" s="1" t="s">
        <v>325</v>
      </c>
      <c r="I7" s="1">
        <v>1</v>
      </c>
      <c r="L7" s="17" t="s">
        <v>315</v>
      </c>
      <c r="M7" s="17" t="s">
        <v>29</v>
      </c>
      <c r="N7" s="6">
        <v>1</v>
      </c>
      <c r="O7" s="6"/>
      <c r="R7" s="1">
        <v>74</v>
      </c>
      <c r="T7" s="1">
        <v>6.25</v>
      </c>
      <c r="V7" s="1">
        <v>7.8</v>
      </c>
      <c r="AA7" s="1">
        <v>2.5</v>
      </c>
      <c r="AI7" s="1">
        <v>6.5</v>
      </c>
      <c r="AO7" s="1">
        <v>5.3</v>
      </c>
      <c r="AW7" s="1">
        <v>1.9</v>
      </c>
      <c r="AX7" s="1">
        <v>434</v>
      </c>
      <c r="BC7" s="1">
        <v>25</v>
      </c>
      <c r="BD7" s="1">
        <v>191</v>
      </c>
      <c r="BE7" s="1">
        <v>59</v>
      </c>
      <c r="BI7" s="1">
        <v>87</v>
      </c>
      <c r="BV7" s="1">
        <v>2240</v>
      </c>
    </row>
    <row r="8" spans="1:246" x14ac:dyDescent="0.2">
      <c r="A8" s="1" t="s">
        <v>326</v>
      </c>
      <c r="B8" s="1" t="s">
        <v>309</v>
      </c>
      <c r="C8" s="1" t="s">
        <v>327</v>
      </c>
      <c r="D8" s="1" t="s">
        <v>328</v>
      </c>
      <c r="E8" s="17" t="s">
        <v>7</v>
      </c>
      <c r="F8" s="1" t="s">
        <v>329</v>
      </c>
      <c r="G8" s="1" t="s">
        <v>313</v>
      </c>
      <c r="H8" s="1" t="s">
        <v>330</v>
      </c>
      <c r="I8" s="1">
        <v>1</v>
      </c>
      <c r="L8" s="17" t="s">
        <v>315</v>
      </c>
      <c r="M8" s="17" t="s">
        <v>29</v>
      </c>
      <c r="N8" s="6">
        <v>1</v>
      </c>
      <c r="O8" s="6"/>
      <c r="R8" s="1">
        <v>93.7</v>
      </c>
      <c r="T8" s="1">
        <v>6.25</v>
      </c>
      <c r="V8" s="1">
        <v>1.8</v>
      </c>
      <c r="AA8" s="1">
        <v>0.6</v>
      </c>
      <c r="AI8" s="1">
        <v>2</v>
      </c>
      <c r="AO8" s="1">
        <v>0.7</v>
      </c>
      <c r="AW8" s="1">
        <v>0.9</v>
      </c>
      <c r="AX8" s="1">
        <v>99</v>
      </c>
      <c r="BC8" s="1">
        <v>4</v>
      </c>
      <c r="BD8" s="1">
        <v>230</v>
      </c>
      <c r="BE8" s="1">
        <v>31</v>
      </c>
      <c r="BI8" s="1">
        <v>37</v>
      </c>
    </row>
    <row r="9" spans="1:246" x14ac:dyDescent="0.2">
      <c r="A9" s="1" t="s">
        <v>331</v>
      </c>
      <c r="B9" s="1" t="s">
        <v>309</v>
      </c>
      <c r="C9" s="1" t="s">
        <v>327</v>
      </c>
      <c r="D9" s="1" t="s">
        <v>332</v>
      </c>
      <c r="E9" s="17" t="s">
        <v>11</v>
      </c>
      <c r="F9" s="1" t="s">
        <v>329</v>
      </c>
      <c r="G9" s="1" t="s">
        <v>313</v>
      </c>
      <c r="H9" s="1" t="s">
        <v>333</v>
      </c>
      <c r="I9" s="1">
        <v>1</v>
      </c>
      <c r="L9" s="17" t="s">
        <v>315</v>
      </c>
      <c r="M9" s="17" t="s">
        <v>29</v>
      </c>
      <c r="N9" s="6">
        <v>1</v>
      </c>
      <c r="O9" s="6"/>
      <c r="R9" s="1">
        <v>86.2</v>
      </c>
      <c r="T9" s="1">
        <v>6.25</v>
      </c>
      <c r="V9" s="1">
        <v>4.8</v>
      </c>
      <c r="AA9" s="1">
        <v>1.2</v>
      </c>
      <c r="AI9" s="1">
        <v>3.3</v>
      </c>
      <c r="AO9" s="1">
        <v>2.2999999999999998</v>
      </c>
      <c r="AW9" s="1">
        <v>1.1000000000000001</v>
      </c>
      <c r="AX9" s="1">
        <v>209</v>
      </c>
      <c r="BC9" s="1">
        <v>9</v>
      </c>
      <c r="BD9" s="1">
        <v>152</v>
      </c>
      <c r="BE9" s="1">
        <v>43</v>
      </c>
      <c r="BI9" s="1">
        <v>77</v>
      </c>
    </row>
    <row r="10" spans="1:246" x14ac:dyDescent="0.2">
      <c r="A10" s="1" t="s">
        <v>334</v>
      </c>
      <c r="B10" s="1" t="s">
        <v>309</v>
      </c>
      <c r="C10" s="1" t="s">
        <v>335</v>
      </c>
      <c r="D10" s="1" t="s">
        <v>336</v>
      </c>
      <c r="E10" s="17" t="s">
        <v>7</v>
      </c>
      <c r="F10" s="1" t="s">
        <v>337</v>
      </c>
      <c r="G10" s="1" t="s">
        <v>313</v>
      </c>
      <c r="H10" s="1" t="s">
        <v>330</v>
      </c>
      <c r="I10" s="1">
        <v>1</v>
      </c>
      <c r="L10" s="17" t="s">
        <v>315</v>
      </c>
      <c r="M10" s="17" t="s">
        <v>29</v>
      </c>
      <c r="N10" s="6">
        <v>1</v>
      </c>
      <c r="O10" s="6"/>
      <c r="R10" s="1">
        <v>88.7</v>
      </c>
      <c r="T10" s="1">
        <v>6.25</v>
      </c>
      <c r="V10" s="1">
        <v>2.2000000000000002</v>
      </c>
      <c r="AA10" s="1">
        <v>0.4</v>
      </c>
      <c r="AI10" s="1">
        <v>4.7</v>
      </c>
      <c r="AO10" s="1">
        <v>1.3</v>
      </c>
      <c r="AW10" s="1">
        <v>1.8</v>
      </c>
      <c r="AX10" s="1">
        <v>129</v>
      </c>
      <c r="BC10" s="1">
        <v>3</v>
      </c>
      <c r="BD10" s="1">
        <v>559</v>
      </c>
      <c r="BE10" s="1">
        <v>19</v>
      </c>
      <c r="BI10" s="1">
        <v>58</v>
      </c>
    </row>
    <row r="11" spans="1:246" x14ac:dyDescent="0.2">
      <c r="A11" s="1" t="s">
        <v>338</v>
      </c>
      <c r="B11" s="1" t="s">
        <v>309</v>
      </c>
      <c r="C11" s="1" t="s">
        <v>335</v>
      </c>
      <c r="D11" s="1" t="s">
        <v>321</v>
      </c>
      <c r="E11" s="17" t="s">
        <v>11</v>
      </c>
      <c r="F11" s="1" t="s">
        <v>337</v>
      </c>
      <c r="G11" s="1" t="s">
        <v>313</v>
      </c>
      <c r="H11" s="1" t="s">
        <v>339</v>
      </c>
      <c r="I11" s="1">
        <v>1</v>
      </c>
      <c r="L11" s="17" t="s">
        <v>315</v>
      </c>
      <c r="M11" s="17" t="s">
        <v>29</v>
      </c>
      <c r="N11" s="6">
        <v>1</v>
      </c>
      <c r="O11" s="6"/>
      <c r="R11" s="1">
        <v>85.3</v>
      </c>
      <c r="T11" s="1">
        <v>6.25</v>
      </c>
      <c r="V11" s="1">
        <v>4.9000000000000004</v>
      </c>
      <c r="AA11" s="1">
        <v>1.2</v>
      </c>
      <c r="AI11" s="1">
        <v>3.9</v>
      </c>
      <c r="AO11" s="1">
        <v>2.2000000000000002</v>
      </c>
      <c r="AW11" s="1">
        <v>1.5</v>
      </c>
      <c r="AX11" s="1">
        <v>229</v>
      </c>
      <c r="BC11" s="1">
        <v>4</v>
      </c>
      <c r="BD11" s="1">
        <v>391</v>
      </c>
      <c r="BE11" s="1">
        <v>29</v>
      </c>
      <c r="BI11" s="1">
        <v>65</v>
      </c>
    </row>
    <row r="12" spans="1:246" x14ac:dyDescent="0.2">
      <c r="A12" s="1" t="s">
        <v>340</v>
      </c>
      <c r="B12" s="1" t="s">
        <v>309</v>
      </c>
      <c r="C12" s="1" t="s">
        <v>341</v>
      </c>
      <c r="D12" s="1" t="s">
        <v>324</v>
      </c>
      <c r="E12" s="17" t="s">
        <v>7</v>
      </c>
      <c r="F12" s="1" t="s">
        <v>342</v>
      </c>
      <c r="G12" s="1" t="s">
        <v>313</v>
      </c>
      <c r="H12" s="1" t="s">
        <v>330</v>
      </c>
      <c r="I12" s="1">
        <v>2</v>
      </c>
      <c r="L12" s="17" t="s">
        <v>315</v>
      </c>
      <c r="M12" s="17" t="s">
        <v>29</v>
      </c>
      <c r="N12" s="6">
        <v>1</v>
      </c>
      <c r="O12" s="6"/>
      <c r="R12" s="1">
        <v>91</v>
      </c>
      <c r="T12" s="1">
        <v>6.25</v>
      </c>
      <c r="V12" s="1">
        <v>2.5</v>
      </c>
      <c r="AA12" s="1">
        <v>0.7</v>
      </c>
      <c r="AI12" s="1">
        <v>3.4</v>
      </c>
      <c r="AO12" s="1">
        <v>0.9</v>
      </c>
      <c r="AW12" s="1">
        <v>1.3</v>
      </c>
      <c r="AX12" s="1">
        <v>203</v>
      </c>
      <c r="BC12" s="1">
        <v>2</v>
      </c>
      <c r="BD12" s="1">
        <v>285</v>
      </c>
      <c r="BE12" s="1">
        <v>40</v>
      </c>
      <c r="BI12" s="1">
        <v>32</v>
      </c>
    </row>
    <row r="13" spans="1:246" x14ac:dyDescent="0.2">
      <c r="A13" s="1" t="s">
        <v>343</v>
      </c>
      <c r="B13" s="1" t="s">
        <v>309</v>
      </c>
      <c r="C13" s="1" t="s">
        <v>344</v>
      </c>
      <c r="D13" s="1" t="s">
        <v>345</v>
      </c>
      <c r="E13" s="17" t="s">
        <v>7</v>
      </c>
      <c r="F13" s="1" t="s">
        <v>346</v>
      </c>
      <c r="G13" s="1" t="s">
        <v>313</v>
      </c>
      <c r="H13" s="1" t="s">
        <v>330</v>
      </c>
      <c r="I13" s="1">
        <v>1</v>
      </c>
      <c r="L13" s="17" t="s">
        <v>315</v>
      </c>
      <c r="M13" s="17" t="s">
        <v>29</v>
      </c>
      <c r="N13" s="6">
        <v>1</v>
      </c>
      <c r="O13" s="6"/>
      <c r="R13" s="1">
        <v>84.8</v>
      </c>
      <c r="T13" s="1">
        <v>6.25</v>
      </c>
      <c r="V13" s="1">
        <v>4.8</v>
      </c>
      <c r="AA13" s="1">
        <v>1.2</v>
      </c>
      <c r="AI13" s="1">
        <v>4.5999999999999996</v>
      </c>
      <c r="AO13" s="1">
        <v>2.6</v>
      </c>
      <c r="AW13" s="1">
        <v>1.3</v>
      </c>
      <c r="AX13" s="1">
        <v>159</v>
      </c>
      <c r="BC13" s="1">
        <v>2</v>
      </c>
      <c r="BD13" s="1">
        <v>355</v>
      </c>
      <c r="BE13" s="1">
        <v>40</v>
      </c>
      <c r="BI13" s="1">
        <v>71</v>
      </c>
    </row>
    <row r="14" spans="1:246" x14ac:dyDescent="0.2">
      <c r="A14" s="1" t="s">
        <v>347</v>
      </c>
      <c r="B14" s="1" t="s">
        <v>309</v>
      </c>
      <c r="C14" s="1" t="s">
        <v>348</v>
      </c>
      <c r="D14" s="1" t="s">
        <v>349</v>
      </c>
      <c r="E14" s="17" t="s">
        <v>7</v>
      </c>
      <c r="F14" s="1" t="s">
        <v>350</v>
      </c>
      <c r="G14" s="1" t="s">
        <v>313</v>
      </c>
      <c r="H14" s="1" t="s">
        <v>330</v>
      </c>
      <c r="I14" s="1">
        <v>2</v>
      </c>
      <c r="L14" s="17" t="s">
        <v>315</v>
      </c>
      <c r="M14" s="17" t="s">
        <v>29</v>
      </c>
      <c r="N14" s="6">
        <v>1</v>
      </c>
      <c r="O14" s="6"/>
      <c r="R14" s="1">
        <v>88</v>
      </c>
      <c r="T14" s="1">
        <v>6.25</v>
      </c>
      <c r="V14" s="1">
        <v>3.5</v>
      </c>
      <c r="AA14" s="1">
        <v>0.7</v>
      </c>
      <c r="AI14" s="1">
        <v>4.2</v>
      </c>
      <c r="AO14" s="1">
        <v>1.8</v>
      </c>
      <c r="AW14" s="1">
        <v>1.4</v>
      </c>
      <c r="AX14" s="1">
        <v>92</v>
      </c>
      <c r="BC14" s="1">
        <v>2</v>
      </c>
      <c r="BD14" s="1">
        <v>301</v>
      </c>
      <c r="BE14" s="1">
        <v>32</v>
      </c>
      <c r="BI14" s="1">
        <v>69</v>
      </c>
    </row>
    <row r="15" spans="1:246" x14ac:dyDescent="0.2">
      <c r="A15" s="1" t="s">
        <v>351</v>
      </c>
      <c r="B15" s="1" t="s">
        <v>352</v>
      </c>
      <c r="D15" s="1" t="s">
        <v>353</v>
      </c>
      <c r="E15" s="17" t="s">
        <v>7</v>
      </c>
      <c r="F15" s="1" t="s">
        <v>354</v>
      </c>
      <c r="L15" s="17" t="s">
        <v>355</v>
      </c>
      <c r="M15" s="17" t="s">
        <v>29</v>
      </c>
      <c r="N15" s="6">
        <v>1</v>
      </c>
      <c r="O15" s="6"/>
      <c r="R15" s="1">
        <v>82</v>
      </c>
      <c r="BE15" s="1">
        <v>1000</v>
      </c>
      <c r="CP15" s="1">
        <v>3.4</v>
      </c>
    </row>
    <row r="16" spans="1:246" x14ac:dyDescent="0.2">
      <c r="A16" s="1" t="s">
        <v>356</v>
      </c>
      <c r="B16" s="1" t="s">
        <v>352</v>
      </c>
      <c r="D16" s="1" t="s">
        <v>357</v>
      </c>
      <c r="E16" s="17" t="s">
        <v>11</v>
      </c>
      <c r="F16" s="1" t="s">
        <v>354</v>
      </c>
      <c r="H16" s="1" t="s">
        <v>358</v>
      </c>
      <c r="L16" s="17" t="s">
        <v>355</v>
      </c>
      <c r="M16" s="17" t="s">
        <v>29</v>
      </c>
      <c r="N16" s="6">
        <v>1</v>
      </c>
      <c r="O16" s="6"/>
      <c r="R16" s="1">
        <v>82</v>
      </c>
      <c r="CP16" s="1">
        <v>1.5</v>
      </c>
    </row>
    <row r="17" spans="1:94" x14ac:dyDescent="0.2">
      <c r="A17" s="1" t="s">
        <v>359</v>
      </c>
      <c r="B17" s="1" t="s">
        <v>352</v>
      </c>
      <c r="D17" s="1" t="s">
        <v>357</v>
      </c>
      <c r="E17" s="17" t="s">
        <v>11</v>
      </c>
      <c r="F17" s="1" t="s">
        <v>354</v>
      </c>
      <c r="H17" s="1" t="s">
        <v>360</v>
      </c>
      <c r="L17" s="17" t="s">
        <v>355</v>
      </c>
      <c r="M17" s="17" t="s">
        <v>29</v>
      </c>
      <c r="N17" s="6">
        <v>1</v>
      </c>
      <c r="O17" s="6"/>
      <c r="R17" s="1">
        <v>82</v>
      </c>
      <c r="CP17" s="1">
        <v>1.5</v>
      </c>
    </row>
    <row r="18" spans="1:94" x14ac:dyDescent="0.2">
      <c r="A18" s="1" t="s">
        <v>361</v>
      </c>
      <c r="B18" s="1" t="s">
        <v>352</v>
      </c>
      <c r="D18" s="1" t="s">
        <v>362</v>
      </c>
      <c r="E18" s="17" t="s">
        <v>7</v>
      </c>
      <c r="F18" s="1" t="s">
        <v>363</v>
      </c>
      <c r="L18" s="17" t="s">
        <v>355</v>
      </c>
      <c r="M18" s="17" t="s">
        <v>29</v>
      </c>
      <c r="N18" s="6">
        <v>1</v>
      </c>
      <c r="O18" s="6"/>
      <c r="R18" s="1">
        <v>90.6</v>
      </c>
      <c r="CP18" s="1">
        <v>42.2</v>
      </c>
    </row>
    <row r="19" spans="1:94" x14ac:dyDescent="0.2">
      <c r="A19" s="1" t="s">
        <v>364</v>
      </c>
      <c r="B19" s="1" t="s">
        <v>352</v>
      </c>
      <c r="D19" s="1" t="s">
        <v>365</v>
      </c>
      <c r="E19" s="17" t="s">
        <v>11</v>
      </c>
      <c r="F19" s="1" t="s">
        <v>363</v>
      </c>
      <c r="H19" s="1" t="s">
        <v>358</v>
      </c>
      <c r="L19" s="17" t="s">
        <v>355</v>
      </c>
      <c r="M19" s="17" t="s">
        <v>29</v>
      </c>
      <c r="N19" s="6">
        <v>1</v>
      </c>
      <c r="O19" s="6"/>
      <c r="R19" s="1">
        <v>90.6</v>
      </c>
      <c r="CP19" s="1">
        <v>5.9</v>
      </c>
    </row>
    <row r="20" spans="1:94" x14ac:dyDescent="0.2">
      <c r="A20" s="1" t="s">
        <v>366</v>
      </c>
      <c r="B20" s="1" t="s">
        <v>352</v>
      </c>
      <c r="D20" s="1" t="s">
        <v>365</v>
      </c>
      <c r="E20" s="17" t="s">
        <v>11</v>
      </c>
      <c r="F20" s="1" t="s">
        <v>363</v>
      </c>
      <c r="H20" s="1" t="s">
        <v>360</v>
      </c>
      <c r="L20" s="17" t="s">
        <v>355</v>
      </c>
      <c r="M20" s="17" t="s">
        <v>29</v>
      </c>
      <c r="N20" s="6">
        <v>1</v>
      </c>
      <c r="O20" s="6"/>
      <c r="R20" s="1">
        <v>90.6</v>
      </c>
      <c r="CP20" s="1">
        <v>20.5</v>
      </c>
    </row>
    <row r="21" spans="1:94" x14ac:dyDescent="0.2">
      <c r="A21" s="1" t="s">
        <v>367</v>
      </c>
      <c r="B21" s="1" t="s">
        <v>352</v>
      </c>
      <c r="D21" s="1" t="s">
        <v>368</v>
      </c>
      <c r="E21" s="17" t="s">
        <v>7</v>
      </c>
      <c r="F21" s="1" t="s">
        <v>369</v>
      </c>
      <c r="L21" s="17" t="s">
        <v>355</v>
      </c>
      <c r="M21" s="17" t="s">
        <v>29</v>
      </c>
      <c r="N21" s="6">
        <v>1</v>
      </c>
      <c r="O21" s="6"/>
      <c r="R21" s="1">
        <v>90.4</v>
      </c>
      <c r="CP21" s="1">
        <v>0.7</v>
      </c>
    </row>
    <row r="22" spans="1:94" x14ac:dyDescent="0.2">
      <c r="A22" s="1" t="s">
        <v>370</v>
      </c>
      <c r="B22" s="1" t="s">
        <v>352</v>
      </c>
      <c r="D22" s="1" t="s">
        <v>371</v>
      </c>
      <c r="E22" s="17" t="s">
        <v>11</v>
      </c>
      <c r="F22" s="1" t="s">
        <v>369</v>
      </c>
      <c r="H22" s="1" t="s">
        <v>358</v>
      </c>
      <c r="L22" s="17" t="s">
        <v>355</v>
      </c>
      <c r="M22" s="17" t="s">
        <v>29</v>
      </c>
      <c r="N22" s="6">
        <v>1</v>
      </c>
      <c r="O22" s="6"/>
      <c r="R22" s="1">
        <v>90.4</v>
      </c>
      <c r="CP22" s="1">
        <v>0.7</v>
      </c>
    </row>
    <row r="23" spans="1:94" x14ac:dyDescent="0.2">
      <c r="A23" s="1" t="s">
        <v>372</v>
      </c>
      <c r="B23" s="1" t="s">
        <v>352</v>
      </c>
      <c r="D23" s="1" t="s">
        <v>371</v>
      </c>
      <c r="E23" s="17" t="s">
        <v>11</v>
      </c>
      <c r="F23" s="1" t="s">
        <v>369</v>
      </c>
      <c r="H23" s="1" t="s">
        <v>360</v>
      </c>
      <c r="L23" s="17" t="s">
        <v>355</v>
      </c>
      <c r="M23" s="17" t="s">
        <v>29</v>
      </c>
      <c r="N23" s="6">
        <v>1</v>
      </c>
      <c r="O23" s="6"/>
      <c r="R23" s="1">
        <v>90.4</v>
      </c>
      <c r="CP23" s="1">
        <v>0.7</v>
      </c>
    </row>
    <row r="24" spans="1:94" x14ac:dyDescent="0.2">
      <c r="A24" s="1" t="s">
        <v>373</v>
      </c>
      <c r="B24" s="1" t="s">
        <v>352</v>
      </c>
      <c r="D24" s="1" t="s">
        <v>374</v>
      </c>
      <c r="E24" s="17" t="s">
        <v>7</v>
      </c>
      <c r="F24" s="1" t="s">
        <v>375</v>
      </c>
      <c r="L24" s="17" t="s">
        <v>355</v>
      </c>
      <c r="M24" s="17" t="s">
        <v>29</v>
      </c>
      <c r="N24" s="6">
        <v>1</v>
      </c>
      <c r="O24" s="6"/>
      <c r="R24" s="1">
        <v>75</v>
      </c>
      <c r="CP24" s="1">
        <v>57.2</v>
      </c>
    </row>
    <row r="25" spans="1:94" x14ac:dyDescent="0.2">
      <c r="A25" s="1" t="s">
        <v>376</v>
      </c>
      <c r="B25" s="1" t="s">
        <v>352</v>
      </c>
      <c r="D25" s="1" t="s">
        <v>377</v>
      </c>
      <c r="E25" s="17" t="s">
        <v>11</v>
      </c>
      <c r="F25" s="1" t="s">
        <v>375</v>
      </c>
      <c r="H25" s="1" t="s">
        <v>358</v>
      </c>
      <c r="L25" s="17" t="s">
        <v>355</v>
      </c>
      <c r="M25" s="17" t="s">
        <v>29</v>
      </c>
      <c r="N25" s="6">
        <v>1</v>
      </c>
      <c r="O25" s="6"/>
      <c r="R25" s="1">
        <v>75</v>
      </c>
      <c r="CP25" s="1">
        <v>1.7</v>
      </c>
    </row>
    <row r="26" spans="1:94" x14ac:dyDescent="0.2">
      <c r="A26" s="1" t="s">
        <v>378</v>
      </c>
      <c r="B26" s="1" t="s">
        <v>352</v>
      </c>
      <c r="D26" s="1" t="s">
        <v>377</v>
      </c>
      <c r="E26" s="17" t="s">
        <v>11</v>
      </c>
      <c r="F26" s="1" t="s">
        <v>375</v>
      </c>
      <c r="H26" s="1" t="s">
        <v>360</v>
      </c>
      <c r="L26" s="17" t="s">
        <v>355</v>
      </c>
      <c r="M26" s="17" t="s">
        <v>29</v>
      </c>
      <c r="N26" s="6">
        <v>1</v>
      </c>
      <c r="O26" s="6"/>
      <c r="R26" s="1">
        <v>75</v>
      </c>
      <c r="CP26" s="1">
        <v>1.9</v>
      </c>
    </row>
    <row r="27" spans="1:94" x14ac:dyDescent="0.2">
      <c r="A27" s="1" t="s">
        <v>379</v>
      </c>
      <c r="B27" s="1" t="s">
        <v>352</v>
      </c>
      <c r="C27" s="1" t="s">
        <v>380</v>
      </c>
      <c r="D27" s="1" t="s">
        <v>321</v>
      </c>
      <c r="E27" s="17" t="s">
        <v>7</v>
      </c>
      <c r="F27" s="1" t="s">
        <v>381</v>
      </c>
      <c r="L27" s="17" t="s">
        <v>355</v>
      </c>
      <c r="M27" s="17" t="s">
        <v>29</v>
      </c>
      <c r="N27" s="6">
        <v>1</v>
      </c>
      <c r="O27" s="6"/>
      <c r="R27" s="1">
        <v>85</v>
      </c>
      <c r="CP27" s="1">
        <v>54.4</v>
      </c>
    </row>
    <row r="28" spans="1:94" x14ac:dyDescent="0.2">
      <c r="A28" s="1" t="s">
        <v>382</v>
      </c>
      <c r="B28" s="1" t="s">
        <v>352</v>
      </c>
      <c r="C28" s="1" t="s">
        <v>380</v>
      </c>
      <c r="D28" s="1" t="s">
        <v>383</v>
      </c>
      <c r="E28" s="17" t="s">
        <v>11</v>
      </c>
      <c r="F28" s="1" t="s">
        <v>381</v>
      </c>
      <c r="H28" s="1" t="s">
        <v>358</v>
      </c>
      <c r="L28" s="17" t="s">
        <v>355</v>
      </c>
      <c r="M28" s="17" t="s">
        <v>29</v>
      </c>
      <c r="N28" s="6">
        <v>1</v>
      </c>
      <c r="O28" s="6"/>
      <c r="R28" s="1">
        <v>85</v>
      </c>
      <c r="CP28" s="1">
        <v>1.3</v>
      </c>
    </row>
    <row r="29" spans="1:94" x14ac:dyDescent="0.2">
      <c r="A29" s="1" t="s">
        <v>384</v>
      </c>
      <c r="B29" s="1" t="s">
        <v>352</v>
      </c>
      <c r="C29" s="1" t="s">
        <v>380</v>
      </c>
      <c r="D29" s="1" t="s">
        <v>383</v>
      </c>
      <c r="E29" s="17" t="s">
        <v>11</v>
      </c>
      <c r="F29" s="1" t="s">
        <v>381</v>
      </c>
      <c r="H29" s="1" t="s">
        <v>360</v>
      </c>
      <c r="L29" s="17" t="s">
        <v>355</v>
      </c>
      <c r="M29" s="17" t="s">
        <v>29</v>
      </c>
      <c r="N29" s="6">
        <v>1</v>
      </c>
      <c r="O29" s="6"/>
      <c r="R29" s="1">
        <v>85</v>
      </c>
      <c r="CP29" s="1">
        <v>1.6</v>
      </c>
    </row>
    <row r="30" spans="1:94" x14ac:dyDescent="0.2">
      <c r="A30" s="1" t="s">
        <v>385</v>
      </c>
      <c r="B30" s="1" t="s">
        <v>352</v>
      </c>
      <c r="D30" s="1" t="s">
        <v>386</v>
      </c>
      <c r="E30" s="17" t="s">
        <v>7</v>
      </c>
      <c r="F30" s="1" t="s">
        <v>387</v>
      </c>
      <c r="L30" s="17" t="s">
        <v>355</v>
      </c>
      <c r="M30" s="17" t="s">
        <v>29</v>
      </c>
      <c r="N30" s="6">
        <v>1</v>
      </c>
      <c r="O30" s="6"/>
      <c r="R30" s="1">
        <v>86</v>
      </c>
      <c r="CP30" s="1">
        <v>1.9</v>
      </c>
    </row>
    <row r="31" spans="1:94" x14ac:dyDescent="0.2">
      <c r="A31" s="1" t="s">
        <v>388</v>
      </c>
      <c r="B31" s="1" t="s">
        <v>352</v>
      </c>
      <c r="D31" s="1" t="s">
        <v>389</v>
      </c>
      <c r="E31" s="17" t="s">
        <v>11</v>
      </c>
      <c r="F31" s="1" t="s">
        <v>387</v>
      </c>
      <c r="H31" s="1" t="s">
        <v>358</v>
      </c>
      <c r="L31" s="17" t="s">
        <v>355</v>
      </c>
      <c r="M31" s="17" t="s">
        <v>29</v>
      </c>
      <c r="N31" s="6">
        <v>1</v>
      </c>
      <c r="O31" s="6"/>
      <c r="R31" s="1">
        <v>86</v>
      </c>
      <c r="CP31" s="1">
        <v>1.5</v>
      </c>
    </row>
    <row r="32" spans="1:94" x14ac:dyDescent="0.2">
      <c r="A32" s="1" t="s">
        <v>390</v>
      </c>
      <c r="B32" s="1" t="s">
        <v>352</v>
      </c>
      <c r="D32" s="1" t="s">
        <v>389</v>
      </c>
      <c r="E32" s="17" t="s">
        <v>11</v>
      </c>
      <c r="F32" s="1" t="s">
        <v>387</v>
      </c>
      <c r="H32" s="1" t="s">
        <v>360</v>
      </c>
      <c r="L32" s="17" t="s">
        <v>355</v>
      </c>
      <c r="M32" s="17" t="s">
        <v>29</v>
      </c>
      <c r="N32" s="6">
        <v>1</v>
      </c>
      <c r="O32" s="6"/>
      <c r="R32" s="1">
        <v>86</v>
      </c>
      <c r="CP32" s="1">
        <v>1.5</v>
      </c>
    </row>
    <row r="33" spans="1:95" x14ac:dyDescent="0.2">
      <c r="A33" s="1" t="s">
        <v>391</v>
      </c>
      <c r="B33" s="1" t="s">
        <v>352</v>
      </c>
      <c r="D33" s="1" t="s">
        <v>392</v>
      </c>
      <c r="E33" s="17" t="s">
        <v>7</v>
      </c>
      <c r="F33" s="1" t="s">
        <v>393</v>
      </c>
      <c r="L33" s="17" t="s">
        <v>355</v>
      </c>
      <c r="M33" s="17" t="s">
        <v>29</v>
      </c>
      <c r="N33" s="6">
        <v>1</v>
      </c>
      <c r="O33" s="6"/>
      <c r="R33" s="1">
        <v>82</v>
      </c>
      <c r="CP33" s="1">
        <v>58.4</v>
      </c>
    </row>
    <row r="34" spans="1:95" x14ac:dyDescent="0.2">
      <c r="A34" s="1" t="s">
        <v>394</v>
      </c>
      <c r="B34" s="1" t="s">
        <v>352</v>
      </c>
      <c r="D34" s="1" t="s">
        <v>395</v>
      </c>
      <c r="E34" s="17" t="s">
        <v>11</v>
      </c>
      <c r="F34" s="1" t="s">
        <v>393</v>
      </c>
      <c r="H34" s="1" t="s">
        <v>396</v>
      </c>
      <c r="L34" s="17" t="s">
        <v>355</v>
      </c>
      <c r="M34" s="17" t="s">
        <v>29</v>
      </c>
      <c r="N34" s="6">
        <v>1</v>
      </c>
      <c r="O34" s="6"/>
      <c r="R34" s="1">
        <v>82</v>
      </c>
      <c r="CP34" s="1">
        <v>1.7</v>
      </c>
    </row>
    <row r="35" spans="1:95" x14ac:dyDescent="0.2">
      <c r="A35" s="1" t="s">
        <v>397</v>
      </c>
      <c r="B35" s="1" t="s">
        <v>352</v>
      </c>
      <c r="D35" s="1" t="s">
        <v>395</v>
      </c>
      <c r="E35" s="17" t="s">
        <v>11</v>
      </c>
      <c r="F35" s="1" t="s">
        <v>393</v>
      </c>
      <c r="H35" s="1" t="s">
        <v>398</v>
      </c>
      <c r="L35" s="17" t="s">
        <v>355</v>
      </c>
      <c r="M35" s="17" t="s">
        <v>29</v>
      </c>
      <c r="N35" s="6">
        <v>1</v>
      </c>
      <c r="O35" s="6"/>
      <c r="R35" s="1">
        <v>82</v>
      </c>
      <c r="CP35" s="1">
        <v>35.6</v>
      </c>
    </row>
    <row r="36" spans="1:95" x14ac:dyDescent="0.2">
      <c r="A36" s="1" t="s">
        <v>399</v>
      </c>
      <c r="B36" s="1" t="s">
        <v>352</v>
      </c>
      <c r="D36" s="1" t="s">
        <v>392</v>
      </c>
      <c r="E36" s="17" t="s">
        <v>7</v>
      </c>
      <c r="F36" s="1" t="s">
        <v>400</v>
      </c>
      <c r="L36" s="17" t="s">
        <v>355</v>
      </c>
      <c r="M36" s="17" t="s">
        <v>29</v>
      </c>
      <c r="N36" s="6">
        <v>1</v>
      </c>
      <c r="O36" s="6"/>
      <c r="R36" s="1">
        <v>87</v>
      </c>
      <c r="CP36" s="1">
        <v>36.700000000000003</v>
      </c>
    </row>
    <row r="37" spans="1:95" x14ac:dyDescent="0.2">
      <c r="A37" s="1" t="s">
        <v>401</v>
      </c>
      <c r="B37" s="1" t="s">
        <v>352</v>
      </c>
      <c r="D37" s="1" t="s">
        <v>395</v>
      </c>
      <c r="E37" s="17" t="s">
        <v>11</v>
      </c>
      <c r="F37" s="1" t="s">
        <v>400</v>
      </c>
      <c r="H37" s="1" t="s">
        <v>396</v>
      </c>
      <c r="L37" s="17" t="s">
        <v>355</v>
      </c>
      <c r="M37" s="17" t="s">
        <v>29</v>
      </c>
      <c r="N37" s="6">
        <v>1</v>
      </c>
      <c r="O37" s="6"/>
      <c r="R37" s="1">
        <v>87</v>
      </c>
      <c r="CP37" s="1">
        <v>4.0999999999999996</v>
      </c>
    </row>
    <row r="38" spans="1:95" x14ac:dyDescent="0.2">
      <c r="A38" s="1" t="s">
        <v>402</v>
      </c>
      <c r="B38" s="1" t="s">
        <v>352</v>
      </c>
      <c r="D38" s="1" t="s">
        <v>395</v>
      </c>
      <c r="E38" s="17" t="s">
        <v>11</v>
      </c>
      <c r="F38" s="1" t="s">
        <v>400</v>
      </c>
      <c r="H38" s="1" t="s">
        <v>398</v>
      </c>
      <c r="L38" s="17" t="s">
        <v>355</v>
      </c>
      <c r="M38" s="17" t="s">
        <v>29</v>
      </c>
      <c r="N38" s="6">
        <v>1</v>
      </c>
      <c r="O38" s="6"/>
      <c r="R38" s="1">
        <v>87</v>
      </c>
      <c r="CP38" s="1">
        <v>16</v>
      </c>
    </row>
    <row r="39" spans="1:95" x14ac:dyDescent="0.2">
      <c r="A39" s="1" t="s">
        <v>403</v>
      </c>
      <c r="B39" s="1" t="s">
        <v>404</v>
      </c>
      <c r="C39" s="1" t="s">
        <v>405</v>
      </c>
      <c r="D39" s="1" t="s">
        <v>406</v>
      </c>
      <c r="E39" s="17" t="s">
        <v>7</v>
      </c>
      <c r="F39" s="1" t="s">
        <v>407</v>
      </c>
      <c r="H39" s="1" t="s">
        <v>408</v>
      </c>
      <c r="L39" s="17" t="s">
        <v>409</v>
      </c>
      <c r="M39" s="17" t="s">
        <v>29</v>
      </c>
      <c r="N39" s="6">
        <v>1</v>
      </c>
      <c r="O39" s="6"/>
      <c r="CQ39" s="1">
        <v>52.2</v>
      </c>
    </row>
    <row r="40" spans="1:95" x14ac:dyDescent="0.2">
      <c r="A40" s="1" t="s">
        <v>410</v>
      </c>
      <c r="B40" s="1" t="s">
        <v>404</v>
      </c>
      <c r="C40" s="1" t="s">
        <v>405</v>
      </c>
      <c r="D40" s="1" t="s">
        <v>411</v>
      </c>
      <c r="E40" s="17" t="s">
        <v>11</v>
      </c>
      <c r="F40" s="1" t="s">
        <v>407</v>
      </c>
      <c r="H40" s="1" t="s">
        <v>412</v>
      </c>
      <c r="L40" s="17" t="s">
        <v>409</v>
      </c>
      <c r="M40" s="17" t="s">
        <v>29</v>
      </c>
      <c r="N40" s="6">
        <v>1</v>
      </c>
      <c r="O40" s="6"/>
      <c r="CQ40" s="1">
        <v>16.899999999999999</v>
      </c>
    </row>
    <row r="41" spans="1:95" x14ac:dyDescent="0.2">
      <c r="A41" s="1" t="s">
        <v>413</v>
      </c>
      <c r="B41" s="1" t="s">
        <v>404</v>
      </c>
      <c r="C41" s="1" t="s">
        <v>414</v>
      </c>
      <c r="D41" s="1" t="s">
        <v>415</v>
      </c>
      <c r="E41" s="17" t="s">
        <v>7</v>
      </c>
      <c r="F41" s="1" t="s">
        <v>416</v>
      </c>
      <c r="H41" s="1" t="s">
        <v>417</v>
      </c>
      <c r="L41" s="17" t="s">
        <v>409</v>
      </c>
      <c r="M41" s="17" t="s">
        <v>29</v>
      </c>
      <c r="N41" s="6">
        <v>1</v>
      </c>
      <c r="O41" s="6"/>
      <c r="CQ41" s="1">
        <v>70</v>
      </c>
    </row>
    <row r="42" spans="1:95" x14ac:dyDescent="0.2">
      <c r="A42" s="1" t="s">
        <v>418</v>
      </c>
      <c r="B42" s="1" t="s">
        <v>404</v>
      </c>
      <c r="C42" s="1" t="s">
        <v>414</v>
      </c>
      <c r="D42" s="1" t="s">
        <v>419</v>
      </c>
      <c r="E42" s="17" t="s">
        <v>11</v>
      </c>
      <c r="F42" s="1" t="s">
        <v>416</v>
      </c>
      <c r="H42" s="1" t="s">
        <v>412</v>
      </c>
      <c r="L42" s="17" t="s">
        <v>409</v>
      </c>
      <c r="M42" s="17" t="s">
        <v>29</v>
      </c>
      <c r="N42" s="6">
        <v>1</v>
      </c>
      <c r="O42" s="6"/>
      <c r="CQ42" s="1">
        <v>26.1</v>
      </c>
    </row>
    <row r="43" spans="1:95" x14ac:dyDescent="0.2">
      <c r="A43" s="1" t="s">
        <v>420</v>
      </c>
      <c r="B43" s="1" t="s">
        <v>404</v>
      </c>
      <c r="C43" s="1" t="s">
        <v>421</v>
      </c>
      <c r="D43" s="1" t="s">
        <v>422</v>
      </c>
      <c r="E43" s="17" t="s">
        <v>7</v>
      </c>
      <c r="F43" s="1" t="s">
        <v>423</v>
      </c>
      <c r="H43" s="1" t="s">
        <v>408</v>
      </c>
      <c r="L43" s="17" t="s">
        <v>409</v>
      </c>
      <c r="M43" s="17" t="s">
        <v>29</v>
      </c>
      <c r="N43" s="6">
        <v>1</v>
      </c>
      <c r="O43" s="6"/>
      <c r="CQ43" s="1">
        <v>148</v>
      </c>
    </row>
    <row r="44" spans="1:95" x14ac:dyDescent="0.2">
      <c r="A44" s="1" t="s">
        <v>424</v>
      </c>
      <c r="B44" s="1" t="s">
        <v>404</v>
      </c>
      <c r="C44" s="1" t="s">
        <v>421</v>
      </c>
      <c r="D44" s="1" t="s">
        <v>425</v>
      </c>
      <c r="E44" s="17" t="s">
        <v>11</v>
      </c>
      <c r="F44" s="1" t="s">
        <v>423</v>
      </c>
      <c r="H44" s="1" t="s">
        <v>412</v>
      </c>
      <c r="L44" s="17" t="s">
        <v>409</v>
      </c>
      <c r="M44" s="17" t="s">
        <v>29</v>
      </c>
      <c r="N44" s="6">
        <v>1</v>
      </c>
      <c r="O44" s="6"/>
      <c r="CQ44" s="1">
        <v>26</v>
      </c>
    </row>
    <row r="45" spans="1:95" x14ac:dyDescent="0.2">
      <c r="A45" s="1" t="s">
        <v>426</v>
      </c>
      <c r="B45" s="1" t="s">
        <v>404</v>
      </c>
      <c r="C45" s="1" t="s">
        <v>427</v>
      </c>
      <c r="D45" s="1" t="s">
        <v>428</v>
      </c>
      <c r="E45" s="17" t="s">
        <v>7</v>
      </c>
      <c r="F45" s="1" t="s">
        <v>429</v>
      </c>
      <c r="H45" s="1" t="s">
        <v>408</v>
      </c>
      <c r="L45" s="17" t="s">
        <v>409</v>
      </c>
      <c r="M45" s="17" t="s">
        <v>29</v>
      </c>
      <c r="N45" s="6">
        <v>1</v>
      </c>
      <c r="O45" s="6"/>
      <c r="CQ45" s="1">
        <v>43.5</v>
      </c>
    </row>
    <row r="46" spans="1:95" x14ac:dyDescent="0.2">
      <c r="A46" s="1" t="s">
        <v>430</v>
      </c>
      <c r="B46" s="1" t="s">
        <v>404</v>
      </c>
      <c r="C46" s="1" t="s">
        <v>427</v>
      </c>
      <c r="D46" s="1" t="s">
        <v>431</v>
      </c>
      <c r="E46" s="17" t="s">
        <v>11</v>
      </c>
      <c r="F46" s="1" t="s">
        <v>429</v>
      </c>
      <c r="H46" s="1" t="s">
        <v>412</v>
      </c>
      <c r="L46" s="17" t="s">
        <v>409</v>
      </c>
      <c r="M46" s="17" t="s">
        <v>29</v>
      </c>
      <c r="N46" s="6">
        <v>1</v>
      </c>
      <c r="O46" s="6"/>
      <c r="CQ46" s="1">
        <v>15.8</v>
      </c>
    </row>
    <row r="47" spans="1:95" x14ac:dyDescent="0.2">
      <c r="A47" s="1" t="s">
        <v>432</v>
      </c>
      <c r="B47" s="1" t="s">
        <v>404</v>
      </c>
      <c r="C47" s="1" t="s">
        <v>433</v>
      </c>
      <c r="D47" s="1" t="s">
        <v>434</v>
      </c>
      <c r="E47" s="17" t="s">
        <v>7</v>
      </c>
      <c r="F47" s="1" t="s">
        <v>435</v>
      </c>
      <c r="H47" s="1" t="s">
        <v>408</v>
      </c>
      <c r="L47" s="17" t="s">
        <v>409</v>
      </c>
      <c r="M47" s="17" t="s">
        <v>29</v>
      </c>
      <c r="N47" s="6">
        <v>1</v>
      </c>
      <c r="O47" s="6"/>
      <c r="CQ47" s="1">
        <v>52</v>
      </c>
    </row>
    <row r="48" spans="1:95" x14ac:dyDescent="0.2">
      <c r="A48" s="1" t="s">
        <v>436</v>
      </c>
      <c r="B48" s="1" t="s">
        <v>404</v>
      </c>
      <c r="C48" s="1" t="s">
        <v>433</v>
      </c>
      <c r="D48" s="1" t="s">
        <v>437</v>
      </c>
      <c r="E48" s="17" t="s">
        <v>11</v>
      </c>
      <c r="F48" s="1" t="s">
        <v>435</v>
      </c>
      <c r="H48" s="1" t="s">
        <v>412</v>
      </c>
      <c r="L48" s="17" t="s">
        <v>409</v>
      </c>
      <c r="M48" s="17" t="s">
        <v>29</v>
      </c>
      <c r="N48" s="6">
        <v>1</v>
      </c>
      <c r="O48" s="6"/>
      <c r="CQ48" s="1">
        <v>25.8</v>
      </c>
    </row>
    <row r="49" spans="1:95" x14ac:dyDescent="0.2">
      <c r="A49" s="1" t="s">
        <v>438</v>
      </c>
      <c r="B49" s="1" t="s">
        <v>404</v>
      </c>
      <c r="C49" s="1" t="s">
        <v>439</v>
      </c>
      <c r="D49" s="1" t="s">
        <v>440</v>
      </c>
      <c r="E49" s="17" t="s">
        <v>7</v>
      </c>
      <c r="F49" s="1" t="s">
        <v>441</v>
      </c>
      <c r="H49" s="1" t="s">
        <v>408</v>
      </c>
      <c r="L49" s="17" t="s">
        <v>409</v>
      </c>
      <c r="M49" s="17" t="s">
        <v>29</v>
      </c>
      <c r="N49" s="6">
        <v>1</v>
      </c>
      <c r="O49" s="6"/>
      <c r="CQ49" s="1">
        <v>52</v>
      </c>
    </row>
    <row r="50" spans="1:95" x14ac:dyDescent="0.2">
      <c r="A50" s="1" t="s">
        <v>442</v>
      </c>
      <c r="B50" s="1" t="s">
        <v>404</v>
      </c>
      <c r="C50" s="1" t="s">
        <v>439</v>
      </c>
      <c r="D50" s="1" t="s">
        <v>443</v>
      </c>
      <c r="E50" s="17" t="s">
        <v>11</v>
      </c>
      <c r="F50" s="1" t="s">
        <v>441</v>
      </c>
      <c r="H50" s="1" t="s">
        <v>412</v>
      </c>
      <c r="L50" s="17" t="s">
        <v>409</v>
      </c>
      <c r="M50" s="17" t="s">
        <v>29</v>
      </c>
      <c r="N50" s="6">
        <v>1</v>
      </c>
      <c r="O50" s="6"/>
      <c r="CQ50" s="1">
        <v>27.3</v>
      </c>
    </row>
    <row r="51" spans="1:95" x14ac:dyDescent="0.2">
      <c r="A51" s="1" t="s">
        <v>444</v>
      </c>
      <c r="B51" s="1" t="s">
        <v>445</v>
      </c>
      <c r="D51" s="1" t="s">
        <v>446</v>
      </c>
      <c r="E51" s="17" t="s">
        <v>9</v>
      </c>
      <c r="F51" s="1" t="s">
        <v>447</v>
      </c>
      <c r="H51" s="1" t="s">
        <v>448</v>
      </c>
      <c r="L51" s="17" t="s">
        <v>449</v>
      </c>
      <c r="M51" s="17" t="s">
        <v>29</v>
      </c>
      <c r="N51" s="6">
        <v>1</v>
      </c>
      <c r="O51" s="6"/>
      <c r="BQ51" s="1">
        <v>160</v>
      </c>
    </row>
    <row r="52" spans="1:95" x14ac:dyDescent="0.2">
      <c r="A52" s="1" t="s">
        <v>450</v>
      </c>
      <c r="B52" s="1" t="s">
        <v>445</v>
      </c>
      <c r="D52" s="1" t="s">
        <v>451</v>
      </c>
      <c r="E52" s="17" t="s">
        <v>11</v>
      </c>
      <c r="F52" s="1" t="s">
        <v>447</v>
      </c>
      <c r="H52" s="1" t="s">
        <v>452</v>
      </c>
      <c r="L52" s="17" t="s">
        <v>449</v>
      </c>
      <c r="M52" s="17" t="s">
        <v>29</v>
      </c>
      <c r="N52" s="6">
        <v>1</v>
      </c>
      <c r="O52" s="6"/>
      <c r="BQ52" s="1">
        <v>90</v>
      </c>
    </row>
    <row r="53" spans="1:95" x14ac:dyDescent="0.2">
      <c r="A53" s="1" t="s">
        <v>453</v>
      </c>
      <c r="B53" s="1" t="s">
        <v>445</v>
      </c>
      <c r="D53" s="1" t="s">
        <v>454</v>
      </c>
      <c r="E53" s="17" t="s">
        <v>11</v>
      </c>
      <c r="F53" s="1" t="s">
        <v>455</v>
      </c>
      <c r="H53" s="1" t="s">
        <v>448</v>
      </c>
      <c r="L53" s="17" t="s">
        <v>449</v>
      </c>
      <c r="M53" s="17" t="s">
        <v>29</v>
      </c>
      <c r="N53" s="6">
        <v>1</v>
      </c>
      <c r="O53" s="6"/>
      <c r="BQ53" s="1">
        <v>136</v>
      </c>
    </row>
    <row r="54" spans="1:95" x14ac:dyDescent="0.2">
      <c r="A54" s="1" t="s">
        <v>456</v>
      </c>
      <c r="B54" s="1" t="s">
        <v>445</v>
      </c>
      <c r="D54" s="1" t="s">
        <v>457</v>
      </c>
      <c r="E54" s="17" t="s">
        <v>11</v>
      </c>
      <c r="F54" s="1" t="s">
        <v>455</v>
      </c>
      <c r="H54" s="1" t="s">
        <v>458</v>
      </c>
      <c r="L54" s="17" t="s">
        <v>449</v>
      </c>
      <c r="M54" s="17" t="s">
        <v>29</v>
      </c>
      <c r="N54" s="6">
        <v>1</v>
      </c>
      <c r="O54" s="6"/>
      <c r="BQ54" s="1">
        <v>910</v>
      </c>
    </row>
    <row r="55" spans="1:95" x14ac:dyDescent="0.2">
      <c r="A55" s="1" t="s">
        <v>459</v>
      </c>
      <c r="B55" s="1" t="s">
        <v>445</v>
      </c>
      <c r="D55" s="1" t="s">
        <v>460</v>
      </c>
      <c r="E55" s="17" t="s">
        <v>9</v>
      </c>
      <c r="F55" s="1" t="s">
        <v>461</v>
      </c>
      <c r="H55" s="1" t="s">
        <v>448</v>
      </c>
      <c r="L55" s="17" t="s">
        <v>449</v>
      </c>
      <c r="M55" s="17" t="s">
        <v>29</v>
      </c>
      <c r="N55" s="6">
        <v>1</v>
      </c>
      <c r="O55" s="6"/>
      <c r="BQ55" s="1">
        <v>30</v>
      </c>
    </row>
    <row r="56" spans="1:95" x14ac:dyDescent="0.2">
      <c r="A56" s="1" t="s">
        <v>462</v>
      </c>
      <c r="B56" s="1" t="s">
        <v>445</v>
      </c>
      <c r="D56" s="1" t="s">
        <v>463</v>
      </c>
      <c r="E56" s="17" t="s">
        <v>11</v>
      </c>
      <c r="F56" s="1" t="s">
        <v>461</v>
      </c>
      <c r="H56" s="1" t="s">
        <v>452</v>
      </c>
      <c r="L56" s="17" t="s">
        <v>449</v>
      </c>
      <c r="M56" s="17" t="s">
        <v>29</v>
      </c>
      <c r="N56" s="6">
        <v>1</v>
      </c>
      <c r="O56" s="6"/>
      <c r="BQ56" s="1">
        <v>20</v>
      </c>
    </row>
    <row r="57" spans="1:95" x14ac:dyDescent="0.2">
      <c r="A57" s="1" t="s">
        <v>464</v>
      </c>
      <c r="B57" s="1" t="s">
        <v>445</v>
      </c>
      <c r="C57" s="1" t="s">
        <v>465</v>
      </c>
      <c r="D57" s="1" t="s">
        <v>466</v>
      </c>
      <c r="E57" s="17" t="s">
        <v>9</v>
      </c>
      <c r="F57" s="1" t="s">
        <v>467</v>
      </c>
      <c r="H57" s="1" t="s">
        <v>448</v>
      </c>
      <c r="L57" s="17" t="s">
        <v>449</v>
      </c>
      <c r="M57" s="17" t="s">
        <v>29</v>
      </c>
      <c r="N57" s="6">
        <v>1</v>
      </c>
      <c r="O57" s="6"/>
      <c r="BQ57" s="1">
        <v>100</v>
      </c>
    </row>
    <row r="58" spans="1:95" x14ac:dyDescent="0.2">
      <c r="A58" s="1" t="s">
        <v>468</v>
      </c>
      <c r="B58" s="1" t="s">
        <v>445</v>
      </c>
      <c r="C58" s="1" t="s">
        <v>465</v>
      </c>
      <c r="D58" s="1" t="s">
        <v>469</v>
      </c>
      <c r="E58" s="17" t="s">
        <v>11</v>
      </c>
      <c r="F58" s="1" t="s">
        <v>467</v>
      </c>
      <c r="H58" s="1" t="s">
        <v>452</v>
      </c>
      <c r="L58" s="17" t="s">
        <v>449</v>
      </c>
      <c r="M58" s="17" t="s">
        <v>29</v>
      </c>
      <c r="N58" s="6">
        <v>1</v>
      </c>
      <c r="O58" s="6"/>
      <c r="BQ58" s="1">
        <v>50</v>
      </c>
    </row>
    <row r="59" spans="1:95" x14ac:dyDescent="0.2">
      <c r="A59" s="1" t="s">
        <v>470</v>
      </c>
      <c r="B59" s="1" t="s">
        <v>445</v>
      </c>
      <c r="D59" s="1" t="s">
        <v>471</v>
      </c>
      <c r="E59" s="17" t="s">
        <v>9</v>
      </c>
      <c r="F59" s="1" t="s">
        <v>472</v>
      </c>
      <c r="H59" s="1" t="s">
        <v>448</v>
      </c>
      <c r="L59" s="17" t="s">
        <v>449</v>
      </c>
      <c r="M59" s="17" t="s">
        <v>29</v>
      </c>
      <c r="N59" s="6">
        <v>1</v>
      </c>
      <c r="O59" s="6"/>
      <c r="BQ59" s="1">
        <v>3330</v>
      </c>
    </row>
    <row r="60" spans="1:95" x14ac:dyDescent="0.2">
      <c r="A60" s="1" t="s">
        <v>473</v>
      </c>
      <c r="B60" s="1" t="s">
        <v>445</v>
      </c>
      <c r="D60" s="1" t="s">
        <v>474</v>
      </c>
      <c r="E60" s="17" t="s">
        <v>11</v>
      </c>
      <c r="F60" s="1" t="s">
        <v>472</v>
      </c>
      <c r="H60" s="1" t="s">
        <v>452</v>
      </c>
      <c r="L60" s="17" t="s">
        <v>449</v>
      </c>
      <c r="M60" s="17" t="s">
        <v>29</v>
      </c>
      <c r="N60" s="6">
        <v>1</v>
      </c>
      <c r="O60" s="6"/>
      <c r="BQ60" s="1">
        <v>2500</v>
      </c>
    </row>
    <row r="61" spans="1:95" x14ac:dyDescent="0.2">
      <c r="A61" s="1" t="s">
        <v>475</v>
      </c>
      <c r="B61" s="1" t="s">
        <v>476</v>
      </c>
      <c r="C61" s="1" t="s">
        <v>477</v>
      </c>
      <c r="D61" s="1" t="s">
        <v>478</v>
      </c>
      <c r="E61" s="17" t="s">
        <v>7</v>
      </c>
      <c r="F61" s="1" t="s">
        <v>479</v>
      </c>
      <c r="G61" s="1" t="s">
        <v>480</v>
      </c>
      <c r="L61" s="17" t="s">
        <v>481</v>
      </c>
      <c r="M61" s="17" t="s">
        <v>29</v>
      </c>
      <c r="N61" s="6">
        <v>1</v>
      </c>
      <c r="O61" s="6"/>
      <c r="BV61" s="1" t="s">
        <v>482</v>
      </c>
    </row>
    <row r="62" spans="1:95" x14ac:dyDescent="0.2">
      <c r="A62" s="1" t="s">
        <v>483</v>
      </c>
      <c r="B62" s="1" t="s">
        <v>476</v>
      </c>
      <c r="C62" s="1" t="s">
        <v>484</v>
      </c>
      <c r="D62" s="1" t="s">
        <v>485</v>
      </c>
      <c r="E62" s="17" t="s">
        <v>7</v>
      </c>
      <c r="F62" s="1" t="s">
        <v>486</v>
      </c>
      <c r="G62" s="1" t="s">
        <v>480</v>
      </c>
      <c r="L62" s="17" t="s">
        <v>481</v>
      </c>
      <c r="M62" s="17" t="s">
        <v>29</v>
      </c>
      <c r="N62" s="6">
        <v>1</v>
      </c>
      <c r="O62" s="6"/>
      <c r="BV62" s="1" t="s">
        <v>487</v>
      </c>
    </row>
    <row r="63" spans="1:95" x14ac:dyDescent="0.2">
      <c r="A63" s="1" t="s">
        <v>488</v>
      </c>
      <c r="B63" s="1" t="s">
        <v>476</v>
      </c>
      <c r="C63" s="1" t="s">
        <v>484</v>
      </c>
      <c r="D63" s="1" t="s">
        <v>485</v>
      </c>
      <c r="E63" s="17" t="s">
        <v>7</v>
      </c>
      <c r="F63" s="1" t="s">
        <v>486</v>
      </c>
      <c r="G63" s="1" t="s">
        <v>480</v>
      </c>
      <c r="L63" s="17" t="s">
        <v>481</v>
      </c>
      <c r="M63" s="17" t="s">
        <v>29</v>
      </c>
      <c r="N63" s="6">
        <v>1</v>
      </c>
      <c r="O63" s="6"/>
      <c r="BV63" s="1" t="s">
        <v>489</v>
      </c>
    </row>
    <row r="64" spans="1:95" x14ac:dyDescent="0.2">
      <c r="A64" s="1" t="s">
        <v>490</v>
      </c>
      <c r="B64" s="1" t="s">
        <v>476</v>
      </c>
      <c r="C64" s="1" t="s">
        <v>484</v>
      </c>
      <c r="D64" s="1" t="s">
        <v>491</v>
      </c>
      <c r="E64" s="17" t="s">
        <v>11</v>
      </c>
      <c r="F64" s="1" t="s">
        <v>486</v>
      </c>
      <c r="G64" s="1" t="s">
        <v>480</v>
      </c>
      <c r="H64" s="1" t="s">
        <v>492</v>
      </c>
      <c r="L64" s="17" t="s">
        <v>481</v>
      </c>
      <c r="M64" s="17" t="s">
        <v>29</v>
      </c>
      <c r="N64" s="6">
        <v>1</v>
      </c>
      <c r="O64" s="6"/>
      <c r="BV64" s="1" t="s">
        <v>493</v>
      </c>
    </row>
    <row r="65" spans="1:74" x14ac:dyDescent="0.2">
      <c r="A65" s="1" t="s">
        <v>494</v>
      </c>
      <c r="B65" s="1" t="s">
        <v>476</v>
      </c>
      <c r="C65" s="1" t="s">
        <v>484</v>
      </c>
      <c r="D65" s="1" t="s">
        <v>485</v>
      </c>
      <c r="E65" s="17" t="s">
        <v>7</v>
      </c>
      <c r="F65" s="1" t="s">
        <v>486</v>
      </c>
      <c r="G65" s="1" t="s">
        <v>480</v>
      </c>
      <c r="L65" s="17" t="s">
        <v>481</v>
      </c>
      <c r="M65" s="17" t="s">
        <v>29</v>
      </c>
      <c r="N65" s="6">
        <v>1</v>
      </c>
      <c r="O65" s="6"/>
      <c r="BV65" s="1" t="s">
        <v>495</v>
      </c>
    </row>
    <row r="66" spans="1:74" x14ac:dyDescent="0.2">
      <c r="A66" s="1" t="s">
        <v>496</v>
      </c>
      <c r="B66" s="1" t="s">
        <v>476</v>
      </c>
      <c r="C66" s="1" t="s">
        <v>484</v>
      </c>
      <c r="D66" s="1" t="s">
        <v>491</v>
      </c>
      <c r="E66" s="17" t="s">
        <v>11</v>
      </c>
      <c r="F66" s="1" t="s">
        <v>486</v>
      </c>
      <c r="G66" s="1" t="s">
        <v>480</v>
      </c>
      <c r="H66" s="1" t="s">
        <v>497</v>
      </c>
      <c r="L66" s="17" t="s">
        <v>481</v>
      </c>
      <c r="M66" s="17" t="s">
        <v>29</v>
      </c>
      <c r="N66" s="6">
        <v>1</v>
      </c>
      <c r="O66" s="6"/>
      <c r="BV66" s="1" t="s">
        <v>498</v>
      </c>
    </row>
    <row r="67" spans="1:74" x14ac:dyDescent="0.2">
      <c r="A67" s="1" t="s">
        <v>499</v>
      </c>
      <c r="B67" s="1" t="s">
        <v>476</v>
      </c>
      <c r="C67" s="1" t="s">
        <v>500</v>
      </c>
      <c r="D67" s="1" t="s">
        <v>501</v>
      </c>
      <c r="E67" s="17" t="s">
        <v>7</v>
      </c>
      <c r="F67" s="1" t="s">
        <v>502</v>
      </c>
      <c r="G67" s="1" t="s">
        <v>480</v>
      </c>
      <c r="L67" s="17" t="s">
        <v>481</v>
      </c>
      <c r="M67" s="17" t="s">
        <v>29</v>
      </c>
      <c r="N67" s="6">
        <v>1</v>
      </c>
      <c r="O67" s="6"/>
      <c r="BV67" s="1" t="s">
        <v>503</v>
      </c>
    </row>
    <row r="68" spans="1:74" x14ac:dyDescent="0.2">
      <c r="A68" s="1" t="s">
        <v>504</v>
      </c>
      <c r="B68" s="1" t="s">
        <v>476</v>
      </c>
      <c r="C68" s="1" t="s">
        <v>500</v>
      </c>
      <c r="D68" s="1" t="s">
        <v>501</v>
      </c>
      <c r="E68" s="17" t="s">
        <v>7</v>
      </c>
      <c r="F68" s="1" t="s">
        <v>502</v>
      </c>
      <c r="G68" s="1" t="s">
        <v>480</v>
      </c>
      <c r="L68" s="17" t="s">
        <v>481</v>
      </c>
      <c r="M68" s="17" t="s">
        <v>29</v>
      </c>
      <c r="N68" s="6">
        <v>1</v>
      </c>
      <c r="O68" s="6"/>
      <c r="BV68" s="1" t="s">
        <v>505</v>
      </c>
    </row>
    <row r="69" spans="1:74" x14ac:dyDescent="0.2">
      <c r="A69" s="1" t="s">
        <v>506</v>
      </c>
      <c r="B69" s="1" t="s">
        <v>476</v>
      </c>
      <c r="C69" s="1" t="s">
        <v>500</v>
      </c>
      <c r="D69" s="1" t="s">
        <v>507</v>
      </c>
      <c r="E69" s="17" t="s">
        <v>11</v>
      </c>
      <c r="F69" s="1" t="s">
        <v>502</v>
      </c>
      <c r="G69" s="1" t="s">
        <v>480</v>
      </c>
      <c r="H69" s="1" t="s">
        <v>492</v>
      </c>
      <c r="L69" s="17" t="s">
        <v>481</v>
      </c>
      <c r="M69" s="17" t="s">
        <v>29</v>
      </c>
      <c r="N69" s="6">
        <v>1</v>
      </c>
      <c r="O69" s="6"/>
      <c r="BV69" s="1" t="s">
        <v>508</v>
      </c>
    </row>
    <row r="70" spans="1:74" x14ac:dyDescent="0.2">
      <c r="A70" s="1" t="s">
        <v>509</v>
      </c>
      <c r="B70" s="1" t="s">
        <v>476</v>
      </c>
      <c r="C70" s="1" t="s">
        <v>500</v>
      </c>
      <c r="D70" s="1" t="s">
        <v>501</v>
      </c>
      <c r="E70" s="17" t="s">
        <v>7</v>
      </c>
      <c r="F70" s="1" t="s">
        <v>502</v>
      </c>
      <c r="G70" s="1" t="s">
        <v>480</v>
      </c>
      <c r="L70" s="17" t="s">
        <v>481</v>
      </c>
      <c r="M70" s="17" t="s">
        <v>29</v>
      </c>
      <c r="N70" s="6">
        <v>1</v>
      </c>
      <c r="O70" s="6"/>
      <c r="BV70" s="1" t="s">
        <v>510</v>
      </c>
    </row>
    <row r="71" spans="1:74" x14ac:dyDescent="0.2">
      <c r="A71" s="1" t="s">
        <v>511</v>
      </c>
      <c r="B71" s="1" t="s">
        <v>476</v>
      </c>
      <c r="C71" s="1" t="s">
        <v>500</v>
      </c>
      <c r="D71" s="1" t="s">
        <v>507</v>
      </c>
      <c r="E71" s="17" t="s">
        <v>11</v>
      </c>
      <c r="F71" s="1" t="s">
        <v>502</v>
      </c>
      <c r="G71" s="1" t="s">
        <v>480</v>
      </c>
      <c r="H71" s="1" t="s">
        <v>497</v>
      </c>
      <c r="L71" s="17" t="s">
        <v>481</v>
      </c>
      <c r="M71" s="17" t="s">
        <v>29</v>
      </c>
      <c r="N71" s="6">
        <v>1</v>
      </c>
      <c r="O71" s="6"/>
      <c r="BV71" s="1" t="s">
        <v>512</v>
      </c>
    </row>
    <row r="72" spans="1:74" x14ac:dyDescent="0.2">
      <c r="A72" s="1" t="s">
        <v>513</v>
      </c>
      <c r="B72" s="1" t="s">
        <v>476</v>
      </c>
      <c r="C72" s="1" t="s">
        <v>514</v>
      </c>
      <c r="D72" s="1" t="s">
        <v>515</v>
      </c>
      <c r="E72" s="17" t="s">
        <v>7</v>
      </c>
      <c r="F72" s="1" t="s">
        <v>472</v>
      </c>
      <c r="G72" s="1" t="s">
        <v>480</v>
      </c>
      <c r="L72" s="17" t="s">
        <v>481</v>
      </c>
      <c r="M72" s="17" t="s">
        <v>29</v>
      </c>
      <c r="N72" s="6">
        <v>1</v>
      </c>
      <c r="O72" s="6"/>
      <c r="BV72" s="1" t="s">
        <v>516</v>
      </c>
    </row>
    <row r="73" spans="1:74" x14ac:dyDescent="0.2">
      <c r="A73" s="1" t="s">
        <v>517</v>
      </c>
      <c r="B73" s="1" t="s">
        <v>476</v>
      </c>
      <c r="C73" s="1" t="s">
        <v>514</v>
      </c>
      <c r="D73" s="1" t="s">
        <v>515</v>
      </c>
      <c r="E73" s="17" t="s">
        <v>7</v>
      </c>
      <c r="F73" s="1" t="s">
        <v>472</v>
      </c>
      <c r="G73" s="1" t="s">
        <v>480</v>
      </c>
      <c r="L73" s="17" t="s">
        <v>481</v>
      </c>
      <c r="M73" s="17" t="s">
        <v>29</v>
      </c>
      <c r="N73" s="6">
        <v>1</v>
      </c>
      <c r="O73" s="6"/>
      <c r="BV73" s="1" t="s">
        <v>518</v>
      </c>
    </row>
    <row r="74" spans="1:74" x14ac:dyDescent="0.2">
      <c r="A74" s="1" t="s">
        <v>519</v>
      </c>
      <c r="B74" s="1" t="s">
        <v>476</v>
      </c>
      <c r="C74" s="1" t="s">
        <v>514</v>
      </c>
      <c r="D74" s="1" t="s">
        <v>474</v>
      </c>
      <c r="E74" s="17" t="s">
        <v>11</v>
      </c>
      <c r="F74" s="1" t="s">
        <v>472</v>
      </c>
      <c r="G74" s="1" t="s">
        <v>480</v>
      </c>
      <c r="H74" s="1" t="s">
        <v>492</v>
      </c>
      <c r="L74" s="17" t="s">
        <v>481</v>
      </c>
      <c r="M74" s="17" t="s">
        <v>29</v>
      </c>
      <c r="N74" s="6">
        <v>1</v>
      </c>
      <c r="O74" s="6"/>
      <c r="BV74" s="1" t="s">
        <v>520</v>
      </c>
    </row>
    <row r="75" spans="1:74" x14ac:dyDescent="0.2">
      <c r="A75" s="1" t="s">
        <v>521</v>
      </c>
      <c r="B75" s="1" t="s">
        <v>476</v>
      </c>
      <c r="C75" s="1" t="s">
        <v>514</v>
      </c>
      <c r="D75" s="1" t="s">
        <v>515</v>
      </c>
      <c r="E75" s="17" t="s">
        <v>7</v>
      </c>
      <c r="F75" s="1" t="s">
        <v>472</v>
      </c>
      <c r="G75" s="1" t="s">
        <v>480</v>
      </c>
      <c r="L75" s="17" t="s">
        <v>481</v>
      </c>
      <c r="M75" s="17" t="s">
        <v>29</v>
      </c>
      <c r="N75" s="6">
        <v>1</v>
      </c>
      <c r="O75" s="6"/>
      <c r="BV75" s="1" t="s">
        <v>522</v>
      </c>
    </row>
    <row r="76" spans="1:74" x14ac:dyDescent="0.2">
      <c r="A76" s="1" t="s">
        <v>523</v>
      </c>
      <c r="B76" s="1" t="s">
        <v>476</v>
      </c>
      <c r="C76" s="1" t="s">
        <v>514</v>
      </c>
      <c r="D76" s="1" t="s">
        <v>474</v>
      </c>
      <c r="E76" s="17" t="s">
        <v>11</v>
      </c>
      <c r="F76" s="1" t="s">
        <v>472</v>
      </c>
      <c r="G76" s="1" t="s">
        <v>480</v>
      </c>
      <c r="H76" s="1" t="s">
        <v>497</v>
      </c>
      <c r="L76" s="17" t="s">
        <v>481</v>
      </c>
      <c r="M76" s="17" t="s">
        <v>29</v>
      </c>
      <c r="N76" s="6">
        <v>1</v>
      </c>
      <c r="O76" s="6"/>
      <c r="BV76" s="1" t="s">
        <v>524</v>
      </c>
    </row>
    <row r="77" spans="1:74" x14ac:dyDescent="0.2">
      <c r="A77" s="1" t="s">
        <v>525</v>
      </c>
      <c r="B77" s="1" t="s">
        <v>476</v>
      </c>
      <c r="C77" s="1" t="s">
        <v>526</v>
      </c>
      <c r="D77" s="1" t="s">
        <v>527</v>
      </c>
      <c r="E77" s="17" t="s">
        <v>7</v>
      </c>
      <c r="F77" s="1" t="s">
        <v>528</v>
      </c>
      <c r="G77" s="1" t="s">
        <v>480</v>
      </c>
      <c r="L77" s="17" t="s">
        <v>481</v>
      </c>
      <c r="M77" s="17" t="s">
        <v>29</v>
      </c>
      <c r="N77" s="6">
        <v>1</v>
      </c>
      <c r="O77" s="6"/>
      <c r="BV77" s="1" t="s">
        <v>529</v>
      </c>
    </row>
    <row r="78" spans="1:74" x14ac:dyDescent="0.2">
      <c r="A78" s="1" t="s">
        <v>530</v>
      </c>
      <c r="B78" s="1" t="s">
        <v>476</v>
      </c>
      <c r="C78" s="1" t="s">
        <v>526</v>
      </c>
      <c r="D78" s="1" t="s">
        <v>527</v>
      </c>
      <c r="E78" s="17" t="s">
        <v>7</v>
      </c>
      <c r="F78" s="1" t="s">
        <v>528</v>
      </c>
      <c r="G78" s="1" t="s">
        <v>480</v>
      </c>
      <c r="L78" s="17" t="s">
        <v>481</v>
      </c>
      <c r="M78" s="17" t="s">
        <v>29</v>
      </c>
      <c r="N78" s="6">
        <v>1</v>
      </c>
      <c r="O78" s="6"/>
      <c r="BV78" s="1" t="s">
        <v>531</v>
      </c>
    </row>
    <row r="79" spans="1:74" x14ac:dyDescent="0.2">
      <c r="A79" s="1" t="s">
        <v>532</v>
      </c>
      <c r="B79" s="1" t="s">
        <v>476</v>
      </c>
      <c r="C79" s="1" t="s">
        <v>526</v>
      </c>
      <c r="D79" s="1" t="s">
        <v>533</v>
      </c>
      <c r="E79" s="17" t="s">
        <v>11</v>
      </c>
      <c r="F79" s="1" t="s">
        <v>528</v>
      </c>
      <c r="G79" s="1" t="s">
        <v>480</v>
      </c>
      <c r="H79" s="1" t="s">
        <v>497</v>
      </c>
      <c r="L79" s="17" t="s">
        <v>481</v>
      </c>
      <c r="M79" s="17" t="s">
        <v>29</v>
      </c>
      <c r="N79" s="6">
        <v>1</v>
      </c>
      <c r="O79" s="6"/>
      <c r="BV79" s="1" t="s">
        <v>534</v>
      </c>
    </row>
    <row r="80" spans="1:74" x14ac:dyDescent="0.2">
      <c r="A80" s="1" t="s">
        <v>535</v>
      </c>
      <c r="B80" s="1" t="s">
        <v>476</v>
      </c>
      <c r="C80" s="1" t="s">
        <v>536</v>
      </c>
      <c r="D80" s="1" t="s">
        <v>537</v>
      </c>
      <c r="E80" s="17" t="s">
        <v>7</v>
      </c>
      <c r="F80" s="1" t="s">
        <v>538</v>
      </c>
      <c r="G80" s="1" t="s">
        <v>480</v>
      </c>
      <c r="L80" s="17" t="s">
        <v>481</v>
      </c>
      <c r="M80" s="17" t="s">
        <v>29</v>
      </c>
      <c r="N80" s="6">
        <v>1</v>
      </c>
      <c r="O80" s="6"/>
      <c r="BV80" s="1" t="s">
        <v>487</v>
      </c>
    </row>
    <row r="81" spans="1:74" x14ac:dyDescent="0.2">
      <c r="A81" s="1" t="s">
        <v>539</v>
      </c>
      <c r="B81" s="1" t="s">
        <v>476</v>
      </c>
      <c r="C81" s="1" t="s">
        <v>540</v>
      </c>
      <c r="D81" s="1" t="s">
        <v>541</v>
      </c>
      <c r="E81" s="17" t="s">
        <v>7</v>
      </c>
      <c r="F81" s="1" t="s">
        <v>542</v>
      </c>
      <c r="G81" s="1" t="s">
        <v>480</v>
      </c>
      <c r="L81" s="17" t="s">
        <v>481</v>
      </c>
      <c r="M81" s="17" t="s">
        <v>29</v>
      </c>
      <c r="N81" s="6">
        <v>1</v>
      </c>
      <c r="O81" s="6"/>
      <c r="BV81" s="1" t="s">
        <v>543</v>
      </c>
    </row>
    <row r="82" spans="1:74" x14ac:dyDescent="0.2">
      <c r="A82" s="1" t="s">
        <v>544</v>
      </c>
      <c r="B82" s="1" t="s">
        <v>476</v>
      </c>
      <c r="C82" s="1" t="s">
        <v>545</v>
      </c>
      <c r="D82" s="1" t="s">
        <v>546</v>
      </c>
      <c r="E82" s="17" t="s">
        <v>7</v>
      </c>
      <c r="F82" s="1" t="s">
        <v>547</v>
      </c>
      <c r="G82" s="1" t="s">
        <v>480</v>
      </c>
      <c r="L82" s="17" t="s">
        <v>481</v>
      </c>
      <c r="M82" s="17" t="s">
        <v>29</v>
      </c>
      <c r="N82" s="6">
        <v>1</v>
      </c>
      <c r="O82" s="6"/>
      <c r="BV82" s="1" t="s">
        <v>548</v>
      </c>
    </row>
    <row r="83" spans="1:74" x14ac:dyDescent="0.2">
      <c r="A83" s="1" t="s">
        <v>549</v>
      </c>
      <c r="B83" s="1" t="s">
        <v>476</v>
      </c>
      <c r="C83" s="1" t="s">
        <v>550</v>
      </c>
      <c r="D83" s="1" t="s">
        <v>551</v>
      </c>
      <c r="E83" s="17" t="s">
        <v>7</v>
      </c>
      <c r="F83" s="1" t="s">
        <v>552</v>
      </c>
      <c r="G83" s="1" t="s">
        <v>480</v>
      </c>
      <c r="L83" s="17" t="s">
        <v>481</v>
      </c>
      <c r="M83" s="17" t="s">
        <v>29</v>
      </c>
      <c r="N83" s="6">
        <v>1</v>
      </c>
      <c r="O83" s="6"/>
      <c r="BV83" s="1" t="s">
        <v>553</v>
      </c>
    </row>
    <row r="84" spans="1:74" x14ac:dyDescent="0.2">
      <c r="A84" s="1" t="s">
        <v>554</v>
      </c>
      <c r="B84" s="1" t="s">
        <v>476</v>
      </c>
      <c r="C84" s="1" t="s">
        <v>555</v>
      </c>
      <c r="D84" s="1" t="s">
        <v>556</v>
      </c>
      <c r="E84" s="17" t="s">
        <v>7</v>
      </c>
      <c r="F84" s="1" t="s">
        <v>557</v>
      </c>
      <c r="G84" s="1" t="s">
        <v>480</v>
      </c>
      <c r="L84" s="17" t="s">
        <v>481</v>
      </c>
      <c r="M84" s="17" t="s">
        <v>29</v>
      </c>
      <c r="N84" s="6">
        <v>1</v>
      </c>
      <c r="O84" s="6"/>
      <c r="BV84" s="1" t="s">
        <v>558</v>
      </c>
    </row>
    <row r="85" spans="1:74" x14ac:dyDescent="0.2">
      <c r="A85" s="1" t="s">
        <v>559</v>
      </c>
      <c r="B85" s="1" t="s">
        <v>476</v>
      </c>
      <c r="C85" s="1" t="s">
        <v>560</v>
      </c>
      <c r="D85" s="1" t="s">
        <v>556</v>
      </c>
      <c r="E85" s="17" t="s">
        <v>7</v>
      </c>
      <c r="F85" s="1" t="s">
        <v>557</v>
      </c>
      <c r="G85" s="1" t="s">
        <v>480</v>
      </c>
      <c r="L85" s="17" t="s">
        <v>481</v>
      </c>
      <c r="M85" s="17" t="s">
        <v>29</v>
      </c>
      <c r="N85" s="6">
        <v>1</v>
      </c>
      <c r="O85" s="6"/>
      <c r="BV85" s="1" t="s">
        <v>561</v>
      </c>
    </row>
    <row r="86" spans="1:74" x14ac:dyDescent="0.2">
      <c r="A86" s="1" t="s">
        <v>562</v>
      </c>
      <c r="B86" s="1" t="s">
        <v>563</v>
      </c>
      <c r="D86" s="1" t="s">
        <v>474</v>
      </c>
      <c r="E86" s="17" t="s">
        <v>11</v>
      </c>
      <c r="F86" s="1" t="s">
        <v>472</v>
      </c>
      <c r="H86" s="1" t="s">
        <v>564</v>
      </c>
      <c r="L86" s="17" t="s">
        <v>565</v>
      </c>
      <c r="M86" s="17" t="s">
        <v>29</v>
      </c>
      <c r="N86" s="6">
        <v>1</v>
      </c>
      <c r="O86" s="6"/>
      <c r="BC86" s="1">
        <v>7.77</v>
      </c>
    </row>
    <row r="87" spans="1:74" x14ac:dyDescent="0.2">
      <c r="A87" s="1" t="s">
        <v>566</v>
      </c>
      <c r="B87" s="1" t="s">
        <v>563</v>
      </c>
      <c r="D87" s="1" t="s">
        <v>474</v>
      </c>
      <c r="E87" s="17" t="s">
        <v>11</v>
      </c>
      <c r="F87" s="1" t="s">
        <v>472</v>
      </c>
      <c r="H87" s="1" t="s">
        <v>567</v>
      </c>
      <c r="L87" s="17" t="s">
        <v>565</v>
      </c>
      <c r="M87" s="17" t="s">
        <v>29</v>
      </c>
      <c r="N87" s="6">
        <v>1</v>
      </c>
      <c r="O87" s="6"/>
      <c r="BC87" s="1">
        <v>35.520000000000003</v>
      </c>
    </row>
    <row r="88" spans="1:74" x14ac:dyDescent="0.2">
      <c r="A88" s="1" t="s">
        <v>568</v>
      </c>
      <c r="B88" s="1" t="s">
        <v>563</v>
      </c>
      <c r="D88" s="1" t="s">
        <v>463</v>
      </c>
      <c r="E88" s="17" t="s">
        <v>11</v>
      </c>
      <c r="F88" s="1" t="s">
        <v>461</v>
      </c>
      <c r="H88" s="1" t="s">
        <v>564</v>
      </c>
      <c r="L88" s="17" t="s">
        <v>565</v>
      </c>
      <c r="M88" s="17" t="s">
        <v>29</v>
      </c>
      <c r="N88" s="6">
        <v>1</v>
      </c>
      <c r="O88" s="6"/>
      <c r="BC88" s="1">
        <v>3.47</v>
      </c>
    </row>
    <row r="89" spans="1:74" x14ac:dyDescent="0.2">
      <c r="A89" s="1" t="s">
        <v>569</v>
      </c>
      <c r="B89" s="1" t="s">
        <v>563</v>
      </c>
      <c r="D89" s="1" t="s">
        <v>463</v>
      </c>
      <c r="E89" s="17" t="s">
        <v>11</v>
      </c>
      <c r="F89" s="1" t="s">
        <v>461</v>
      </c>
      <c r="H89" s="1" t="s">
        <v>567</v>
      </c>
      <c r="L89" s="17" t="s">
        <v>565</v>
      </c>
      <c r="M89" s="17" t="s">
        <v>29</v>
      </c>
      <c r="N89" s="6">
        <v>1</v>
      </c>
      <c r="O89" s="6"/>
      <c r="BC89" s="1">
        <v>11.11</v>
      </c>
    </row>
    <row r="90" spans="1:74" x14ac:dyDescent="0.2">
      <c r="A90" s="1" t="s">
        <v>570</v>
      </c>
      <c r="B90" s="1" t="s">
        <v>563</v>
      </c>
      <c r="C90" s="1" t="s">
        <v>571</v>
      </c>
      <c r="D90" s="1" t="s">
        <v>572</v>
      </c>
      <c r="E90" s="17" t="s">
        <v>11</v>
      </c>
      <c r="F90" s="1" t="s">
        <v>573</v>
      </c>
      <c r="H90" s="1" t="s">
        <v>564</v>
      </c>
      <c r="L90" s="17" t="s">
        <v>565</v>
      </c>
      <c r="M90" s="17" t="s">
        <v>29</v>
      </c>
      <c r="N90" s="6">
        <v>1</v>
      </c>
      <c r="O90" s="6"/>
      <c r="BC90" s="1">
        <v>3.91</v>
      </c>
    </row>
    <row r="91" spans="1:74" x14ac:dyDescent="0.2">
      <c r="A91" s="1" t="s">
        <v>574</v>
      </c>
      <c r="B91" s="1" t="s">
        <v>563</v>
      </c>
      <c r="C91" s="1" t="s">
        <v>571</v>
      </c>
      <c r="D91" s="1" t="s">
        <v>572</v>
      </c>
      <c r="E91" s="17" t="s">
        <v>11</v>
      </c>
      <c r="F91" s="1" t="s">
        <v>573</v>
      </c>
      <c r="H91" s="1" t="s">
        <v>567</v>
      </c>
      <c r="L91" s="17" t="s">
        <v>565</v>
      </c>
      <c r="M91" s="17" t="s">
        <v>29</v>
      </c>
      <c r="N91" s="6">
        <v>1</v>
      </c>
      <c r="O91" s="6"/>
      <c r="BC91" s="1">
        <v>10.130000000000001</v>
      </c>
    </row>
    <row r="92" spans="1:74" x14ac:dyDescent="0.2">
      <c r="A92" s="1" t="s">
        <v>575</v>
      </c>
      <c r="B92" s="1" t="s">
        <v>576</v>
      </c>
      <c r="D92" s="1" t="s">
        <v>577</v>
      </c>
      <c r="E92" s="17" t="s">
        <v>9</v>
      </c>
      <c r="F92" s="1" t="s">
        <v>578</v>
      </c>
      <c r="H92" s="1" t="s">
        <v>579</v>
      </c>
      <c r="I92" s="1">
        <v>5</v>
      </c>
      <c r="L92" s="17" t="s">
        <v>580</v>
      </c>
      <c r="M92" s="17" t="s">
        <v>29</v>
      </c>
      <c r="N92" s="6">
        <v>1</v>
      </c>
      <c r="O92" s="6"/>
      <c r="AX92" s="1">
        <v>47</v>
      </c>
      <c r="BB92" s="1">
        <v>0.04</v>
      </c>
      <c r="BC92" s="1">
        <v>0.5</v>
      </c>
      <c r="BD92" s="1">
        <v>318</v>
      </c>
      <c r="BE92" s="1">
        <v>18</v>
      </c>
      <c r="BF92" s="1">
        <v>0.4</v>
      </c>
      <c r="BG92" s="1">
        <v>5</v>
      </c>
      <c r="BL92" s="1">
        <v>0.33</v>
      </c>
    </row>
    <row r="93" spans="1:74" x14ac:dyDescent="0.2">
      <c r="A93" s="1" t="s">
        <v>581</v>
      </c>
      <c r="B93" s="1" t="s">
        <v>576</v>
      </c>
      <c r="D93" s="1" t="s">
        <v>582</v>
      </c>
      <c r="E93" s="17" t="s">
        <v>9</v>
      </c>
      <c r="F93" s="1" t="s">
        <v>583</v>
      </c>
      <c r="H93" s="1" t="s">
        <v>584</v>
      </c>
      <c r="I93" s="1">
        <v>5</v>
      </c>
      <c r="L93" s="17" t="s">
        <v>580</v>
      </c>
      <c r="M93" s="17" t="s">
        <v>29</v>
      </c>
      <c r="N93" s="6">
        <v>1</v>
      </c>
      <c r="O93" s="6"/>
      <c r="AX93" s="1">
        <v>98</v>
      </c>
      <c r="BB93" s="1">
        <v>0.1</v>
      </c>
      <c r="BC93" s="1">
        <v>1.1000000000000001</v>
      </c>
      <c r="BD93" s="1">
        <v>363</v>
      </c>
      <c r="BE93" s="1">
        <v>30</v>
      </c>
      <c r="BF93" s="1">
        <v>0.3</v>
      </c>
      <c r="BG93" s="1">
        <v>4</v>
      </c>
      <c r="BL93" s="1">
        <v>0.4</v>
      </c>
    </row>
    <row r="94" spans="1:74" x14ac:dyDescent="0.2">
      <c r="A94" s="1" t="s">
        <v>585</v>
      </c>
      <c r="B94" s="1" t="s">
        <v>576</v>
      </c>
      <c r="D94" s="1" t="s">
        <v>586</v>
      </c>
      <c r="E94" s="17" t="s">
        <v>9</v>
      </c>
      <c r="F94" s="1" t="s">
        <v>587</v>
      </c>
      <c r="H94" s="1" t="s">
        <v>579</v>
      </c>
      <c r="I94" s="1">
        <v>5</v>
      </c>
      <c r="L94" s="17" t="s">
        <v>580</v>
      </c>
      <c r="M94" s="17" t="s">
        <v>29</v>
      </c>
      <c r="N94" s="6">
        <v>1</v>
      </c>
      <c r="O94" s="6"/>
      <c r="AX94" s="1">
        <v>127</v>
      </c>
      <c r="BB94" s="1">
        <v>0.2</v>
      </c>
      <c r="BC94" s="1">
        <v>0.9</v>
      </c>
      <c r="BE94" s="1">
        <v>30</v>
      </c>
      <c r="BF94" s="1">
        <v>0.2</v>
      </c>
      <c r="BG94" s="1">
        <v>14</v>
      </c>
      <c r="BL94" s="1">
        <v>0.8</v>
      </c>
    </row>
    <row r="95" spans="1:74" x14ac:dyDescent="0.2">
      <c r="A95" s="1" t="s">
        <v>588</v>
      </c>
      <c r="B95" s="1" t="s">
        <v>576</v>
      </c>
      <c r="D95" s="1" t="s">
        <v>589</v>
      </c>
      <c r="E95" s="17" t="s">
        <v>9</v>
      </c>
      <c r="F95" s="1" t="s">
        <v>590</v>
      </c>
      <c r="H95" s="1" t="s">
        <v>579</v>
      </c>
      <c r="I95" s="1">
        <v>5</v>
      </c>
      <c r="L95" s="17" t="s">
        <v>580</v>
      </c>
      <c r="M95" s="17" t="s">
        <v>29</v>
      </c>
      <c r="N95" s="6">
        <v>1</v>
      </c>
      <c r="O95" s="6"/>
      <c r="AX95" s="1">
        <v>286</v>
      </c>
      <c r="BB95" s="1">
        <v>0.04</v>
      </c>
      <c r="BC95" s="1">
        <v>0.4</v>
      </c>
      <c r="BD95" s="1">
        <v>712</v>
      </c>
      <c r="BE95" s="1">
        <v>51</v>
      </c>
      <c r="BF95" s="1">
        <v>0.3</v>
      </c>
      <c r="BL95" s="1">
        <v>0.28999999999999998</v>
      </c>
    </row>
    <row r="96" spans="1:74" x14ac:dyDescent="0.2">
      <c r="A96" s="1" t="s">
        <v>591</v>
      </c>
      <c r="B96" s="1" t="s">
        <v>576</v>
      </c>
      <c r="D96" s="1" t="s">
        <v>589</v>
      </c>
      <c r="E96" s="17" t="s">
        <v>9</v>
      </c>
      <c r="F96" s="1" t="s">
        <v>590</v>
      </c>
      <c r="H96" s="1" t="s">
        <v>592</v>
      </c>
      <c r="I96" s="1">
        <v>5</v>
      </c>
      <c r="L96" s="17" t="s">
        <v>580</v>
      </c>
      <c r="M96" s="17" t="s">
        <v>29</v>
      </c>
      <c r="N96" s="6">
        <v>1</v>
      </c>
      <c r="O96" s="6"/>
      <c r="AX96" s="1">
        <v>331</v>
      </c>
      <c r="BB96" s="1">
        <v>0.06</v>
      </c>
      <c r="BC96" s="1">
        <v>0.5</v>
      </c>
      <c r="BD96" s="1">
        <v>816</v>
      </c>
      <c r="BE96" s="1">
        <v>58</v>
      </c>
      <c r="BF96" s="1">
        <v>0.4</v>
      </c>
      <c r="BG96" s="1">
        <v>15</v>
      </c>
      <c r="BL96" s="1">
        <v>0.3</v>
      </c>
    </row>
    <row r="97" spans="1:95" x14ac:dyDescent="0.2">
      <c r="A97" s="1" t="s">
        <v>593</v>
      </c>
      <c r="B97" s="1" t="s">
        <v>576</v>
      </c>
      <c r="D97" s="1" t="s">
        <v>594</v>
      </c>
      <c r="E97" s="17" t="s">
        <v>9</v>
      </c>
      <c r="F97" s="1" t="s">
        <v>595</v>
      </c>
      <c r="H97" s="1" t="s">
        <v>579</v>
      </c>
      <c r="I97" s="1">
        <v>5</v>
      </c>
      <c r="L97" s="17" t="s">
        <v>580</v>
      </c>
      <c r="M97" s="17" t="s">
        <v>29</v>
      </c>
      <c r="N97" s="6">
        <v>1</v>
      </c>
      <c r="O97" s="6"/>
      <c r="AX97" s="1">
        <v>47</v>
      </c>
      <c r="BB97" s="1">
        <v>0.04</v>
      </c>
      <c r="BC97" s="1">
        <v>0.2</v>
      </c>
      <c r="BD97" s="1">
        <v>228</v>
      </c>
      <c r="BE97" s="1">
        <v>13</v>
      </c>
      <c r="BF97" s="1">
        <v>0.05</v>
      </c>
      <c r="BG97" s="1">
        <v>5</v>
      </c>
      <c r="BL97" s="1">
        <v>0.23</v>
      </c>
    </row>
    <row r="98" spans="1:95" x14ac:dyDescent="0.2">
      <c r="A98" s="1" t="s">
        <v>596</v>
      </c>
      <c r="B98" s="1" t="s">
        <v>576</v>
      </c>
      <c r="D98" s="1" t="s">
        <v>594</v>
      </c>
      <c r="E98" s="17" t="s">
        <v>9</v>
      </c>
      <c r="F98" s="1" t="s">
        <v>595</v>
      </c>
      <c r="H98" s="1" t="s">
        <v>592</v>
      </c>
      <c r="I98" s="1">
        <v>5</v>
      </c>
      <c r="L98" s="17" t="s">
        <v>580</v>
      </c>
      <c r="M98" s="17" t="s">
        <v>29</v>
      </c>
      <c r="N98" s="6">
        <v>1</v>
      </c>
      <c r="O98" s="6"/>
      <c r="AX98" s="1">
        <v>50</v>
      </c>
      <c r="BB98" s="1">
        <v>0.04</v>
      </c>
      <c r="BC98" s="1">
        <v>0.22</v>
      </c>
      <c r="BD98" s="1">
        <v>256</v>
      </c>
      <c r="BE98" s="1">
        <v>14</v>
      </c>
      <c r="BF98" s="1">
        <v>0.2</v>
      </c>
      <c r="BG98" s="1">
        <v>5</v>
      </c>
      <c r="BL98" s="1">
        <v>0.3</v>
      </c>
    </row>
    <row r="99" spans="1:95" x14ac:dyDescent="0.2">
      <c r="A99" s="1" t="s">
        <v>597</v>
      </c>
      <c r="B99" s="1" t="s">
        <v>576</v>
      </c>
      <c r="D99" s="1" t="s">
        <v>446</v>
      </c>
      <c r="E99" s="17" t="s">
        <v>9</v>
      </c>
      <c r="F99" s="1" t="s">
        <v>447</v>
      </c>
      <c r="H99" s="1" t="s">
        <v>579</v>
      </c>
      <c r="I99" s="1">
        <v>5</v>
      </c>
      <c r="L99" s="17" t="s">
        <v>580</v>
      </c>
      <c r="M99" s="17" t="s">
        <v>29</v>
      </c>
      <c r="N99" s="6">
        <v>1</v>
      </c>
      <c r="O99" s="6"/>
      <c r="AX99" s="1">
        <v>44</v>
      </c>
      <c r="BB99" s="1">
        <v>0.05</v>
      </c>
      <c r="BC99" s="1">
        <v>0.14000000000000001</v>
      </c>
      <c r="BD99" s="1">
        <v>266</v>
      </c>
      <c r="BE99" s="1">
        <v>14</v>
      </c>
      <c r="BF99" s="1">
        <v>0.2</v>
      </c>
      <c r="BG99" s="1">
        <v>3</v>
      </c>
      <c r="BL99" s="1">
        <v>0.2</v>
      </c>
    </row>
    <row r="100" spans="1:95" x14ac:dyDescent="0.2">
      <c r="A100" s="1" t="s">
        <v>598</v>
      </c>
      <c r="B100" s="1" t="s">
        <v>576</v>
      </c>
      <c r="D100" s="1" t="s">
        <v>446</v>
      </c>
      <c r="E100" s="17" t="s">
        <v>9</v>
      </c>
      <c r="F100" s="1" t="s">
        <v>447</v>
      </c>
      <c r="H100" s="1" t="s">
        <v>592</v>
      </c>
      <c r="I100" s="1">
        <v>5</v>
      </c>
      <c r="L100" s="17" t="s">
        <v>580</v>
      </c>
      <c r="M100" s="17" t="s">
        <v>29</v>
      </c>
      <c r="N100" s="6">
        <v>1</v>
      </c>
      <c r="O100" s="6"/>
      <c r="AX100" s="1">
        <v>46</v>
      </c>
      <c r="BB100" s="1">
        <v>0.04</v>
      </c>
      <c r="BC100" s="1">
        <v>0.16</v>
      </c>
      <c r="BD100" s="1">
        <v>275</v>
      </c>
      <c r="BE100" s="1">
        <v>15</v>
      </c>
      <c r="BF100" s="1">
        <v>0.2</v>
      </c>
      <c r="BG100" s="1">
        <v>3</v>
      </c>
      <c r="BL100" s="1">
        <v>0.2</v>
      </c>
    </row>
    <row r="101" spans="1:95" x14ac:dyDescent="0.2">
      <c r="A101" s="1" t="s">
        <v>599</v>
      </c>
      <c r="B101" s="1" t="s">
        <v>576</v>
      </c>
      <c r="D101" s="1" t="s">
        <v>600</v>
      </c>
      <c r="E101" s="17" t="s">
        <v>7</v>
      </c>
      <c r="F101" s="1" t="s">
        <v>601</v>
      </c>
      <c r="H101" s="1" t="s">
        <v>579</v>
      </c>
      <c r="I101" s="1">
        <v>5</v>
      </c>
      <c r="L101" s="17" t="s">
        <v>580</v>
      </c>
      <c r="M101" s="17" t="s">
        <v>29</v>
      </c>
      <c r="N101" s="6">
        <v>1</v>
      </c>
      <c r="O101" s="6"/>
      <c r="AX101" s="1">
        <v>64</v>
      </c>
      <c r="BB101" s="1">
        <v>0.05</v>
      </c>
      <c r="BC101" s="1">
        <v>1</v>
      </c>
      <c r="BD101" s="1">
        <v>537</v>
      </c>
      <c r="BE101" s="1">
        <v>55</v>
      </c>
      <c r="BF101" s="1">
        <v>1</v>
      </c>
      <c r="BG101" s="1">
        <v>94</v>
      </c>
      <c r="BL101" s="1">
        <v>0.3</v>
      </c>
    </row>
    <row r="102" spans="1:95" x14ac:dyDescent="0.2">
      <c r="A102" s="1" t="s">
        <v>602</v>
      </c>
      <c r="B102" s="1" t="s">
        <v>603</v>
      </c>
      <c r="C102" s="1" t="s">
        <v>604</v>
      </c>
      <c r="D102" s="1" t="s">
        <v>605</v>
      </c>
      <c r="E102" s="17" t="s">
        <v>7</v>
      </c>
      <c r="F102" s="1" t="s">
        <v>606</v>
      </c>
      <c r="I102" s="1">
        <v>3</v>
      </c>
      <c r="L102" s="17" t="s">
        <v>607</v>
      </c>
      <c r="M102" s="17" t="s">
        <v>29</v>
      </c>
      <c r="N102" s="6">
        <v>1</v>
      </c>
      <c r="O102" s="6"/>
      <c r="BV102" s="1">
        <v>979</v>
      </c>
      <c r="CQ102" s="1">
        <v>68.8</v>
      </c>
    </row>
    <row r="103" spans="1:95" x14ac:dyDescent="0.2">
      <c r="A103" s="1" t="s">
        <v>608</v>
      </c>
      <c r="B103" s="1" t="s">
        <v>603</v>
      </c>
      <c r="C103" s="1" t="s">
        <v>604</v>
      </c>
      <c r="D103" s="1" t="s">
        <v>609</v>
      </c>
      <c r="E103" s="17" t="s">
        <v>11</v>
      </c>
      <c r="F103" s="1" t="s">
        <v>606</v>
      </c>
      <c r="I103" s="1">
        <v>3</v>
      </c>
      <c r="L103" s="17" t="s">
        <v>607</v>
      </c>
      <c r="M103" s="17" t="s">
        <v>29</v>
      </c>
      <c r="N103" s="6">
        <v>1</v>
      </c>
      <c r="O103" s="6"/>
      <c r="BV103" s="1">
        <v>6780</v>
      </c>
      <c r="CQ103" s="1">
        <v>22.7</v>
      </c>
    </row>
    <row r="104" spans="1:95" x14ac:dyDescent="0.2">
      <c r="A104" s="1" t="s">
        <v>610</v>
      </c>
      <c r="B104" s="1" t="s">
        <v>603</v>
      </c>
      <c r="C104" s="1" t="s">
        <v>604</v>
      </c>
      <c r="D104" s="1" t="s">
        <v>611</v>
      </c>
      <c r="E104" s="17" t="s">
        <v>11</v>
      </c>
      <c r="F104" s="1" t="s">
        <v>606</v>
      </c>
      <c r="H104" s="1" t="s">
        <v>612</v>
      </c>
      <c r="I104" s="1">
        <v>3</v>
      </c>
      <c r="L104" s="17" t="s">
        <v>607</v>
      </c>
      <c r="M104" s="17" t="s">
        <v>29</v>
      </c>
      <c r="N104" s="6">
        <v>1</v>
      </c>
      <c r="O104" s="6"/>
      <c r="BV104" s="1">
        <v>8810</v>
      </c>
      <c r="CQ104" s="1">
        <v>28.2</v>
      </c>
    </row>
    <row r="105" spans="1:95" x14ac:dyDescent="0.2">
      <c r="A105" s="1" t="s">
        <v>613</v>
      </c>
      <c r="B105" s="1" t="s">
        <v>603</v>
      </c>
      <c r="C105" s="1" t="s">
        <v>604</v>
      </c>
      <c r="D105" s="1" t="s">
        <v>614</v>
      </c>
      <c r="E105" s="17" t="s">
        <v>11</v>
      </c>
      <c r="F105" s="1" t="s">
        <v>606</v>
      </c>
      <c r="I105" s="1">
        <v>3</v>
      </c>
      <c r="L105" s="17" t="s">
        <v>607</v>
      </c>
      <c r="M105" s="17" t="s">
        <v>29</v>
      </c>
      <c r="N105" s="6">
        <v>1</v>
      </c>
      <c r="O105" s="6"/>
      <c r="BV105" s="1">
        <v>7150</v>
      </c>
      <c r="CQ105" s="1">
        <v>22.6</v>
      </c>
    </row>
    <row r="106" spans="1:95" x14ac:dyDescent="0.2">
      <c r="A106" s="1" t="s">
        <v>615</v>
      </c>
      <c r="B106" s="1" t="s">
        <v>603</v>
      </c>
      <c r="C106" s="1" t="s">
        <v>604</v>
      </c>
      <c r="D106" s="1" t="s">
        <v>611</v>
      </c>
      <c r="E106" s="17" t="s">
        <v>11</v>
      </c>
      <c r="F106" s="1" t="s">
        <v>606</v>
      </c>
      <c r="H106" s="1" t="s">
        <v>616</v>
      </c>
      <c r="I106" s="1">
        <v>3</v>
      </c>
      <c r="L106" s="17" t="s">
        <v>607</v>
      </c>
      <c r="M106" s="17" t="s">
        <v>29</v>
      </c>
      <c r="N106" s="6">
        <v>1</v>
      </c>
      <c r="O106" s="6"/>
      <c r="BV106" s="1">
        <v>7740</v>
      </c>
      <c r="CQ106" s="1">
        <v>22.6</v>
      </c>
    </row>
    <row r="107" spans="1:95" x14ac:dyDescent="0.2">
      <c r="A107" s="1" t="s">
        <v>617</v>
      </c>
      <c r="B107" s="1" t="s">
        <v>603</v>
      </c>
      <c r="C107" s="1" t="s">
        <v>604</v>
      </c>
      <c r="D107" s="1" t="s">
        <v>611</v>
      </c>
      <c r="E107" s="17" t="s">
        <v>11</v>
      </c>
      <c r="F107" s="1" t="s">
        <v>606</v>
      </c>
      <c r="H107" s="1" t="s">
        <v>618</v>
      </c>
      <c r="I107" s="1">
        <v>3</v>
      </c>
      <c r="L107" s="17" t="s">
        <v>607</v>
      </c>
      <c r="M107" s="17" t="s">
        <v>29</v>
      </c>
      <c r="N107" s="6">
        <v>1</v>
      </c>
      <c r="O107" s="6"/>
      <c r="BV107" s="1">
        <v>6660</v>
      </c>
      <c r="CQ107" s="1">
        <v>22.6</v>
      </c>
    </row>
    <row r="108" spans="1:95" x14ac:dyDescent="0.2">
      <c r="A108" s="1" t="s">
        <v>619</v>
      </c>
      <c r="B108" s="1" t="s">
        <v>603</v>
      </c>
      <c r="C108" s="1" t="s">
        <v>604</v>
      </c>
      <c r="D108" s="1" t="s">
        <v>620</v>
      </c>
      <c r="E108" s="17" t="s">
        <v>9</v>
      </c>
      <c r="F108" s="1" t="s">
        <v>606</v>
      </c>
      <c r="I108" s="1">
        <v>3</v>
      </c>
      <c r="L108" s="17" t="s">
        <v>607</v>
      </c>
      <c r="M108" s="17" t="s">
        <v>29</v>
      </c>
      <c r="N108" s="6">
        <v>1</v>
      </c>
      <c r="O108" s="6"/>
      <c r="BV108" s="1">
        <v>1030</v>
      </c>
      <c r="CQ108" s="1">
        <v>31.6</v>
      </c>
    </row>
    <row r="109" spans="1:95" x14ac:dyDescent="0.2">
      <c r="A109" s="1" t="s">
        <v>621</v>
      </c>
      <c r="B109" s="1" t="s">
        <v>603</v>
      </c>
      <c r="C109" s="1" t="s">
        <v>604</v>
      </c>
      <c r="D109" s="1" t="s">
        <v>622</v>
      </c>
      <c r="E109" s="17" t="s">
        <v>9</v>
      </c>
      <c r="F109" s="1" t="s">
        <v>606</v>
      </c>
      <c r="I109" s="1">
        <v>3</v>
      </c>
      <c r="L109" s="17" t="s">
        <v>607</v>
      </c>
      <c r="M109" s="17" t="s">
        <v>29</v>
      </c>
      <c r="N109" s="6">
        <v>1</v>
      </c>
      <c r="O109" s="6"/>
      <c r="BV109" s="1">
        <v>1180</v>
      </c>
      <c r="CQ109" s="1">
        <v>34.5</v>
      </c>
    </row>
    <row r="110" spans="1:95" x14ac:dyDescent="0.2">
      <c r="A110" s="1" t="s">
        <v>623</v>
      </c>
      <c r="B110" s="1" t="s">
        <v>603</v>
      </c>
      <c r="C110" s="1" t="s">
        <v>604</v>
      </c>
      <c r="D110" s="1" t="s">
        <v>624</v>
      </c>
      <c r="E110" s="17" t="s">
        <v>9</v>
      </c>
      <c r="F110" s="1" t="s">
        <v>606</v>
      </c>
      <c r="I110" s="1">
        <v>3</v>
      </c>
      <c r="L110" s="17" t="s">
        <v>607</v>
      </c>
      <c r="M110" s="17" t="s">
        <v>29</v>
      </c>
      <c r="N110" s="6">
        <v>1</v>
      </c>
      <c r="O110" s="6"/>
      <c r="BV110" s="1">
        <v>1330</v>
      </c>
      <c r="CQ110" s="1">
        <v>24.7</v>
      </c>
    </row>
    <row r="111" spans="1:95" x14ac:dyDescent="0.2">
      <c r="A111" s="1" t="s">
        <v>625</v>
      </c>
      <c r="B111" s="1" t="s">
        <v>603</v>
      </c>
      <c r="C111" s="1" t="s">
        <v>604</v>
      </c>
      <c r="D111" s="1" t="s">
        <v>626</v>
      </c>
      <c r="E111" s="17" t="s">
        <v>9</v>
      </c>
      <c r="F111" s="1" t="s">
        <v>606</v>
      </c>
      <c r="H111" s="1" t="s">
        <v>627</v>
      </c>
      <c r="I111" s="1">
        <v>3</v>
      </c>
      <c r="L111" s="17" t="s">
        <v>607</v>
      </c>
      <c r="M111" s="17" t="s">
        <v>29</v>
      </c>
      <c r="N111" s="6">
        <v>1</v>
      </c>
      <c r="O111" s="6"/>
      <c r="BV111" s="1">
        <v>3130</v>
      </c>
      <c r="CQ111" s="1">
        <v>33</v>
      </c>
    </row>
    <row r="112" spans="1:95" x14ac:dyDescent="0.2">
      <c r="A112" s="1" t="s">
        <v>628</v>
      </c>
      <c r="B112" s="1" t="s">
        <v>603</v>
      </c>
      <c r="C112" s="1" t="s">
        <v>604</v>
      </c>
      <c r="D112" s="1" t="s">
        <v>629</v>
      </c>
      <c r="E112" s="17" t="s">
        <v>9</v>
      </c>
      <c r="F112" s="1" t="s">
        <v>606</v>
      </c>
      <c r="H112" s="1" t="s">
        <v>630</v>
      </c>
      <c r="I112" s="1">
        <v>3</v>
      </c>
      <c r="L112" s="17" t="s">
        <v>607</v>
      </c>
      <c r="M112" s="17" t="s">
        <v>29</v>
      </c>
      <c r="N112" s="6">
        <v>1</v>
      </c>
      <c r="O112" s="6"/>
      <c r="BV112" s="1">
        <v>2730</v>
      </c>
      <c r="CQ112" s="1">
        <v>131.6</v>
      </c>
    </row>
    <row r="113" spans="1:181" x14ac:dyDescent="0.2">
      <c r="A113" s="1" t="s">
        <v>631</v>
      </c>
      <c r="B113" s="1" t="s">
        <v>632</v>
      </c>
      <c r="D113" s="1" t="s">
        <v>605</v>
      </c>
      <c r="E113" s="17" t="s">
        <v>7</v>
      </c>
      <c r="F113" s="1" t="s">
        <v>486</v>
      </c>
      <c r="H113" s="1" t="s">
        <v>633</v>
      </c>
      <c r="I113" s="1">
        <v>4</v>
      </c>
      <c r="L113" s="17" t="s">
        <v>634</v>
      </c>
      <c r="M113" s="17" t="s">
        <v>29</v>
      </c>
      <c r="N113" s="6">
        <v>1</v>
      </c>
      <c r="O113" s="6"/>
      <c r="R113" s="1">
        <v>86.4</v>
      </c>
      <c r="AP113" s="1">
        <v>8.44</v>
      </c>
      <c r="BC113" s="1">
        <v>10.6</v>
      </c>
      <c r="CQ113" s="1">
        <v>18.3</v>
      </c>
      <c r="EV113" s="1">
        <v>1.37</v>
      </c>
      <c r="FY113" s="1">
        <v>60.1</v>
      </c>
    </row>
    <row r="114" spans="1:181" x14ac:dyDescent="0.2">
      <c r="A114" s="1" t="s">
        <v>635</v>
      </c>
      <c r="B114" s="1" t="s">
        <v>632</v>
      </c>
      <c r="D114" s="1" t="s">
        <v>636</v>
      </c>
      <c r="E114" s="17" t="s">
        <v>11</v>
      </c>
      <c r="F114" s="1" t="s">
        <v>486</v>
      </c>
      <c r="H114" s="1" t="s">
        <v>637</v>
      </c>
      <c r="I114" s="1">
        <v>4</v>
      </c>
      <c r="L114" s="17" t="s">
        <v>634</v>
      </c>
      <c r="M114" s="17" t="s">
        <v>29</v>
      </c>
      <c r="N114" s="6">
        <v>1</v>
      </c>
      <c r="O114" s="6"/>
      <c r="R114" s="1">
        <v>79.099999999999994</v>
      </c>
      <c r="AP114" s="1">
        <v>9.1</v>
      </c>
      <c r="BC114" s="1">
        <v>10.4</v>
      </c>
      <c r="CQ114" s="1">
        <v>4</v>
      </c>
      <c r="EV114" s="1">
        <v>1.18</v>
      </c>
      <c r="FY114" s="1">
        <v>82.5</v>
      </c>
    </row>
    <row r="115" spans="1:181" x14ac:dyDescent="0.2">
      <c r="A115" s="1" t="s">
        <v>638</v>
      </c>
      <c r="B115" s="1" t="s">
        <v>632</v>
      </c>
      <c r="D115" s="1" t="s">
        <v>636</v>
      </c>
      <c r="E115" s="17" t="s">
        <v>11</v>
      </c>
      <c r="F115" s="1" t="s">
        <v>486</v>
      </c>
      <c r="H115" s="1" t="s">
        <v>639</v>
      </c>
      <c r="I115" s="1">
        <v>4</v>
      </c>
      <c r="L115" s="17" t="s">
        <v>634</v>
      </c>
      <c r="M115" s="17" t="s">
        <v>29</v>
      </c>
      <c r="N115" s="6">
        <v>1</v>
      </c>
      <c r="O115" s="6"/>
      <c r="R115" s="1">
        <v>82.7</v>
      </c>
      <c r="AP115" s="1">
        <v>9.02</v>
      </c>
      <c r="BC115" s="1">
        <v>16.8</v>
      </c>
      <c r="CQ115" s="1">
        <v>3.2</v>
      </c>
      <c r="EV115" s="1">
        <v>1.39</v>
      </c>
      <c r="FY115" s="1">
        <v>64.599999999999994</v>
      </c>
    </row>
    <row r="116" spans="1:181" x14ac:dyDescent="0.2">
      <c r="A116" s="1" t="s">
        <v>640</v>
      </c>
      <c r="B116" s="1" t="s">
        <v>632</v>
      </c>
      <c r="D116" s="1" t="s">
        <v>636</v>
      </c>
      <c r="E116" s="17" t="s">
        <v>11</v>
      </c>
      <c r="F116" s="1" t="s">
        <v>486</v>
      </c>
      <c r="H116" s="1" t="s">
        <v>641</v>
      </c>
      <c r="I116" s="1">
        <v>4</v>
      </c>
      <c r="L116" s="17" t="s">
        <v>634</v>
      </c>
      <c r="M116" s="17" t="s">
        <v>29</v>
      </c>
      <c r="N116" s="6">
        <v>1</v>
      </c>
      <c r="O116" s="6"/>
      <c r="R116" s="1">
        <v>83</v>
      </c>
      <c r="AP116" s="1">
        <v>9.35</v>
      </c>
      <c r="BC116" s="1">
        <v>11.86</v>
      </c>
      <c r="CQ116" s="1">
        <v>3.2</v>
      </c>
      <c r="EV116" s="1">
        <v>1.1000000000000001</v>
      </c>
      <c r="FY116" s="1">
        <v>81</v>
      </c>
    </row>
    <row r="117" spans="1:181" x14ac:dyDescent="0.2">
      <c r="A117" s="1" t="s">
        <v>642</v>
      </c>
      <c r="B117" s="1" t="s">
        <v>632</v>
      </c>
      <c r="C117" s="1" t="s">
        <v>643</v>
      </c>
      <c r="D117" s="1" t="s">
        <v>644</v>
      </c>
      <c r="E117" s="17" t="s">
        <v>7</v>
      </c>
      <c r="F117" s="1" t="s">
        <v>606</v>
      </c>
      <c r="H117" s="1" t="s">
        <v>645</v>
      </c>
      <c r="I117" s="1">
        <v>4</v>
      </c>
      <c r="L117" s="17" t="s">
        <v>634</v>
      </c>
      <c r="M117" s="17" t="s">
        <v>29</v>
      </c>
      <c r="N117" s="6">
        <v>1</v>
      </c>
      <c r="O117" s="6"/>
      <c r="R117" s="1">
        <v>90.2</v>
      </c>
      <c r="AP117" s="1">
        <v>5.9</v>
      </c>
      <c r="BC117" s="1">
        <v>4.3</v>
      </c>
      <c r="CQ117" s="1">
        <v>8.6999999999999993</v>
      </c>
      <c r="EV117" s="1">
        <v>0.63800000000000001</v>
      </c>
      <c r="FY117" s="1">
        <v>40.9</v>
      </c>
    </row>
    <row r="118" spans="1:181" x14ac:dyDescent="0.2">
      <c r="A118" s="1" t="s">
        <v>646</v>
      </c>
      <c r="B118" s="1" t="s">
        <v>632</v>
      </c>
      <c r="C118" s="1" t="s">
        <v>643</v>
      </c>
      <c r="D118" s="1" t="s">
        <v>469</v>
      </c>
      <c r="E118" s="17" t="s">
        <v>11</v>
      </c>
      <c r="F118" s="1" t="s">
        <v>606</v>
      </c>
      <c r="H118" s="1" t="s">
        <v>647</v>
      </c>
      <c r="I118" s="1">
        <v>4</v>
      </c>
      <c r="L118" s="17" t="s">
        <v>634</v>
      </c>
      <c r="M118" s="17" t="s">
        <v>29</v>
      </c>
      <c r="N118" s="6">
        <v>1</v>
      </c>
      <c r="O118" s="6"/>
      <c r="R118" s="1">
        <v>91.4</v>
      </c>
      <c r="AP118" s="1">
        <v>6.72</v>
      </c>
      <c r="BC118" s="1">
        <v>4.47</v>
      </c>
      <c r="CQ118" s="1">
        <v>4.4000000000000004</v>
      </c>
      <c r="EV118" s="1">
        <v>0.77400000000000002</v>
      </c>
      <c r="FY118" s="1">
        <v>37.4</v>
      </c>
    </row>
    <row r="119" spans="1:181" x14ac:dyDescent="0.2">
      <c r="A119" s="1" t="s">
        <v>648</v>
      </c>
      <c r="B119" s="1" t="s">
        <v>632</v>
      </c>
      <c r="C119" s="1" t="s">
        <v>643</v>
      </c>
      <c r="D119" s="1" t="s">
        <v>469</v>
      </c>
      <c r="E119" s="17" t="s">
        <v>11</v>
      </c>
      <c r="F119" s="1" t="s">
        <v>606</v>
      </c>
      <c r="H119" s="1" t="s">
        <v>649</v>
      </c>
      <c r="I119" s="1">
        <v>4</v>
      </c>
      <c r="L119" s="17" t="s">
        <v>634</v>
      </c>
      <c r="M119" s="17" t="s">
        <v>29</v>
      </c>
      <c r="N119" s="6">
        <v>1</v>
      </c>
      <c r="O119" s="6"/>
      <c r="R119" s="1">
        <v>90.2</v>
      </c>
      <c r="AP119" s="1">
        <v>6.52</v>
      </c>
      <c r="BC119" s="1">
        <v>9.6999999999999993</v>
      </c>
      <c r="CQ119" s="1">
        <v>4.4000000000000004</v>
      </c>
      <c r="EV119" s="1">
        <v>0.71099999999999997</v>
      </c>
      <c r="FY119" s="1">
        <v>30.1</v>
      </c>
    </row>
    <row r="120" spans="1:181" x14ac:dyDescent="0.2">
      <c r="A120" s="1" t="s">
        <v>650</v>
      </c>
      <c r="B120" s="1" t="s">
        <v>632</v>
      </c>
      <c r="C120" s="1" t="s">
        <v>643</v>
      </c>
      <c r="D120" s="1" t="s">
        <v>469</v>
      </c>
      <c r="E120" s="17" t="s">
        <v>11</v>
      </c>
      <c r="F120" s="1" t="s">
        <v>606</v>
      </c>
      <c r="H120" s="1" t="s">
        <v>651</v>
      </c>
      <c r="I120" s="1">
        <v>4</v>
      </c>
      <c r="L120" s="17" t="s">
        <v>634</v>
      </c>
      <c r="M120" s="17" t="s">
        <v>29</v>
      </c>
      <c r="N120" s="6">
        <v>1</v>
      </c>
      <c r="O120" s="6"/>
      <c r="R120" s="1">
        <v>91.3</v>
      </c>
      <c r="AP120" s="1">
        <v>6.61</v>
      </c>
      <c r="BC120" s="1">
        <v>4.3</v>
      </c>
      <c r="CQ120" s="1">
        <v>3.3</v>
      </c>
      <c r="EV120" s="1">
        <v>0.51500000000000001</v>
      </c>
      <c r="FY120" s="1">
        <v>37.1</v>
      </c>
    </row>
    <row r="121" spans="1:181" x14ac:dyDescent="0.2">
      <c r="A121" s="1" t="s">
        <v>652</v>
      </c>
      <c r="B121" s="1" t="s">
        <v>632</v>
      </c>
      <c r="C121" s="1" t="s">
        <v>653</v>
      </c>
      <c r="D121" s="1" t="s">
        <v>644</v>
      </c>
      <c r="E121" s="17" t="s">
        <v>7</v>
      </c>
      <c r="F121" s="1" t="s">
        <v>654</v>
      </c>
      <c r="H121" s="1" t="s">
        <v>645</v>
      </c>
      <c r="I121" s="1">
        <v>4</v>
      </c>
      <c r="L121" s="17" t="s">
        <v>634</v>
      </c>
      <c r="M121" s="17" t="s">
        <v>29</v>
      </c>
      <c r="N121" s="6">
        <v>1</v>
      </c>
      <c r="O121" s="6"/>
      <c r="R121" s="1">
        <v>89.8</v>
      </c>
      <c r="AP121" s="1">
        <v>5.65</v>
      </c>
      <c r="BC121" s="1">
        <v>3.56</v>
      </c>
      <c r="CQ121" s="1">
        <v>56.7</v>
      </c>
      <c r="EV121" s="1">
        <v>9.1999999999999998E-2</v>
      </c>
      <c r="FY121" s="1">
        <v>68.7</v>
      </c>
    </row>
    <row r="122" spans="1:181" x14ac:dyDescent="0.2">
      <c r="A122" s="1" t="s">
        <v>655</v>
      </c>
      <c r="B122" s="1" t="s">
        <v>632</v>
      </c>
      <c r="C122" s="1" t="s">
        <v>653</v>
      </c>
      <c r="D122" s="1" t="s">
        <v>469</v>
      </c>
      <c r="E122" s="17" t="s">
        <v>11</v>
      </c>
      <c r="F122" s="1" t="s">
        <v>654</v>
      </c>
      <c r="H122" s="1" t="s">
        <v>656</v>
      </c>
      <c r="I122" s="1">
        <v>4</v>
      </c>
      <c r="L122" s="17" t="s">
        <v>634</v>
      </c>
      <c r="M122" s="17" t="s">
        <v>29</v>
      </c>
      <c r="N122" s="6">
        <v>1</v>
      </c>
      <c r="O122" s="6"/>
      <c r="R122" s="1">
        <v>87.6</v>
      </c>
      <c r="AP122" s="1">
        <v>5.75</v>
      </c>
      <c r="BC122" s="1">
        <v>3.32</v>
      </c>
      <c r="CQ122" s="1">
        <v>23.3</v>
      </c>
      <c r="EV122" s="1">
        <v>4.8000000000000001E-2</v>
      </c>
      <c r="FY122" s="1">
        <v>61.9</v>
      </c>
    </row>
    <row r="123" spans="1:181" x14ac:dyDescent="0.2">
      <c r="A123" s="1" t="s">
        <v>657</v>
      </c>
      <c r="B123" s="1" t="s">
        <v>632</v>
      </c>
      <c r="C123" s="1" t="s">
        <v>653</v>
      </c>
      <c r="D123" s="1" t="s">
        <v>469</v>
      </c>
      <c r="E123" s="17" t="s">
        <v>11</v>
      </c>
      <c r="F123" s="1" t="s">
        <v>654</v>
      </c>
      <c r="H123" s="1" t="s">
        <v>658</v>
      </c>
      <c r="I123" s="1">
        <v>4</v>
      </c>
      <c r="L123" s="17" t="s">
        <v>634</v>
      </c>
      <c r="M123" s="17" t="s">
        <v>29</v>
      </c>
      <c r="N123" s="6">
        <v>1</v>
      </c>
      <c r="O123" s="6"/>
      <c r="R123" s="1">
        <v>83.1</v>
      </c>
      <c r="AP123" s="1">
        <v>6.62</v>
      </c>
      <c r="BC123" s="1">
        <v>17.5</v>
      </c>
      <c r="CQ123" s="1">
        <v>29.2</v>
      </c>
      <c r="EV123" s="1">
        <v>4.9000000000000002E-2</v>
      </c>
      <c r="FY123" s="1">
        <v>664</v>
      </c>
    </row>
    <row r="124" spans="1:181" x14ac:dyDescent="0.2">
      <c r="A124" s="1" t="s">
        <v>659</v>
      </c>
      <c r="B124" s="1" t="s">
        <v>632</v>
      </c>
      <c r="C124" s="1" t="s">
        <v>653</v>
      </c>
      <c r="D124" s="1" t="s">
        <v>469</v>
      </c>
      <c r="E124" s="17" t="s">
        <v>11</v>
      </c>
      <c r="F124" s="1" t="s">
        <v>654</v>
      </c>
      <c r="H124" s="1" t="s">
        <v>660</v>
      </c>
      <c r="I124" s="1">
        <v>4</v>
      </c>
      <c r="L124" s="17" t="s">
        <v>634</v>
      </c>
      <c r="M124" s="17" t="s">
        <v>29</v>
      </c>
      <c r="N124" s="6">
        <v>1</v>
      </c>
      <c r="O124" s="6"/>
      <c r="R124" s="1">
        <v>87.7</v>
      </c>
      <c r="AP124" s="1">
        <v>6.85</v>
      </c>
      <c r="BC124" s="1">
        <v>3.2</v>
      </c>
      <c r="CQ124" s="1">
        <v>14.2</v>
      </c>
      <c r="EV124" s="1">
        <v>4.8000000000000001E-2</v>
      </c>
      <c r="FY124" s="1">
        <v>66</v>
      </c>
    </row>
    <row r="125" spans="1:181" x14ac:dyDescent="0.2">
      <c r="A125" s="1" t="s">
        <v>661</v>
      </c>
      <c r="B125" s="1" t="s">
        <v>662</v>
      </c>
      <c r="D125" s="1" t="s">
        <v>663</v>
      </c>
      <c r="E125" s="17" t="s">
        <v>11</v>
      </c>
      <c r="F125" s="1" t="s">
        <v>654</v>
      </c>
      <c r="H125" s="1" t="s">
        <v>664</v>
      </c>
      <c r="I125" s="1">
        <v>2</v>
      </c>
      <c r="L125" s="17" t="s">
        <v>665</v>
      </c>
      <c r="M125" s="17" t="s">
        <v>29</v>
      </c>
      <c r="N125" s="6">
        <v>1</v>
      </c>
      <c r="O125" s="6"/>
      <c r="P125" s="1">
        <v>655</v>
      </c>
      <c r="Q125" s="1">
        <v>156</v>
      </c>
      <c r="R125" s="1">
        <v>61.2</v>
      </c>
      <c r="X125" s="1">
        <v>2.8</v>
      </c>
      <c r="AA125" s="1">
        <v>1.5</v>
      </c>
      <c r="AW125" s="1">
        <v>1.1000000000000001</v>
      </c>
      <c r="BB125" s="1">
        <v>3.2000000000000001E-2</v>
      </c>
      <c r="BC125" s="1">
        <v>2.3660000000000001</v>
      </c>
      <c r="BL125" s="1">
        <v>1.645</v>
      </c>
      <c r="BV125" s="1">
        <v>2240</v>
      </c>
      <c r="CI125" s="1">
        <v>4.2999999999999997E-2</v>
      </c>
      <c r="CJ125" s="1">
        <v>1.7000000000000001E-2</v>
      </c>
      <c r="CO125" s="1">
        <v>17</v>
      </c>
      <c r="CQ125" s="1">
        <v>10</v>
      </c>
    </row>
    <row r="126" spans="1:181" x14ac:dyDescent="0.2">
      <c r="A126" s="1" t="s">
        <v>666</v>
      </c>
      <c r="B126" s="1" t="s">
        <v>662</v>
      </c>
      <c r="D126" s="1" t="s">
        <v>328</v>
      </c>
      <c r="E126" s="17" t="s">
        <v>7</v>
      </c>
      <c r="F126" s="1" t="s">
        <v>667</v>
      </c>
      <c r="I126" s="1">
        <v>2</v>
      </c>
      <c r="L126" s="17" t="s">
        <v>665</v>
      </c>
      <c r="M126" s="17" t="s">
        <v>29</v>
      </c>
      <c r="N126" s="6">
        <v>1</v>
      </c>
      <c r="O126" s="6"/>
      <c r="P126" s="1">
        <v>255</v>
      </c>
      <c r="Q126" s="1">
        <v>61</v>
      </c>
      <c r="R126" s="1">
        <v>84.9</v>
      </c>
      <c r="X126" s="1">
        <v>1.7</v>
      </c>
      <c r="AA126" s="1">
        <v>0.9</v>
      </c>
      <c r="AW126" s="1">
        <v>0.5</v>
      </c>
      <c r="BB126" s="1">
        <v>0.02</v>
      </c>
      <c r="BC126" s="1">
        <v>0.84</v>
      </c>
      <c r="BL126" s="1">
        <v>0.32300000000000001</v>
      </c>
      <c r="BV126" s="1">
        <v>1520</v>
      </c>
      <c r="CI126" s="1">
        <v>1.7999999999999999E-2</v>
      </c>
      <c r="CJ126" s="1">
        <v>4.0000000000000001E-3</v>
      </c>
      <c r="CO126" s="1">
        <v>15</v>
      </c>
      <c r="CQ126" s="1">
        <v>5.9</v>
      </c>
    </row>
    <row r="127" spans="1:181" x14ac:dyDescent="0.2">
      <c r="A127" s="1" t="s">
        <v>668</v>
      </c>
      <c r="B127" s="1" t="s">
        <v>662</v>
      </c>
      <c r="D127" s="1" t="s">
        <v>474</v>
      </c>
      <c r="E127" s="17" t="s">
        <v>11</v>
      </c>
      <c r="F127" s="1" t="s">
        <v>669</v>
      </c>
      <c r="H127" s="1" t="s">
        <v>664</v>
      </c>
      <c r="I127" s="1">
        <v>2</v>
      </c>
      <c r="L127" s="17" t="s">
        <v>665</v>
      </c>
      <c r="M127" s="17" t="s">
        <v>29</v>
      </c>
      <c r="N127" s="6">
        <v>1</v>
      </c>
      <c r="O127" s="6"/>
      <c r="P127" s="1">
        <v>680</v>
      </c>
      <c r="Q127" s="1">
        <v>162</v>
      </c>
      <c r="R127" s="1">
        <v>59.9</v>
      </c>
      <c r="X127" s="1">
        <v>7.7</v>
      </c>
      <c r="AA127" s="1">
        <v>1.8</v>
      </c>
      <c r="AW127" s="1">
        <v>1</v>
      </c>
      <c r="BB127" s="1">
        <v>0.03</v>
      </c>
      <c r="BC127" s="1">
        <v>0.79700000000000004</v>
      </c>
      <c r="BL127" s="1">
        <v>0.86399999999999999</v>
      </c>
      <c r="BV127" s="1">
        <v>3880</v>
      </c>
      <c r="CI127" s="1">
        <v>7.1999999999999995E-2</v>
      </c>
      <c r="CJ127" s="1">
        <v>0.01</v>
      </c>
      <c r="CO127" s="1">
        <v>42</v>
      </c>
      <c r="CQ127" s="1">
        <v>22.2</v>
      </c>
    </row>
    <row r="128" spans="1:181" x14ac:dyDescent="0.2">
      <c r="A128" s="1" t="s">
        <v>670</v>
      </c>
      <c r="B128" s="1" t="s">
        <v>662</v>
      </c>
      <c r="D128" s="1" t="s">
        <v>507</v>
      </c>
      <c r="E128" s="17" t="s">
        <v>11</v>
      </c>
      <c r="F128" s="1" t="s">
        <v>502</v>
      </c>
      <c r="H128" s="1" t="s">
        <v>664</v>
      </c>
      <c r="I128" s="1">
        <v>2</v>
      </c>
      <c r="L128" s="17" t="s">
        <v>665</v>
      </c>
      <c r="M128" s="17" t="s">
        <v>29</v>
      </c>
      <c r="N128" s="6">
        <v>1</v>
      </c>
      <c r="O128" s="6"/>
      <c r="P128" s="1">
        <v>250</v>
      </c>
      <c r="Q128" s="1">
        <v>60</v>
      </c>
      <c r="R128" s="1">
        <v>85.2</v>
      </c>
      <c r="X128" s="1">
        <v>2.4</v>
      </c>
      <c r="AA128" s="1">
        <v>1.5</v>
      </c>
      <c r="AW128" s="1">
        <v>0.7</v>
      </c>
      <c r="BB128" s="1">
        <v>7.0000000000000001E-3</v>
      </c>
      <c r="BC128" s="1">
        <v>0.41699999999999998</v>
      </c>
      <c r="BL128" s="1">
        <v>0.36399999999999999</v>
      </c>
      <c r="BV128" s="1">
        <v>4000</v>
      </c>
      <c r="CI128" s="1">
        <v>2.5000000000000001E-2</v>
      </c>
      <c r="CJ128" s="1">
        <v>4.0000000000000001E-3</v>
      </c>
      <c r="CO128" s="1">
        <v>7</v>
      </c>
      <c r="CQ128" s="1">
        <v>44.7</v>
      </c>
    </row>
    <row r="129" spans="1:182" x14ac:dyDescent="0.2">
      <c r="A129" s="1" t="s">
        <v>671</v>
      </c>
      <c r="B129" s="1" t="s">
        <v>662</v>
      </c>
      <c r="C129" s="1" t="s">
        <v>672</v>
      </c>
      <c r="D129" s="1" t="s">
        <v>469</v>
      </c>
      <c r="E129" s="17" t="s">
        <v>11</v>
      </c>
      <c r="F129" s="1" t="s">
        <v>673</v>
      </c>
      <c r="H129" s="1" t="s">
        <v>664</v>
      </c>
      <c r="I129" s="1">
        <v>2</v>
      </c>
      <c r="L129" s="17" t="s">
        <v>665</v>
      </c>
      <c r="M129" s="17" t="s">
        <v>29</v>
      </c>
      <c r="N129" s="6">
        <v>1</v>
      </c>
      <c r="O129" s="6"/>
      <c r="P129" s="1">
        <v>358</v>
      </c>
      <c r="Q129" s="1">
        <v>86</v>
      </c>
      <c r="R129" s="1">
        <v>79.2</v>
      </c>
      <c r="X129" s="1">
        <v>2.6</v>
      </c>
      <c r="AA129" s="1">
        <v>2.9</v>
      </c>
      <c r="AW129" s="1">
        <v>0.6</v>
      </c>
      <c r="BB129" s="1">
        <v>1.2E-2</v>
      </c>
      <c r="BC129" s="1">
        <v>0.32100000000000001</v>
      </c>
      <c r="BL129" s="1">
        <v>0.28699999999999998</v>
      </c>
      <c r="BV129" s="1">
        <v>3120</v>
      </c>
      <c r="CI129" s="1">
        <v>0.01</v>
      </c>
      <c r="CJ129" s="1">
        <v>0.01</v>
      </c>
      <c r="CO129" s="1">
        <v>38</v>
      </c>
      <c r="CQ129" s="1">
        <v>8.9</v>
      </c>
    </row>
    <row r="130" spans="1:182" x14ac:dyDescent="0.2">
      <c r="A130" s="1" t="s">
        <v>674</v>
      </c>
      <c r="B130" s="1" t="s">
        <v>662</v>
      </c>
      <c r="D130" s="1" t="s">
        <v>463</v>
      </c>
      <c r="E130" s="17" t="s">
        <v>11</v>
      </c>
      <c r="F130" s="1" t="s">
        <v>675</v>
      </c>
      <c r="H130" s="1" t="s">
        <v>664</v>
      </c>
      <c r="I130" s="1">
        <v>2</v>
      </c>
      <c r="L130" s="17" t="s">
        <v>665</v>
      </c>
      <c r="M130" s="17" t="s">
        <v>29</v>
      </c>
      <c r="N130" s="6">
        <v>1</v>
      </c>
      <c r="O130" s="6"/>
      <c r="P130" s="1">
        <v>172</v>
      </c>
      <c r="Q130" s="1">
        <v>41</v>
      </c>
      <c r="R130" s="1">
        <v>89.9</v>
      </c>
      <c r="X130" s="1">
        <v>1.4</v>
      </c>
      <c r="AA130" s="1">
        <v>2.2000000000000002</v>
      </c>
      <c r="AW130" s="1">
        <v>1</v>
      </c>
      <c r="BB130" s="1">
        <v>7.0000000000000001E-3</v>
      </c>
      <c r="BC130" s="1">
        <v>1.383</v>
      </c>
      <c r="BL130" s="1">
        <v>0.108</v>
      </c>
      <c r="BV130" s="1">
        <v>1080</v>
      </c>
      <c r="CI130" s="1">
        <v>3.2000000000000001E-2</v>
      </c>
      <c r="CJ130" s="1">
        <v>3.0000000000000001E-3</v>
      </c>
      <c r="CO130" s="1">
        <v>9</v>
      </c>
      <c r="CQ130" s="1">
        <v>18.899999999999999</v>
      </c>
    </row>
    <row r="131" spans="1:182" x14ac:dyDescent="0.2">
      <c r="A131" s="1" t="s">
        <v>676</v>
      </c>
      <c r="B131" s="1" t="s">
        <v>662</v>
      </c>
      <c r="C131" s="1" t="s">
        <v>677</v>
      </c>
      <c r="D131" s="1" t="s">
        <v>469</v>
      </c>
      <c r="E131" s="17" t="s">
        <v>11</v>
      </c>
      <c r="F131" s="1" t="s">
        <v>678</v>
      </c>
      <c r="H131" s="1" t="s">
        <v>664</v>
      </c>
      <c r="I131" s="1">
        <v>2</v>
      </c>
      <c r="L131" s="17" t="s">
        <v>665</v>
      </c>
      <c r="M131" s="17" t="s">
        <v>29</v>
      </c>
      <c r="N131" s="6">
        <v>1</v>
      </c>
      <c r="O131" s="6"/>
      <c r="P131" s="1">
        <v>339</v>
      </c>
      <c r="Q131" s="1">
        <v>81</v>
      </c>
      <c r="R131" s="1">
        <v>79.900000000000006</v>
      </c>
      <c r="X131" s="1">
        <v>6.1</v>
      </c>
      <c r="AA131" s="1">
        <v>1.8</v>
      </c>
      <c r="AW131" s="1">
        <v>1.4</v>
      </c>
      <c r="BB131" s="1">
        <v>2.1000000000000001E-2</v>
      </c>
      <c r="BC131" s="1">
        <v>1.333</v>
      </c>
      <c r="BL131" s="1">
        <v>0.83299999999999996</v>
      </c>
      <c r="BV131" s="1">
        <v>5640</v>
      </c>
      <c r="CI131" s="1">
        <v>8.0000000000000002E-3</v>
      </c>
      <c r="CJ131" s="1">
        <v>5.0000000000000001E-3</v>
      </c>
      <c r="CO131" s="1">
        <v>9</v>
      </c>
      <c r="CQ131" s="1">
        <v>44.6</v>
      </c>
    </row>
    <row r="132" spans="1:182" x14ac:dyDescent="0.2">
      <c r="A132" s="1" t="s">
        <v>679</v>
      </c>
      <c r="B132" s="1" t="s">
        <v>662</v>
      </c>
      <c r="D132" s="1" t="s">
        <v>680</v>
      </c>
      <c r="E132" s="17" t="s">
        <v>7</v>
      </c>
      <c r="F132" s="1" t="s">
        <v>578</v>
      </c>
      <c r="I132" s="1">
        <v>2</v>
      </c>
      <c r="L132" s="17" t="s">
        <v>665</v>
      </c>
      <c r="M132" s="17" t="s">
        <v>29</v>
      </c>
      <c r="N132" s="6">
        <v>1</v>
      </c>
      <c r="O132" s="6"/>
      <c r="P132" s="1">
        <v>114</v>
      </c>
      <c r="Q132" s="1">
        <v>27</v>
      </c>
      <c r="R132" s="1">
        <v>93.1</v>
      </c>
      <c r="X132" s="1">
        <v>1.4</v>
      </c>
      <c r="AA132" s="1">
        <v>0.3</v>
      </c>
      <c r="AW132" s="1">
        <v>1.2</v>
      </c>
      <c r="BB132" s="1">
        <v>6.0000000000000001E-3</v>
      </c>
      <c r="BC132" s="1">
        <v>0.52100000000000002</v>
      </c>
      <c r="BL132" s="1">
        <v>0.33100000000000002</v>
      </c>
      <c r="BV132" s="1">
        <v>1160</v>
      </c>
      <c r="CI132" s="1">
        <v>3.2000000000000001E-2</v>
      </c>
      <c r="CJ132" s="1">
        <v>3.0000000000000001E-3</v>
      </c>
      <c r="CO132" s="1">
        <v>4</v>
      </c>
      <c r="CQ132" s="1">
        <v>8.6999999999999993</v>
      </c>
    </row>
    <row r="133" spans="1:182" x14ac:dyDescent="0.2">
      <c r="A133" s="1" t="s">
        <v>681</v>
      </c>
      <c r="B133" s="1" t="s">
        <v>662</v>
      </c>
      <c r="C133" s="1" t="s">
        <v>682</v>
      </c>
      <c r="D133" s="1" t="s">
        <v>469</v>
      </c>
      <c r="E133" s="17" t="s">
        <v>11</v>
      </c>
      <c r="F133" s="1" t="s">
        <v>683</v>
      </c>
      <c r="H133" s="1" t="s">
        <v>664</v>
      </c>
      <c r="I133" s="1">
        <v>2</v>
      </c>
      <c r="L133" s="17" t="s">
        <v>665</v>
      </c>
      <c r="M133" s="17" t="s">
        <v>29</v>
      </c>
      <c r="N133" s="6">
        <v>1</v>
      </c>
      <c r="O133" s="6"/>
      <c r="P133" s="1">
        <v>267</v>
      </c>
      <c r="Q133" s="1">
        <v>64</v>
      </c>
      <c r="R133" s="1">
        <v>84.2</v>
      </c>
      <c r="X133" s="1">
        <v>2.2000000000000002</v>
      </c>
      <c r="AA133" s="1">
        <v>1.4</v>
      </c>
      <c r="AW133" s="1">
        <v>1.2</v>
      </c>
      <c r="BB133" s="1">
        <v>1.6E-2</v>
      </c>
      <c r="BC133" s="1">
        <v>0.93200000000000005</v>
      </c>
      <c r="BL133" s="1">
        <v>0.23300000000000001</v>
      </c>
      <c r="BV133" s="1">
        <v>3920</v>
      </c>
      <c r="CI133" s="1">
        <v>5.0999999999999997E-2</v>
      </c>
      <c r="CJ133" s="1">
        <v>7.0000000000000001E-3</v>
      </c>
      <c r="CO133" s="1">
        <v>9</v>
      </c>
      <c r="CQ133" s="1">
        <v>2.2999999999999998</v>
      </c>
    </row>
    <row r="134" spans="1:182" x14ac:dyDescent="0.2">
      <c r="A134" s="1" t="s">
        <v>684</v>
      </c>
      <c r="B134" s="1" t="s">
        <v>662</v>
      </c>
      <c r="D134" s="1" t="s">
        <v>685</v>
      </c>
      <c r="E134" s="17" t="s">
        <v>11</v>
      </c>
      <c r="F134" s="1" t="s">
        <v>557</v>
      </c>
      <c r="H134" s="1" t="s">
        <v>664</v>
      </c>
      <c r="I134" s="1">
        <v>2</v>
      </c>
      <c r="L134" s="17" t="s">
        <v>665</v>
      </c>
      <c r="M134" s="17" t="s">
        <v>29</v>
      </c>
      <c r="N134" s="6">
        <v>1</v>
      </c>
      <c r="O134" s="6"/>
      <c r="P134" s="1">
        <v>148</v>
      </c>
      <c r="Q134" s="1">
        <v>35</v>
      </c>
      <c r="R134" s="1">
        <v>91.2</v>
      </c>
      <c r="X134" s="1">
        <v>3.1</v>
      </c>
      <c r="AA134" s="1">
        <v>0.9</v>
      </c>
      <c r="AW134" s="1">
        <v>1.2</v>
      </c>
      <c r="BB134" s="1">
        <v>8.0000000000000002E-3</v>
      </c>
      <c r="BC134" s="1">
        <v>1.0669999999999999</v>
      </c>
      <c r="BL134" s="1">
        <v>0.23899999999999999</v>
      </c>
      <c r="BV134" s="1">
        <v>1520</v>
      </c>
      <c r="CI134" s="1">
        <v>5.0000000000000001E-3</v>
      </c>
      <c r="CJ134" s="1">
        <v>4.0000000000000001E-3</v>
      </c>
      <c r="CO134" s="1">
        <v>7</v>
      </c>
      <c r="CQ134" s="1">
        <v>11.9</v>
      </c>
    </row>
    <row r="135" spans="1:182" x14ac:dyDescent="0.2">
      <c r="A135" s="1" t="s">
        <v>686</v>
      </c>
      <c r="B135" s="1" t="s">
        <v>662</v>
      </c>
      <c r="C135" s="1" t="s">
        <v>687</v>
      </c>
      <c r="D135" s="1" t="s">
        <v>469</v>
      </c>
      <c r="E135" s="17" t="s">
        <v>11</v>
      </c>
      <c r="F135" s="1" t="s">
        <v>688</v>
      </c>
      <c r="H135" s="1" t="s">
        <v>664</v>
      </c>
      <c r="I135" s="1">
        <v>2</v>
      </c>
      <c r="L135" s="17" t="s">
        <v>665</v>
      </c>
      <c r="M135" s="17" t="s">
        <v>29</v>
      </c>
      <c r="N135" s="6">
        <v>1</v>
      </c>
      <c r="O135" s="6"/>
      <c r="P135" s="1">
        <v>155</v>
      </c>
      <c r="Q135" s="1">
        <v>37</v>
      </c>
      <c r="R135" s="1">
        <v>90.9</v>
      </c>
      <c r="X135" s="1">
        <v>3.4</v>
      </c>
      <c r="AA135" s="1">
        <v>2</v>
      </c>
      <c r="AW135" s="1">
        <v>0.3</v>
      </c>
      <c r="BB135" s="1">
        <v>6.0000000000000001E-3</v>
      </c>
      <c r="BC135" s="1">
        <v>1.274</v>
      </c>
      <c r="BL135" s="1">
        <v>0.107</v>
      </c>
      <c r="BV135" s="1">
        <v>1876</v>
      </c>
      <c r="CI135" s="1">
        <v>1.9E-2</v>
      </c>
      <c r="CJ135" s="1">
        <v>4.0000000000000001E-3</v>
      </c>
      <c r="CO135" s="1">
        <v>3</v>
      </c>
      <c r="CQ135" s="1">
        <v>6</v>
      </c>
    </row>
    <row r="136" spans="1:182" x14ac:dyDescent="0.2">
      <c r="A136" s="1" t="s">
        <v>689</v>
      </c>
      <c r="B136" s="1" t="s">
        <v>662</v>
      </c>
      <c r="D136" s="1" t="s">
        <v>690</v>
      </c>
      <c r="E136" s="17" t="s">
        <v>11</v>
      </c>
      <c r="F136" s="1" t="s">
        <v>691</v>
      </c>
      <c r="H136" s="1" t="s">
        <v>664</v>
      </c>
      <c r="I136" s="1">
        <v>2</v>
      </c>
      <c r="L136" s="17" t="s">
        <v>665</v>
      </c>
      <c r="M136" s="17" t="s">
        <v>29</v>
      </c>
      <c r="N136" s="6">
        <v>1</v>
      </c>
      <c r="O136" s="6"/>
      <c r="P136" s="1">
        <v>202</v>
      </c>
      <c r="Q136" s="1">
        <v>48</v>
      </c>
      <c r="R136" s="1">
        <v>88.1</v>
      </c>
      <c r="X136" s="1">
        <v>0.8</v>
      </c>
      <c r="AA136" s="1">
        <v>2</v>
      </c>
      <c r="AW136" s="1">
        <v>0.6</v>
      </c>
      <c r="BB136" s="1">
        <v>1.2E-2</v>
      </c>
      <c r="BC136" s="1">
        <v>0.72099999999999997</v>
      </c>
      <c r="BL136" s="1">
        <v>0.216</v>
      </c>
      <c r="BV136" s="1">
        <v>4480</v>
      </c>
      <c r="CI136" s="1">
        <v>1.0999999999999999E-2</v>
      </c>
      <c r="CJ136" s="1">
        <v>6.0000000000000001E-3</v>
      </c>
      <c r="CO136" s="1">
        <v>10</v>
      </c>
      <c r="CQ136" s="1">
        <v>2.2000000000000002</v>
      </c>
    </row>
    <row r="137" spans="1:182" x14ac:dyDescent="0.2">
      <c r="A137" s="1" t="s">
        <v>692</v>
      </c>
      <c r="B137" s="1" t="s">
        <v>662</v>
      </c>
      <c r="D137" s="1" t="s">
        <v>693</v>
      </c>
      <c r="E137" s="17" t="s">
        <v>11</v>
      </c>
      <c r="F137" s="1" t="s">
        <v>606</v>
      </c>
      <c r="H137" s="1" t="s">
        <v>664</v>
      </c>
      <c r="I137" s="1">
        <v>2</v>
      </c>
      <c r="L137" s="17" t="s">
        <v>665</v>
      </c>
      <c r="M137" s="17" t="s">
        <v>29</v>
      </c>
      <c r="N137" s="6">
        <v>1</v>
      </c>
      <c r="O137" s="6"/>
      <c r="P137" s="1">
        <v>315</v>
      </c>
      <c r="Q137" s="1">
        <v>75</v>
      </c>
      <c r="R137" s="1">
        <v>81.3</v>
      </c>
      <c r="X137" s="1">
        <v>2.6</v>
      </c>
      <c r="AA137" s="1">
        <v>1</v>
      </c>
      <c r="AW137" s="1">
        <v>0.5</v>
      </c>
      <c r="BB137" s="1">
        <v>6.0000000000000001E-3</v>
      </c>
      <c r="BC137" s="1">
        <v>1.343</v>
      </c>
      <c r="BL137" s="1">
        <v>0.30599999999999999</v>
      </c>
      <c r="BV137" s="1">
        <v>2840</v>
      </c>
      <c r="CI137" s="1">
        <v>7.0000000000000001E-3</v>
      </c>
      <c r="CJ137" s="1">
        <v>6.0000000000000001E-3</v>
      </c>
      <c r="CO137" s="1">
        <v>35</v>
      </c>
      <c r="CQ137" s="1">
        <v>48.7</v>
      </c>
    </row>
    <row r="138" spans="1:182" x14ac:dyDescent="0.2">
      <c r="A138" s="1" t="s">
        <v>694</v>
      </c>
      <c r="B138" s="1" t="s">
        <v>662</v>
      </c>
      <c r="D138" s="1" t="s">
        <v>695</v>
      </c>
      <c r="E138" s="17" t="s">
        <v>11</v>
      </c>
      <c r="F138" s="1" t="s">
        <v>675</v>
      </c>
      <c r="H138" s="1" t="s">
        <v>696</v>
      </c>
      <c r="I138" s="1">
        <v>2</v>
      </c>
      <c r="L138" s="17" t="s">
        <v>665</v>
      </c>
      <c r="M138" s="17" t="s">
        <v>29</v>
      </c>
      <c r="N138" s="6">
        <v>1</v>
      </c>
      <c r="O138" s="6"/>
      <c r="P138" s="1">
        <v>386</v>
      </c>
      <c r="Q138" s="1">
        <v>97</v>
      </c>
      <c r="R138" s="1">
        <v>77.2</v>
      </c>
      <c r="X138" s="1">
        <v>1.1000000000000001</v>
      </c>
      <c r="AA138" s="1">
        <v>6</v>
      </c>
      <c r="AW138" s="1">
        <v>0.5</v>
      </c>
      <c r="BB138" s="1">
        <v>6.0000000000000001E-3</v>
      </c>
      <c r="BC138" s="1">
        <v>0.18</v>
      </c>
      <c r="BL138" s="1">
        <v>0.05</v>
      </c>
      <c r="BV138" s="1">
        <v>80</v>
      </c>
      <c r="CI138" s="1">
        <v>1.9E-2</v>
      </c>
      <c r="CJ138" s="1">
        <v>0.01</v>
      </c>
      <c r="CO138" s="1">
        <v>4</v>
      </c>
      <c r="CQ138" s="1">
        <v>8.6</v>
      </c>
    </row>
    <row r="139" spans="1:182" x14ac:dyDescent="0.2">
      <c r="A139" s="1" t="s">
        <v>697</v>
      </c>
      <c r="B139" s="1" t="s">
        <v>662</v>
      </c>
      <c r="D139" s="1" t="s">
        <v>698</v>
      </c>
      <c r="E139" s="17" t="s">
        <v>11</v>
      </c>
      <c r="F139" s="1" t="s">
        <v>699</v>
      </c>
      <c r="H139" s="1" t="s">
        <v>664</v>
      </c>
      <c r="I139" s="1">
        <v>2</v>
      </c>
      <c r="L139" s="17" t="s">
        <v>665</v>
      </c>
      <c r="M139" s="17" t="s">
        <v>29</v>
      </c>
      <c r="N139" s="6">
        <v>1</v>
      </c>
      <c r="O139" s="6"/>
      <c r="P139" s="1">
        <v>511</v>
      </c>
      <c r="Q139" s="1">
        <v>131</v>
      </c>
      <c r="R139" s="1">
        <v>70.2</v>
      </c>
      <c r="X139" s="1">
        <v>1.5</v>
      </c>
      <c r="AA139" s="1">
        <v>8</v>
      </c>
      <c r="AW139" s="1">
        <v>0.7</v>
      </c>
      <c r="BB139" s="1">
        <v>0.29199999999999998</v>
      </c>
      <c r="BC139" s="1">
        <v>9.5000000000000001E-2</v>
      </c>
      <c r="BL139" s="1">
        <v>0.182</v>
      </c>
      <c r="BV139" s="1">
        <v>155</v>
      </c>
      <c r="CI139" s="1">
        <v>4.5999999999999999E-2</v>
      </c>
      <c r="CJ139" s="1">
        <v>1.7999999999999999E-2</v>
      </c>
      <c r="CO139" s="1">
        <v>22</v>
      </c>
      <c r="CQ139" s="1">
        <v>34</v>
      </c>
    </row>
    <row r="140" spans="1:182" x14ac:dyDescent="0.2">
      <c r="A140" s="1" t="s">
        <v>700</v>
      </c>
      <c r="B140" s="1" t="s">
        <v>701</v>
      </c>
      <c r="C140" s="1" t="s">
        <v>702</v>
      </c>
      <c r="D140" s="1" t="s">
        <v>703</v>
      </c>
      <c r="E140" s="17" t="s">
        <v>704</v>
      </c>
      <c r="F140" s="1" t="s">
        <v>705</v>
      </c>
      <c r="G140" s="1" t="s">
        <v>706</v>
      </c>
      <c r="H140" s="1" t="s">
        <v>707</v>
      </c>
      <c r="I140" s="1">
        <v>3</v>
      </c>
      <c r="L140" s="17" t="s">
        <v>708</v>
      </c>
      <c r="M140" s="17" t="s">
        <v>29</v>
      </c>
      <c r="N140" s="6">
        <v>1</v>
      </c>
      <c r="O140" s="6"/>
      <c r="Q140" s="1">
        <v>378</v>
      </c>
      <c r="R140" s="1">
        <v>86.82</v>
      </c>
      <c r="S140" s="1">
        <v>13.18</v>
      </c>
      <c r="X140" s="1">
        <v>2.8</v>
      </c>
      <c r="Z140" s="1">
        <v>0.53</v>
      </c>
      <c r="AI140" s="1">
        <v>8.4499999999999993</v>
      </c>
      <c r="AJ140" s="1">
        <v>2.08</v>
      </c>
      <c r="AL140" s="1">
        <v>3.6</v>
      </c>
      <c r="AW140" s="1">
        <v>1.3</v>
      </c>
      <c r="AX140" s="1">
        <v>0.13</v>
      </c>
      <c r="BC140" s="1">
        <v>0.99099999999999999</v>
      </c>
      <c r="CP140" s="1">
        <v>21.944699999999997</v>
      </c>
      <c r="EA140" s="1" t="s">
        <v>709</v>
      </c>
      <c r="EB140" s="1" t="s">
        <v>710</v>
      </c>
      <c r="EC140" s="1" t="s">
        <v>711</v>
      </c>
      <c r="ED140" s="1" t="s">
        <v>712</v>
      </c>
      <c r="EE140" s="1" t="s">
        <v>713</v>
      </c>
      <c r="EG140" s="1" t="s">
        <v>714</v>
      </c>
      <c r="EH140" s="1" t="s">
        <v>715</v>
      </c>
      <c r="EI140" s="1" t="s">
        <v>716</v>
      </c>
      <c r="EJ140" s="1" t="s">
        <v>715</v>
      </c>
      <c r="EK140" s="1" t="s">
        <v>717</v>
      </c>
      <c r="EL140" s="1" t="s">
        <v>718</v>
      </c>
      <c r="EM140" s="1" t="s">
        <v>719</v>
      </c>
      <c r="EN140" s="1" t="s">
        <v>720</v>
      </c>
      <c r="EO140" s="1" t="s">
        <v>721</v>
      </c>
      <c r="EP140" s="1" t="s">
        <v>722</v>
      </c>
      <c r="EQ140" s="1" t="s">
        <v>722</v>
      </c>
      <c r="ER140" s="1" t="s">
        <v>723</v>
      </c>
      <c r="ES140" s="1" t="s">
        <v>724</v>
      </c>
      <c r="ET140" s="1" t="s">
        <v>718</v>
      </c>
      <c r="EV140" s="1">
        <v>0.70644800000000008</v>
      </c>
      <c r="FZ140" s="1">
        <v>0.18781500000000001</v>
      </c>
    </row>
    <row r="141" spans="1:182" x14ac:dyDescent="0.2">
      <c r="A141" s="1" t="s">
        <v>725</v>
      </c>
      <c r="B141" s="1" t="s">
        <v>701</v>
      </c>
      <c r="C141" s="1" t="s">
        <v>702</v>
      </c>
      <c r="D141" s="1" t="s">
        <v>726</v>
      </c>
      <c r="E141" s="17" t="s">
        <v>704</v>
      </c>
      <c r="F141" s="1" t="s">
        <v>705</v>
      </c>
      <c r="G141" s="1" t="s">
        <v>706</v>
      </c>
      <c r="H141" s="1" t="s">
        <v>707</v>
      </c>
      <c r="I141" s="1">
        <v>3</v>
      </c>
      <c r="L141" s="17" t="s">
        <v>708</v>
      </c>
      <c r="M141" s="17" t="s">
        <v>29</v>
      </c>
      <c r="N141" s="6">
        <v>1</v>
      </c>
      <c r="O141" s="6"/>
      <c r="Q141" s="1">
        <v>365</v>
      </c>
      <c r="R141" s="1">
        <v>89.01</v>
      </c>
      <c r="S141" s="1">
        <v>10.99</v>
      </c>
      <c r="X141" s="1">
        <v>2.7</v>
      </c>
      <c r="Z141" s="1">
        <v>0.28000000000000003</v>
      </c>
      <c r="AI141" s="1">
        <v>6.74</v>
      </c>
      <c r="AJ141" s="1">
        <v>1.44</v>
      </c>
      <c r="AL141" s="1">
        <v>3.3</v>
      </c>
      <c r="AW141" s="1">
        <v>1.3</v>
      </c>
      <c r="AX141" s="1">
        <v>0.13</v>
      </c>
      <c r="BC141" s="1">
        <v>1.3188</v>
      </c>
      <c r="CP141" s="1">
        <v>15.11125</v>
      </c>
      <c r="EA141" s="1" t="s">
        <v>727</v>
      </c>
      <c r="EB141" s="1" t="s">
        <v>728</v>
      </c>
      <c r="EC141" s="1" t="s">
        <v>729</v>
      </c>
      <c r="ED141" s="1" t="s">
        <v>730</v>
      </c>
      <c r="EE141" s="1" t="s">
        <v>731</v>
      </c>
      <c r="EG141" s="1" t="s">
        <v>732</v>
      </c>
      <c r="EH141" s="1" t="s">
        <v>733</v>
      </c>
      <c r="EI141" s="1" t="s">
        <v>734</v>
      </c>
      <c r="EJ141" s="1" t="s">
        <v>735</v>
      </c>
      <c r="EK141" s="1" t="s">
        <v>736</v>
      </c>
      <c r="EL141" s="1" t="s">
        <v>737</v>
      </c>
      <c r="EM141" s="1" t="s">
        <v>738</v>
      </c>
      <c r="EN141" s="1" t="s">
        <v>739</v>
      </c>
      <c r="EO141" s="1" t="s">
        <v>740</v>
      </c>
      <c r="EP141" s="1" t="s">
        <v>741</v>
      </c>
      <c r="EQ141" s="1" t="s">
        <v>742</v>
      </c>
      <c r="ER141" s="1" t="s">
        <v>738</v>
      </c>
      <c r="ES141" s="1" t="s">
        <v>743</v>
      </c>
      <c r="ET141" s="1" t="s">
        <v>744</v>
      </c>
      <c r="EV141" s="1">
        <v>0.67258800000000007</v>
      </c>
      <c r="FZ141" s="1">
        <v>0.20935950000000003</v>
      </c>
    </row>
    <row r="142" spans="1:182" x14ac:dyDescent="0.2">
      <c r="A142" s="1" t="s">
        <v>745</v>
      </c>
      <c r="B142" s="1" t="s">
        <v>746</v>
      </c>
      <c r="D142" s="1" t="s">
        <v>747</v>
      </c>
      <c r="E142" s="17" t="s">
        <v>7</v>
      </c>
      <c r="F142" s="1" t="s">
        <v>606</v>
      </c>
      <c r="G142" s="1" t="s">
        <v>748</v>
      </c>
      <c r="H142" s="1" t="s">
        <v>749</v>
      </c>
      <c r="L142" s="17" t="s">
        <v>750</v>
      </c>
      <c r="M142" s="17" t="s">
        <v>29</v>
      </c>
      <c r="N142" s="6">
        <v>1</v>
      </c>
      <c r="O142" s="6"/>
      <c r="P142" s="1">
        <v>140</v>
      </c>
      <c r="R142" s="1">
        <v>89.9</v>
      </c>
      <c r="T142" s="1">
        <v>6.25</v>
      </c>
      <c r="V142" s="1">
        <v>3.49</v>
      </c>
      <c r="Z142" s="1">
        <v>0.15</v>
      </c>
      <c r="AW142" s="1">
        <v>2.12</v>
      </c>
      <c r="AX142" s="1">
        <v>232</v>
      </c>
      <c r="BC142" s="1">
        <v>16.2</v>
      </c>
      <c r="BE142" s="1">
        <v>141</v>
      </c>
      <c r="BI142" s="1">
        <v>70.599999999999994</v>
      </c>
      <c r="BL142" s="1">
        <v>0.8</v>
      </c>
      <c r="BV142" s="1">
        <v>1214</v>
      </c>
      <c r="CJ142" s="1">
        <v>0.03</v>
      </c>
    </row>
    <row r="143" spans="1:182" x14ac:dyDescent="0.2">
      <c r="A143" s="1" t="s">
        <v>751</v>
      </c>
      <c r="B143" s="1" t="s">
        <v>746</v>
      </c>
      <c r="D143" s="1" t="s">
        <v>752</v>
      </c>
      <c r="E143" s="17" t="s">
        <v>11</v>
      </c>
      <c r="F143" s="1" t="s">
        <v>606</v>
      </c>
      <c r="G143" s="1" t="s">
        <v>748</v>
      </c>
      <c r="H143" s="1" t="s">
        <v>753</v>
      </c>
      <c r="L143" s="17" t="s">
        <v>750</v>
      </c>
      <c r="M143" s="17" t="s">
        <v>29</v>
      </c>
      <c r="N143" s="6">
        <v>1</v>
      </c>
      <c r="O143" s="6"/>
      <c r="P143" s="1">
        <v>143</v>
      </c>
      <c r="R143" s="1">
        <v>90</v>
      </c>
      <c r="T143" s="1">
        <v>6.25</v>
      </c>
      <c r="V143" s="1">
        <v>3.51</v>
      </c>
      <c r="Z143" s="1">
        <v>0.13</v>
      </c>
      <c r="AW143" s="1">
        <v>1.65</v>
      </c>
      <c r="AX143" s="1">
        <v>272</v>
      </c>
      <c r="BC143" s="1">
        <v>8.5</v>
      </c>
      <c r="BE143" s="1">
        <v>105</v>
      </c>
      <c r="BI143" s="1">
        <v>64.900000000000006</v>
      </c>
      <c r="BL143" s="1">
        <v>0.7</v>
      </c>
      <c r="BV143" s="1">
        <v>1701</v>
      </c>
      <c r="CJ143" s="1">
        <v>0.01</v>
      </c>
    </row>
    <row r="144" spans="1:182" x14ac:dyDescent="0.2">
      <c r="A144" s="1" t="s">
        <v>754</v>
      </c>
      <c r="B144" s="1" t="s">
        <v>755</v>
      </c>
      <c r="D144" s="1" t="s">
        <v>756</v>
      </c>
      <c r="E144" s="17" t="s">
        <v>7</v>
      </c>
      <c r="F144" s="1" t="s">
        <v>354</v>
      </c>
      <c r="G144" s="1" t="s">
        <v>757</v>
      </c>
      <c r="I144" s="1">
        <v>6</v>
      </c>
      <c r="L144" s="17" t="s">
        <v>758</v>
      </c>
      <c r="M144" s="17" t="s">
        <v>29</v>
      </c>
      <c r="N144" s="6">
        <v>1</v>
      </c>
      <c r="O144" s="6"/>
      <c r="R144" s="1">
        <v>87.2</v>
      </c>
      <c r="T144" s="1">
        <v>6.25</v>
      </c>
      <c r="V144" s="1">
        <v>3.2</v>
      </c>
      <c r="Z144" s="1">
        <v>0.5</v>
      </c>
      <c r="AE144" s="1">
        <v>5.2</v>
      </c>
      <c r="AO144" s="1">
        <v>1.5</v>
      </c>
      <c r="AW144" s="1">
        <v>2.4</v>
      </c>
      <c r="CP144" s="1">
        <v>178.2</v>
      </c>
    </row>
    <row r="145" spans="1:95" x14ac:dyDescent="0.2">
      <c r="A145" s="1" t="s">
        <v>759</v>
      </c>
      <c r="B145" s="1" t="s">
        <v>755</v>
      </c>
      <c r="D145" s="1" t="s">
        <v>760</v>
      </c>
      <c r="E145" s="17" t="s">
        <v>11</v>
      </c>
      <c r="F145" s="1" t="s">
        <v>354</v>
      </c>
      <c r="G145" s="1" t="s">
        <v>757</v>
      </c>
      <c r="H145" s="1" t="s">
        <v>761</v>
      </c>
      <c r="I145" s="1">
        <v>6</v>
      </c>
      <c r="L145" s="17" t="s">
        <v>758</v>
      </c>
      <c r="M145" s="17" t="s">
        <v>29</v>
      </c>
      <c r="N145" s="6">
        <v>1</v>
      </c>
      <c r="O145" s="6"/>
      <c r="R145" s="1">
        <v>86.9</v>
      </c>
      <c r="T145" s="1">
        <v>6.25</v>
      </c>
      <c r="V145" s="1">
        <v>3</v>
      </c>
      <c r="Z145" s="1">
        <v>0.4</v>
      </c>
      <c r="AE145" s="1">
        <v>5</v>
      </c>
      <c r="AO145" s="1">
        <v>2.1</v>
      </c>
      <c r="AW145" s="1">
        <v>2.6</v>
      </c>
      <c r="CP145" s="1">
        <v>93.6</v>
      </c>
    </row>
    <row r="146" spans="1:95" x14ac:dyDescent="0.2">
      <c r="A146" s="1" t="s">
        <v>762</v>
      </c>
      <c r="B146" s="1" t="s">
        <v>755</v>
      </c>
      <c r="D146" s="1" t="s">
        <v>763</v>
      </c>
      <c r="E146" s="17" t="s">
        <v>9</v>
      </c>
      <c r="F146" s="1" t="s">
        <v>354</v>
      </c>
      <c r="G146" s="1" t="s">
        <v>757</v>
      </c>
      <c r="H146" s="1" t="s">
        <v>764</v>
      </c>
      <c r="I146" s="1">
        <v>6</v>
      </c>
      <c r="L146" s="17" t="s">
        <v>758</v>
      </c>
      <c r="M146" s="17" t="s">
        <v>29</v>
      </c>
      <c r="N146" s="6">
        <v>1</v>
      </c>
      <c r="O146" s="6"/>
      <c r="R146" s="1">
        <v>57.3</v>
      </c>
      <c r="T146" s="1">
        <v>6.25</v>
      </c>
      <c r="V146" s="1">
        <v>3.4</v>
      </c>
      <c r="Z146" s="1">
        <v>0.6</v>
      </c>
      <c r="AE146" s="1">
        <v>32.9</v>
      </c>
      <c r="AO146" s="1">
        <v>2.5</v>
      </c>
      <c r="AW146" s="1">
        <v>3.3</v>
      </c>
      <c r="CP146" s="1">
        <v>110.1</v>
      </c>
    </row>
    <row r="147" spans="1:95" x14ac:dyDescent="0.2">
      <c r="A147" s="1" t="s">
        <v>765</v>
      </c>
      <c r="B147" s="1" t="s">
        <v>755</v>
      </c>
      <c r="D147" s="1" t="s">
        <v>766</v>
      </c>
      <c r="E147" s="17" t="s">
        <v>11</v>
      </c>
      <c r="F147" s="1" t="s">
        <v>354</v>
      </c>
      <c r="G147" s="1" t="s">
        <v>757</v>
      </c>
      <c r="H147" s="1" t="s">
        <v>767</v>
      </c>
      <c r="I147" s="1">
        <v>6</v>
      </c>
      <c r="L147" s="17" t="s">
        <v>758</v>
      </c>
      <c r="M147" s="17" t="s">
        <v>29</v>
      </c>
      <c r="N147" s="6">
        <v>1</v>
      </c>
      <c r="O147" s="6"/>
      <c r="R147" s="1">
        <v>64.3</v>
      </c>
      <c r="T147" s="1">
        <v>6.25</v>
      </c>
      <c r="V147" s="1">
        <v>2.8</v>
      </c>
      <c r="Z147" s="1">
        <v>0.4</v>
      </c>
      <c r="AE147" s="1">
        <v>27.2</v>
      </c>
      <c r="AO147" s="1">
        <v>2.2999999999999998</v>
      </c>
      <c r="AW147" s="1">
        <v>3</v>
      </c>
      <c r="CP147" s="1">
        <v>57.9</v>
      </c>
    </row>
    <row r="148" spans="1:95" x14ac:dyDescent="0.2">
      <c r="A148" s="1" t="s">
        <v>768</v>
      </c>
      <c r="B148" s="1" t="s">
        <v>769</v>
      </c>
      <c r="C148" s="1" t="s">
        <v>770</v>
      </c>
      <c r="D148" s="1" t="s">
        <v>469</v>
      </c>
      <c r="E148" s="17" t="s">
        <v>11</v>
      </c>
      <c r="F148" s="1" t="s">
        <v>771</v>
      </c>
      <c r="H148" s="1" t="s">
        <v>772</v>
      </c>
      <c r="I148" s="1">
        <v>6</v>
      </c>
      <c r="L148" s="17" t="s">
        <v>773</v>
      </c>
      <c r="M148" s="17" t="s">
        <v>29</v>
      </c>
      <c r="N148" s="6">
        <v>1</v>
      </c>
      <c r="O148" s="6"/>
      <c r="R148" s="1">
        <v>81.7</v>
      </c>
      <c r="S148" s="1">
        <v>18.3</v>
      </c>
      <c r="T148" s="1">
        <v>6.25</v>
      </c>
      <c r="V148" s="1">
        <v>2.5986000000000002</v>
      </c>
      <c r="Z148" s="1">
        <v>7.8689999999999998</v>
      </c>
      <c r="AW148" s="1">
        <v>2.9645999999999999</v>
      </c>
      <c r="BC148" s="1">
        <v>2.0861999999999998</v>
      </c>
      <c r="BD148" s="1">
        <v>34.770000000000003</v>
      </c>
      <c r="BL148" s="1">
        <v>0.43920000000000003</v>
      </c>
      <c r="BP148" s="1">
        <v>329.4</v>
      </c>
      <c r="BS148" s="1">
        <v>3824.7</v>
      </c>
      <c r="BW148" s="1">
        <v>219.6</v>
      </c>
    </row>
    <row r="149" spans="1:95" x14ac:dyDescent="0.2">
      <c r="A149" s="1" t="s">
        <v>774</v>
      </c>
      <c r="B149" s="1" t="s">
        <v>769</v>
      </c>
      <c r="C149" s="1" t="s">
        <v>775</v>
      </c>
      <c r="D149" s="1" t="s">
        <v>469</v>
      </c>
      <c r="E149" s="17" t="s">
        <v>11</v>
      </c>
      <c r="F149" s="1" t="s">
        <v>776</v>
      </c>
      <c r="H149" s="1" t="s">
        <v>777</v>
      </c>
      <c r="I149" s="1">
        <v>6</v>
      </c>
      <c r="L149" s="17" t="s">
        <v>773</v>
      </c>
      <c r="M149" s="17" t="s">
        <v>29</v>
      </c>
      <c r="N149" s="6">
        <v>1</v>
      </c>
      <c r="O149" s="6"/>
      <c r="R149" s="1">
        <v>82.1</v>
      </c>
      <c r="S149" s="1">
        <v>17.899999999999999</v>
      </c>
      <c r="T149" s="1">
        <v>6.25</v>
      </c>
      <c r="V149" s="1">
        <v>1.6467999999999998</v>
      </c>
      <c r="Z149" s="1">
        <v>8.7888999999999999</v>
      </c>
      <c r="AW149" s="1">
        <v>2.4880999999999998</v>
      </c>
      <c r="BC149" s="1">
        <v>1.9152999999999998</v>
      </c>
      <c r="BD149" s="1">
        <v>19.690000000000001</v>
      </c>
      <c r="BL149" s="1">
        <v>0.19690000000000002</v>
      </c>
      <c r="BP149" s="1">
        <v>232.7</v>
      </c>
      <c r="BS149" s="1">
        <v>2828.2</v>
      </c>
      <c r="BW149" s="1">
        <v>143.19999999999999</v>
      </c>
    </row>
    <row r="150" spans="1:95" x14ac:dyDescent="0.2">
      <c r="A150" s="1" t="s">
        <v>778</v>
      </c>
      <c r="B150" s="1" t="s">
        <v>769</v>
      </c>
      <c r="C150" s="1" t="s">
        <v>779</v>
      </c>
      <c r="D150" s="1" t="s">
        <v>780</v>
      </c>
      <c r="E150" s="17" t="s">
        <v>11</v>
      </c>
      <c r="F150" s="1" t="s">
        <v>781</v>
      </c>
      <c r="H150" s="1" t="s">
        <v>782</v>
      </c>
      <c r="I150" s="1">
        <v>6</v>
      </c>
      <c r="L150" s="17" t="s">
        <v>773</v>
      </c>
      <c r="M150" s="17" t="s">
        <v>29</v>
      </c>
      <c r="N150" s="6">
        <v>1</v>
      </c>
      <c r="O150" s="6"/>
      <c r="R150" s="1">
        <v>83.1</v>
      </c>
      <c r="S150" s="1">
        <v>16.899999999999999</v>
      </c>
      <c r="T150" s="1">
        <v>6.25</v>
      </c>
      <c r="V150" s="1">
        <v>1.8252000000000002</v>
      </c>
      <c r="Z150" s="1">
        <v>7.7063999999999995</v>
      </c>
      <c r="AW150" s="1">
        <v>2.9575</v>
      </c>
      <c r="BC150" s="1">
        <v>1.9603999999999997</v>
      </c>
      <c r="BD150" s="1">
        <v>33.799999999999997</v>
      </c>
      <c r="BL150" s="1">
        <v>0.37180000000000002</v>
      </c>
      <c r="BP150" s="1">
        <v>270.39999999999998</v>
      </c>
      <c r="BS150" s="1">
        <v>3261.7</v>
      </c>
      <c r="BW150" s="1">
        <v>185.9</v>
      </c>
    </row>
    <row r="151" spans="1:95" x14ac:dyDescent="0.2">
      <c r="A151" s="1" t="s">
        <v>783</v>
      </c>
      <c r="B151" s="1" t="s">
        <v>769</v>
      </c>
      <c r="C151" s="1" t="s">
        <v>784</v>
      </c>
      <c r="D151" s="1" t="s">
        <v>785</v>
      </c>
      <c r="E151" s="17" t="s">
        <v>11</v>
      </c>
      <c r="F151" s="1" t="s">
        <v>587</v>
      </c>
      <c r="H151" s="1" t="s">
        <v>786</v>
      </c>
      <c r="I151" s="1">
        <v>6</v>
      </c>
      <c r="L151" s="17" t="s">
        <v>773</v>
      </c>
      <c r="M151" s="17" t="s">
        <v>29</v>
      </c>
      <c r="N151" s="6">
        <v>1</v>
      </c>
      <c r="O151" s="6"/>
      <c r="R151" s="1">
        <v>78.599999999999994</v>
      </c>
      <c r="S151" s="1">
        <v>21.4</v>
      </c>
      <c r="T151" s="1">
        <v>6.25</v>
      </c>
      <c r="V151" s="1">
        <v>2.6963999999999997</v>
      </c>
      <c r="Z151" s="1">
        <v>11.1708</v>
      </c>
      <c r="AW151" s="1">
        <v>3.0602</v>
      </c>
      <c r="BC151" s="1">
        <v>2.0972</v>
      </c>
      <c r="BD151" s="1">
        <v>27.82</v>
      </c>
      <c r="BL151" s="1">
        <v>0.32099999999999995</v>
      </c>
      <c r="BP151" s="1">
        <v>470.8</v>
      </c>
      <c r="BS151" s="1">
        <v>5585.4</v>
      </c>
      <c r="BW151" s="1">
        <v>321</v>
      </c>
    </row>
    <row r="152" spans="1:95" x14ac:dyDescent="0.2">
      <c r="A152" s="1" t="s">
        <v>787</v>
      </c>
      <c r="B152" s="1" t="s">
        <v>769</v>
      </c>
      <c r="C152" s="1" t="s">
        <v>788</v>
      </c>
      <c r="D152" s="1" t="s">
        <v>469</v>
      </c>
      <c r="E152" s="17" t="s">
        <v>11</v>
      </c>
      <c r="F152" s="1" t="s">
        <v>557</v>
      </c>
      <c r="H152" s="1" t="s">
        <v>789</v>
      </c>
      <c r="I152" s="1">
        <v>6</v>
      </c>
      <c r="L152" s="17" t="s">
        <v>773</v>
      </c>
      <c r="M152" s="17" t="s">
        <v>29</v>
      </c>
      <c r="N152" s="6">
        <v>1</v>
      </c>
      <c r="O152" s="6"/>
      <c r="R152" s="1">
        <v>84.3</v>
      </c>
      <c r="S152" s="1">
        <v>15.7</v>
      </c>
      <c r="T152" s="1">
        <v>6.25</v>
      </c>
      <c r="V152" s="1">
        <v>2.2607999999999997</v>
      </c>
      <c r="Z152" s="1">
        <v>6.2485999999999988</v>
      </c>
      <c r="AW152" s="1">
        <v>3.0457999999999998</v>
      </c>
      <c r="BC152" s="1">
        <v>1.3973</v>
      </c>
      <c r="BD152" s="1">
        <v>34.54</v>
      </c>
      <c r="BL152" s="1">
        <v>0.43959999999999994</v>
      </c>
      <c r="BP152" s="1">
        <v>266.89999999999998</v>
      </c>
      <c r="BS152" s="1">
        <v>3140</v>
      </c>
      <c r="BW152" s="1">
        <v>172.7</v>
      </c>
    </row>
    <row r="153" spans="1:95" x14ac:dyDescent="0.2">
      <c r="A153" s="1" t="s">
        <v>790</v>
      </c>
      <c r="B153" s="1" t="s">
        <v>769</v>
      </c>
      <c r="C153" s="1" t="s">
        <v>791</v>
      </c>
      <c r="D153" s="1" t="s">
        <v>792</v>
      </c>
      <c r="E153" s="17" t="s">
        <v>11</v>
      </c>
      <c r="F153" s="1" t="s">
        <v>793</v>
      </c>
      <c r="H153" s="1" t="s">
        <v>794</v>
      </c>
      <c r="I153" s="1">
        <v>4</v>
      </c>
      <c r="L153" s="17" t="s">
        <v>773</v>
      </c>
      <c r="M153" s="17" t="s">
        <v>29</v>
      </c>
      <c r="N153" s="6">
        <v>1</v>
      </c>
      <c r="O153" s="6"/>
      <c r="R153" s="1">
        <v>83.4</v>
      </c>
      <c r="S153" s="1">
        <v>16.600000000000001</v>
      </c>
      <c r="T153" s="1">
        <v>6.25</v>
      </c>
      <c r="V153" s="1">
        <v>1.909</v>
      </c>
      <c r="Z153" s="1">
        <v>6.4076000000000013</v>
      </c>
      <c r="AW153" s="1">
        <v>2.4236</v>
      </c>
      <c r="BC153" s="1">
        <v>4.7476000000000003</v>
      </c>
      <c r="BD153" s="1">
        <v>23.24</v>
      </c>
      <c r="BL153" s="1">
        <v>0.21580000000000002</v>
      </c>
      <c r="BP153" s="1">
        <v>265.60000000000002</v>
      </c>
      <c r="BS153" s="1">
        <v>3120.8</v>
      </c>
      <c r="BW153" s="1">
        <v>215.8</v>
      </c>
    </row>
    <row r="154" spans="1:95" x14ac:dyDescent="0.2">
      <c r="A154" s="1" t="s">
        <v>795</v>
      </c>
      <c r="B154" s="1" t="s">
        <v>796</v>
      </c>
      <c r="D154" s="1" t="s">
        <v>797</v>
      </c>
      <c r="E154" s="17" t="s">
        <v>9</v>
      </c>
      <c r="F154" s="1" t="s">
        <v>606</v>
      </c>
      <c r="H154" s="1" t="s">
        <v>798</v>
      </c>
      <c r="I154" s="1">
        <v>3</v>
      </c>
      <c r="L154" s="17" t="s">
        <v>799</v>
      </c>
      <c r="M154" s="17" t="s">
        <v>29</v>
      </c>
      <c r="N154" s="6">
        <v>1</v>
      </c>
      <c r="O154" s="6"/>
      <c r="Q154" s="1">
        <v>52.7</v>
      </c>
      <c r="R154" s="1">
        <v>85.61</v>
      </c>
      <c r="S154" s="1">
        <v>14.39</v>
      </c>
      <c r="T154" s="1">
        <v>6.25</v>
      </c>
      <c r="V154" s="1">
        <v>5.32</v>
      </c>
      <c r="Z154" s="1">
        <v>1.28</v>
      </c>
      <c r="AH154" s="1">
        <v>4.9800000000000004</v>
      </c>
      <c r="AW154" s="1">
        <v>2.81</v>
      </c>
      <c r="BB154" s="1">
        <v>5.1803999999999996E-2</v>
      </c>
      <c r="BC154" s="1">
        <v>1.3972690000000003</v>
      </c>
      <c r="BE154" s="1">
        <v>1.2850270000000001</v>
      </c>
      <c r="BG154" s="1">
        <v>0.55977100000000002</v>
      </c>
      <c r="BL154" s="1">
        <v>0.49213799999999996</v>
      </c>
      <c r="CQ154" s="1">
        <v>26.664670000000001</v>
      </c>
    </row>
    <row r="155" spans="1:95" x14ac:dyDescent="0.2">
      <c r="A155" s="1" t="s">
        <v>800</v>
      </c>
      <c r="B155" s="1" t="s">
        <v>796</v>
      </c>
      <c r="D155" s="1" t="s">
        <v>801</v>
      </c>
      <c r="E155" s="17" t="s">
        <v>11</v>
      </c>
      <c r="F155" s="1" t="s">
        <v>606</v>
      </c>
      <c r="H155" s="1" t="s">
        <v>802</v>
      </c>
      <c r="I155" s="1">
        <v>3</v>
      </c>
      <c r="L155" s="17" t="s">
        <v>799</v>
      </c>
      <c r="M155" s="17" t="s">
        <v>29</v>
      </c>
      <c r="N155" s="6">
        <v>1</v>
      </c>
      <c r="O155" s="6"/>
      <c r="Q155" s="1">
        <v>56</v>
      </c>
      <c r="R155" s="1">
        <v>85.53</v>
      </c>
      <c r="S155" s="1">
        <v>14.47</v>
      </c>
      <c r="T155" s="1">
        <v>6.25</v>
      </c>
      <c r="V155" s="1">
        <v>5.3</v>
      </c>
      <c r="Z155" s="1">
        <v>1.27</v>
      </c>
      <c r="AH155" s="1">
        <v>5.85</v>
      </c>
      <c r="AW155" s="1">
        <v>2.0499999999999998</v>
      </c>
      <c r="BB155" s="1">
        <v>2.0258000000000002E-2</v>
      </c>
      <c r="BC155" s="1">
        <v>1.3804380000000001</v>
      </c>
      <c r="BE155" s="1">
        <v>1.2024570000000001</v>
      </c>
      <c r="BG155" s="1">
        <v>0.67574900000000004</v>
      </c>
      <c r="BL155" s="1">
        <v>0.28939999999999999</v>
      </c>
      <c r="CQ155" s="1">
        <v>7.3941699999999999</v>
      </c>
    </row>
    <row r="156" spans="1:95" x14ac:dyDescent="0.2">
      <c r="A156" s="1" t="s">
        <v>803</v>
      </c>
      <c r="B156" s="1" t="s">
        <v>796</v>
      </c>
      <c r="D156" s="1" t="s">
        <v>804</v>
      </c>
      <c r="E156" s="17" t="s">
        <v>9</v>
      </c>
      <c r="F156" s="1" t="s">
        <v>805</v>
      </c>
      <c r="H156" s="1" t="s">
        <v>798</v>
      </c>
      <c r="I156" s="1">
        <v>3</v>
      </c>
      <c r="L156" s="17" t="s">
        <v>799</v>
      </c>
      <c r="M156" s="17" t="s">
        <v>29</v>
      </c>
      <c r="N156" s="6">
        <v>1</v>
      </c>
      <c r="O156" s="6"/>
      <c r="Q156" s="1">
        <v>44.7</v>
      </c>
      <c r="R156" s="1">
        <v>84.73</v>
      </c>
      <c r="S156" s="1">
        <v>15.27</v>
      </c>
      <c r="T156" s="1">
        <v>6.25</v>
      </c>
      <c r="V156" s="1">
        <v>4.26</v>
      </c>
      <c r="Z156" s="1">
        <v>1.45</v>
      </c>
      <c r="AH156" s="1">
        <v>3.65</v>
      </c>
      <c r="AW156" s="1">
        <v>5.91</v>
      </c>
      <c r="BB156" s="1">
        <v>2.4431999999999999E-2</v>
      </c>
      <c r="BC156" s="1">
        <v>0.95742899999999986</v>
      </c>
      <c r="BE156" s="1">
        <v>0.84443100000000004</v>
      </c>
      <c r="BG156" s="1">
        <v>0.59705699999999995</v>
      </c>
      <c r="BL156" s="1">
        <v>0.68104199999999993</v>
      </c>
      <c r="CQ156" s="1">
        <v>301.06331999999998</v>
      </c>
    </row>
    <row r="157" spans="1:95" x14ac:dyDescent="0.2">
      <c r="A157" s="1" t="s">
        <v>806</v>
      </c>
      <c r="B157" s="1" t="s">
        <v>796</v>
      </c>
      <c r="D157" s="1" t="s">
        <v>807</v>
      </c>
      <c r="E157" s="17" t="s">
        <v>11</v>
      </c>
      <c r="F157" s="1" t="s">
        <v>805</v>
      </c>
      <c r="H157" s="1" t="s">
        <v>802</v>
      </c>
      <c r="I157" s="1">
        <v>3</v>
      </c>
      <c r="L157" s="17" t="s">
        <v>799</v>
      </c>
      <c r="M157" s="17" t="s">
        <v>29</v>
      </c>
      <c r="N157" s="6">
        <v>1</v>
      </c>
      <c r="O157" s="6"/>
      <c r="Q157" s="1">
        <v>41.5</v>
      </c>
      <c r="R157" s="1">
        <v>85.71</v>
      </c>
      <c r="S157" s="1">
        <v>14.29</v>
      </c>
      <c r="T157" s="1">
        <v>6.25</v>
      </c>
      <c r="V157" s="1">
        <v>4.2</v>
      </c>
      <c r="Z157" s="1">
        <v>1.43</v>
      </c>
      <c r="AH157" s="1">
        <v>2.96</v>
      </c>
      <c r="AW157" s="1">
        <v>5.7</v>
      </c>
      <c r="BB157" s="1">
        <v>1.5718999999999997E-2</v>
      </c>
      <c r="BC157" s="1">
        <v>0.71164200000000011</v>
      </c>
      <c r="BE157" s="1">
        <v>0.56731299999999996</v>
      </c>
      <c r="BG157" s="1">
        <v>0.58588999999999991</v>
      </c>
      <c r="BL157" s="1">
        <v>0.25150399999999995</v>
      </c>
      <c r="CQ157" s="1">
        <v>14.604379999999999</v>
      </c>
    </row>
    <row r="158" spans="1:95" x14ac:dyDescent="0.2">
      <c r="A158" s="1" t="s">
        <v>808</v>
      </c>
      <c r="B158" s="1" t="s">
        <v>796</v>
      </c>
      <c r="C158" s="1" t="s">
        <v>809</v>
      </c>
      <c r="D158" s="1" t="s">
        <v>466</v>
      </c>
      <c r="E158" s="17" t="s">
        <v>9</v>
      </c>
      <c r="F158" s="1" t="s">
        <v>810</v>
      </c>
      <c r="H158" s="1" t="s">
        <v>798</v>
      </c>
      <c r="I158" s="1">
        <v>3</v>
      </c>
      <c r="L158" s="17" t="s">
        <v>799</v>
      </c>
      <c r="M158" s="17" t="s">
        <v>29</v>
      </c>
      <c r="N158" s="6">
        <v>1</v>
      </c>
      <c r="O158" s="6"/>
      <c r="Q158" s="1">
        <v>112.5</v>
      </c>
      <c r="R158" s="1">
        <v>73.349999999999994</v>
      </c>
      <c r="S158" s="1">
        <v>26.65</v>
      </c>
      <c r="T158" s="1">
        <v>6.25</v>
      </c>
      <c r="V158" s="1">
        <v>2.69</v>
      </c>
      <c r="Z158" s="1">
        <v>2.77</v>
      </c>
      <c r="AH158" s="1">
        <v>19.190000000000001</v>
      </c>
      <c r="AW158" s="1">
        <v>2</v>
      </c>
      <c r="BB158" s="1">
        <v>8.7944999999999995E-2</v>
      </c>
      <c r="BC158" s="1">
        <v>0.91142999999999985</v>
      </c>
      <c r="BE158" s="1">
        <v>0.76218999999999992</v>
      </c>
      <c r="BG158" s="1">
        <v>0.8528</v>
      </c>
      <c r="BL158" s="1">
        <v>0.90876499999999993</v>
      </c>
      <c r="CQ158" s="1">
        <v>63.027249999999995</v>
      </c>
    </row>
    <row r="159" spans="1:95" x14ac:dyDescent="0.2">
      <c r="A159" s="1" t="s">
        <v>811</v>
      </c>
      <c r="B159" s="1" t="s">
        <v>796</v>
      </c>
      <c r="C159" s="1" t="s">
        <v>809</v>
      </c>
      <c r="D159" s="1" t="s">
        <v>469</v>
      </c>
      <c r="E159" s="17" t="s">
        <v>11</v>
      </c>
      <c r="F159" s="1" t="s">
        <v>810</v>
      </c>
      <c r="H159" s="1" t="s">
        <v>802</v>
      </c>
      <c r="I159" s="1">
        <v>3</v>
      </c>
      <c r="L159" s="17" t="s">
        <v>799</v>
      </c>
      <c r="M159" s="17" t="s">
        <v>29</v>
      </c>
      <c r="N159" s="6">
        <v>1</v>
      </c>
      <c r="O159" s="6"/>
      <c r="Q159" s="1">
        <v>50.8</v>
      </c>
      <c r="R159" s="1">
        <v>89.38</v>
      </c>
      <c r="S159" s="1">
        <v>10.62</v>
      </c>
      <c r="T159" s="1">
        <v>6.25</v>
      </c>
      <c r="V159" s="1">
        <v>1.0900000000000001</v>
      </c>
      <c r="Z159" s="1">
        <v>1.96</v>
      </c>
      <c r="AH159" s="1">
        <v>7.19</v>
      </c>
      <c r="AW159" s="1">
        <v>0.38</v>
      </c>
      <c r="BB159" s="1">
        <v>2.0177999999999998E-2</v>
      </c>
      <c r="BC159" s="1">
        <v>0.21877199999999999</v>
      </c>
      <c r="BE159" s="1">
        <v>0.26656199999999997</v>
      </c>
      <c r="BG159" s="1">
        <v>0.37700999999999996</v>
      </c>
      <c r="BL159" s="1">
        <v>0.21027599999999999</v>
      </c>
      <c r="CQ159" s="1">
        <v>20.093039999999995</v>
      </c>
    </row>
    <row r="160" spans="1:95" x14ac:dyDescent="0.2">
      <c r="A160" s="1" t="s">
        <v>812</v>
      </c>
      <c r="B160" s="1" t="s">
        <v>813</v>
      </c>
      <c r="D160" s="1" t="s">
        <v>814</v>
      </c>
      <c r="E160" s="17" t="s">
        <v>7</v>
      </c>
      <c r="F160" s="1" t="s">
        <v>815</v>
      </c>
      <c r="G160" s="1" t="s">
        <v>816</v>
      </c>
      <c r="H160" s="1" t="s">
        <v>817</v>
      </c>
      <c r="I160" s="1">
        <v>4</v>
      </c>
      <c r="L160" s="17" t="s">
        <v>818</v>
      </c>
      <c r="M160" s="17" t="s">
        <v>29</v>
      </c>
      <c r="N160" s="6">
        <v>1</v>
      </c>
      <c r="O160" s="6"/>
      <c r="R160" s="1">
        <v>87.48</v>
      </c>
      <c r="S160" s="1">
        <v>12.519999999999996</v>
      </c>
      <c r="AX160" s="1">
        <v>199.06799999999993</v>
      </c>
      <c r="BB160" s="1">
        <v>3.7559999999999982E-2</v>
      </c>
      <c r="BC160" s="1">
        <v>3.1012039999999992</v>
      </c>
      <c r="BD160" s="1">
        <v>256.66000000000003</v>
      </c>
      <c r="BE160" s="1">
        <v>25.04</v>
      </c>
      <c r="BF160" s="1">
        <v>2.0532799999999991</v>
      </c>
      <c r="BG160" s="1">
        <v>92.647999999999996</v>
      </c>
      <c r="BI160" s="1">
        <v>52.583999999999982</v>
      </c>
      <c r="BL160" s="1">
        <v>0.37559999999999988</v>
      </c>
      <c r="BM160" s="1">
        <v>2587.884</v>
      </c>
    </row>
    <row r="161" spans="1:180" x14ac:dyDescent="0.2">
      <c r="A161" s="1" t="s">
        <v>819</v>
      </c>
      <c r="B161" s="1" t="s">
        <v>813</v>
      </c>
      <c r="D161" s="1" t="s">
        <v>820</v>
      </c>
      <c r="E161" s="17" t="s">
        <v>7</v>
      </c>
      <c r="F161" s="1" t="s">
        <v>821</v>
      </c>
      <c r="G161" s="1" t="s">
        <v>816</v>
      </c>
      <c r="H161" s="1" t="s">
        <v>817</v>
      </c>
      <c r="I161" s="1">
        <v>4</v>
      </c>
      <c r="L161" s="17" t="s">
        <v>818</v>
      </c>
      <c r="M161" s="17" t="s">
        <v>29</v>
      </c>
      <c r="N161" s="6">
        <v>1</v>
      </c>
      <c r="O161" s="6"/>
      <c r="R161" s="1">
        <v>86.72</v>
      </c>
      <c r="S161" s="1">
        <v>13.280000000000001</v>
      </c>
      <c r="AX161" s="1">
        <v>169.04299999999992</v>
      </c>
      <c r="BB161" s="1">
        <v>3.9400999999999978E-2</v>
      </c>
      <c r="BC161" s="1">
        <v>3.0186249999999983</v>
      </c>
      <c r="BD161" s="1">
        <v>269.45199999999988</v>
      </c>
      <c r="BE161" s="1">
        <v>24.14899999999999</v>
      </c>
      <c r="BF161" s="1">
        <v>1.919209999999999</v>
      </c>
      <c r="BG161" s="1">
        <v>1177.9359999999999</v>
      </c>
      <c r="BI161" s="1">
        <v>54.652999999999977</v>
      </c>
      <c r="BL161" s="1">
        <v>0.3711319999999998</v>
      </c>
      <c r="BM161" s="1">
        <v>3091.0719999999988</v>
      </c>
    </row>
    <row r="162" spans="1:180" x14ac:dyDescent="0.2">
      <c r="A162" s="1" t="s">
        <v>822</v>
      </c>
      <c r="B162" s="1" t="s">
        <v>813</v>
      </c>
      <c r="D162" s="1" t="s">
        <v>823</v>
      </c>
      <c r="E162" s="17" t="s">
        <v>7</v>
      </c>
      <c r="F162" s="1" t="s">
        <v>824</v>
      </c>
      <c r="G162" s="1" t="s">
        <v>816</v>
      </c>
      <c r="H162" s="1" t="s">
        <v>817</v>
      </c>
      <c r="I162" s="1">
        <v>4</v>
      </c>
      <c r="L162" s="17" t="s">
        <v>818</v>
      </c>
      <c r="M162" s="17" t="s">
        <v>29</v>
      </c>
      <c r="N162" s="6">
        <v>1</v>
      </c>
      <c r="O162" s="6"/>
      <c r="R162" s="1">
        <v>89.05</v>
      </c>
      <c r="S162" s="1">
        <v>10.950000000000003</v>
      </c>
      <c r="AX162" s="1">
        <v>163.155</v>
      </c>
      <c r="BC162" s="1">
        <v>1.4585400000000004</v>
      </c>
      <c r="BD162" s="1">
        <v>284.7</v>
      </c>
      <c r="BE162" s="1">
        <v>28.47</v>
      </c>
      <c r="BF162" s="1">
        <v>0.57487500000000014</v>
      </c>
      <c r="BG162" s="1">
        <v>395.29500000000002</v>
      </c>
      <c r="BI162" s="1">
        <v>48.18</v>
      </c>
      <c r="BL162" s="1">
        <v>0.22119000000000008</v>
      </c>
      <c r="BM162" s="1">
        <v>569.4</v>
      </c>
    </row>
    <row r="163" spans="1:180" x14ac:dyDescent="0.2">
      <c r="A163" s="1" t="s">
        <v>825</v>
      </c>
      <c r="B163" s="1" t="s">
        <v>813</v>
      </c>
      <c r="D163" s="1" t="s">
        <v>826</v>
      </c>
      <c r="E163" s="17" t="s">
        <v>7</v>
      </c>
      <c r="F163" s="1" t="s">
        <v>447</v>
      </c>
      <c r="G163" s="1" t="s">
        <v>816</v>
      </c>
      <c r="H163" s="1" t="s">
        <v>817</v>
      </c>
      <c r="I163" s="1">
        <v>4</v>
      </c>
      <c r="L163" s="17" t="s">
        <v>818</v>
      </c>
      <c r="M163" s="17" t="s">
        <v>29</v>
      </c>
      <c r="N163" s="6">
        <v>1</v>
      </c>
      <c r="O163" s="6"/>
      <c r="R163" s="1">
        <v>91.25</v>
      </c>
      <c r="S163" s="1">
        <v>8.75</v>
      </c>
      <c r="AX163" s="1">
        <v>41.125</v>
      </c>
      <c r="BC163" s="1">
        <v>0.66937500000000005</v>
      </c>
      <c r="BD163" s="1">
        <v>161</v>
      </c>
      <c r="BE163" s="1">
        <v>16.625</v>
      </c>
      <c r="BF163" s="1">
        <v>0.21612500000000001</v>
      </c>
      <c r="BG163" s="1">
        <v>332.5</v>
      </c>
      <c r="BI163" s="1">
        <v>28</v>
      </c>
      <c r="BL163" s="1">
        <v>0.12687499999999999</v>
      </c>
      <c r="BM163" s="1">
        <v>118.125</v>
      </c>
    </row>
    <row r="164" spans="1:180" x14ac:dyDescent="0.2">
      <c r="A164" s="1" t="s">
        <v>827</v>
      </c>
      <c r="B164" s="1" t="s">
        <v>813</v>
      </c>
      <c r="D164" s="1" t="s">
        <v>814</v>
      </c>
      <c r="E164" s="17" t="s">
        <v>7</v>
      </c>
      <c r="F164" s="1" t="s">
        <v>828</v>
      </c>
      <c r="G164" s="1" t="s">
        <v>816</v>
      </c>
      <c r="H164" s="1" t="s">
        <v>817</v>
      </c>
      <c r="I164" s="1">
        <v>4</v>
      </c>
      <c r="L164" s="17" t="s">
        <v>818</v>
      </c>
      <c r="M164" s="17" t="s">
        <v>29</v>
      </c>
      <c r="N164" s="6">
        <v>1</v>
      </c>
      <c r="O164" s="6"/>
      <c r="R164" s="1">
        <v>87.29</v>
      </c>
      <c r="S164" s="1">
        <v>12.709999999999994</v>
      </c>
      <c r="AX164" s="1">
        <v>204.51200000000003</v>
      </c>
      <c r="BB164" s="1">
        <v>2.5232000000000001E-2</v>
      </c>
      <c r="BC164" s="1">
        <v>2.4674239999999998</v>
      </c>
      <c r="BD164" s="1">
        <v>228.41600000000003</v>
      </c>
      <c r="BE164" s="1">
        <v>38.512</v>
      </c>
      <c r="BF164" s="1">
        <v>2.4435199999999999</v>
      </c>
      <c r="BG164" s="1">
        <v>122.01600000000001</v>
      </c>
      <c r="BI164" s="1">
        <v>51.792000000000009</v>
      </c>
      <c r="BL164" s="1">
        <v>0.48073600000000005</v>
      </c>
      <c r="BM164" s="1">
        <v>1144.7359999999999</v>
      </c>
    </row>
    <row r="165" spans="1:180" x14ac:dyDescent="0.2">
      <c r="A165" s="1" t="s">
        <v>829</v>
      </c>
      <c r="B165" s="1" t="s">
        <v>813</v>
      </c>
      <c r="D165" s="1" t="s">
        <v>814</v>
      </c>
      <c r="E165" s="17" t="s">
        <v>7</v>
      </c>
      <c r="F165" s="1" t="s">
        <v>830</v>
      </c>
      <c r="G165" s="1" t="s">
        <v>816</v>
      </c>
      <c r="H165" s="1" t="s">
        <v>817</v>
      </c>
      <c r="I165" s="1">
        <v>4</v>
      </c>
      <c r="L165" s="17" t="s">
        <v>818</v>
      </c>
      <c r="M165" s="17" t="s">
        <v>29</v>
      </c>
      <c r="N165" s="6">
        <v>1</v>
      </c>
      <c r="O165" s="6"/>
      <c r="R165" s="1">
        <v>87.72</v>
      </c>
      <c r="S165" s="1">
        <v>12.280000000000001</v>
      </c>
      <c r="AX165" s="1">
        <v>224.72400000000005</v>
      </c>
      <c r="BB165" s="1">
        <v>3.8068000000000005E-2</v>
      </c>
      <c r="BC165" s="1">
        <v>3.1007000000000007</v>
      </c>
      <c r="BD165" s="1">
        <v>240.68800000000005</v>
      </c>
      <c r="BE165" s="1">
        <v>27.016000000000005</v>
      </c>
      <c r="BF165" s="1">
        <v>2.2521520000000002</v>
      </c>
      <c r="BG165" s="1">
        <v>87.188000000000002</v>
      </c>
      <c r="BI165" s="1">
        <v>46.664000000000001</v>
      </c>
      <c r="BL165" s="1">
        <v>0.36594399999999999</v>
      </c>
      <c r="BM165" s="1">
        <v>2112.16</v>
      </c>
    </row>
    <row r="166" spans="1:180" x14ac:dyDescent="0.2">
      <c r="A166" s="1" t="s">
        <v>831</v>
      </c>
      <c r="B166" s="1" t="s">
        <v>813</v>
      </c>
      <c r="D166" s="1" t="s">
        <v>814</v>
      </c>
      <c r="E166" s="17" t="s">
        <v>7</v>
      </c>
      <c r="F166" s="1" t="s">
        <v>832</v>
      </c>
      <c r="G166" s="1" t="s">
        <v>816</v>
      </c>
      <c r="H166" s="1" t="s">
        <v>817</v>
      </c>
      <c r="I166" s="1">
        <v>4</v>
      </c>
      <c r="L166" s="17" t="s">
        <v>818</v>
      </c>
      <c r="M166" s="17" t="s">
        <v>29</v>
      </c>
      <c r="N166" s="6">
        <v>1</v>
      </c>
      <c r="O166" s="6"/>
      <c r="R166" s="1">
        <v>87.89</v>
      </c>
      <c r="S166" s="1">
        <v>12.11</v>
      </c>
      <c r="AX166" s="1">
        <v>186.494</v>
      </c>
      <c r="BB166" s="1">
        <v>3.2697000000000004E-2</v>
      </c>
      <c r="BC166" s="1">
        <v>3.0638299999999998</v>
      </c>
      <c r="BD166" s="1">
        <v>245.83299999999997</v>
      </c>
      <c r="BE166" s="1">
        <v>23.009</v>
      </c>
      <c r="BF166" s="1">
        <v>1.941233</v>
      </c>
      <c r="BG166" s="1">
        <v>90.825000000000003</v>
      </c>
      <c r="BI166" s="1">
        <v>53.283999999999992</v>
      </c>
      <c r="BL166" s="1">
        <v>0.38025399999999998</v>
      </c>
      <c r="BM166" s="1">
        <v>2718.6949999999993</v>
      </c>
    </row>
    <row r="167" spans="1:180" x14ac:dyDescent="0.2">
      <c r="A167" s="1" t="s">
        <v>833</v>
      </c>
      <c r="B167" s="1" t="s">
        <v>813</v>
      </c>
      <c r="D167" s="1" t="s">
        <v>834</v>
      </c>
      <c r="E167" s="17" t="s">
        <v>9</v>
      </c>
      <c r="F167" s="1" t="s">
        <v>835</v>
      </c>
      <c r="G167" s="1" t="s">
        <v>816</v>
      </c>
      <c r="H167" s="1" t="s">
        <v>817</v>
      </c>
      <c r="I167" s="1">
        <v>4</v>
      </c>
      <c r="L167" s="17" t="s">
        <v>818</v>
      </c>
      <c r="M167" s="17" t="s">
        <v>29</v>
      </c>
      <c r="N167" s="6">
        <v>1</v>
      </c>
      <c r="O167" s="6"/>
      <c r="R167" s="1">
        <v>86.88</v>
      </c>
      <c r="S167" s="1">
        <v>13.120000000000005</v>
      </c>
      <c r="AX167" s="1">
        <v>228.28800000000007</v>
      </c>
      <c r="BB167" s="1">
        <v>4.0672000000000014E-2</v>
      </c>
      <c r="BC167" s="1">
        <v>3.2603200000000014</v>
      </c>
      <c r="BD167" s="1">
        <v>271.58400000000006</v>
      </c>
      <c r="BE167" s="1">
        <v>27.552000000000007</v>
      </c>
      <c r="BF167" s="1">
        <v>2.248768000000001</v>
      </c>
      <c r="BG167" s="1">
        <v>78.72</v>
      </c>
      <c r="BI167" s="1">
        <v>52.48</v>
      </c>
      <c r="BL167" s="1">
        <v>0.39228800000000014</v>
      </c>
      <c r="BM167" s="1">
        <v>2200.2240000000006</v>
      </c>
    </row>
    <row r="168" spans="1:180" x14ac:dyDescent="0.2">
      <c r="A168" s="1" t="s">
        <v>836</v>
      </c>
      <c r="B168" s="1" t="s">
        <v>813</v>
      </c>
      <c r="D168" s="1" t="s">
        <v>814</v>
      </c>
      <c r="E168" s="17" t="s">
        <v>7</v>
      </c>
      <c r="F168" s="1" t="s">
        <v>837</v>
      </c>
      <c r="G168" s="1" t="s">
        <v>816</v>
      </c>
      <c r="H168" s="1" t="s">
        <v>817</v>
      </c>
      <c r="I168" s="1">
        <v>4</v>
      </c>
      <c r="L168" s="17" t="s">
        <v>818</v>
      </c>
      <c r="M168" s="17" t="s">
        <v>29</v>
      </c>
      <c r="N168" s="6">
        <v>1</v>
      </c>
      <c r="O168" s="6"/>
      <c r="R168" s="1">
        <v>87.64</v>
      </c>
      <c r="S168" s="1">
        <v>12.36</v>
      </c>
      <c r="AX168" s="1">
        <v>187.87199999999999</v>
      </c>
      <c r="BB168" s="1">
        <v>3.7079999999999995E-2</v>
      </c>
      <c r="BC168" s="1">
        <v>3.0442679999999998</v>
      </c>
      <c r="BD168" s="1">
        <v>255.85199999999998</v>
      </c>
      <c r="BE168" s="1">
        <v>22.247999999999998</v>
      </c>
      <c r="BF168" s="1">
        <v>1.9022040000000002</v>
      </c>
      <c r="BG168" s="1">
        <v>81.575999999999993</v>
      </c>
      <c r="BI168" s="1">
        <v>54.384</v>
      </c>
      <c r="BL168" s="1">
        <v>0.36832799999999999</v>
      </c>
      <c r="BM168" s="1">
        <v>2790.8879999999999</v>
      </c>
    </row>
    <row r="169" spans="1:180" x14ac:dyDescent="0.2">
      <c r="A169" s="1" t="s">
        <v>838</v>
      </c>
      <c r="B169" s="1" t="s">
        <v>839</v>
      </c>
      <c r="D169" s="1" t="s">
        <v>466</v>
      </c>
      <c r="E169" s="17" t="s">
        <v>9</v>
      </c>
      <c r="F169" s="1" t="s">
        <v>840</v>
      </c>
      <c r="G169" s="1" t="s">
        <v>841</v>
      </c>
      <c r="H169" s="1" t="s">
        <v>842</v>
      </c>
      <c r="I169" s="1">
        <v>3</v>
      </c>
      <c r="L169" s="17" t="s">
        <v>843</v>
      </c>
      <c r="M169" s="17" t="s">
        <v>29</v>
      </c>
      <c r="N169" s="6">
        <v>1</v>
      </c>
      <c r="O169" s="6"/>
      <c r="S169" s="1">
        <v>91.8</v>
      </c>
      <c r="T169" s="1">
        <v>6.25</v>
      </c>
      <c r="V169" s="1">
        <v>31.670999999999999</v>
      </c>
      <c r="AO169" s="1">
        <v>6.7931999999999997</v>
      </c>
      <c r="AW169" s="1">
        <v>15.973199999999997</v>
      </c>
    </row>
    <row r="170" spans="1:180" x14ac:dyDescent="0.2">
      <c r="A170" s="1" t="s">
        <v>844</v>
      </c>
      <c r="B170" s="1" t="s">
        <v>845</v>
      </c>
      <c r="D170" s="1" t="s">
        <v>823</v>
      </c>
      <c r="E170" s="17" t="s">
        <v>7</v>
      </c>
      <c r="F170" s="1" t="s">
        <v>846</v>
      </c>
      <c r="I170" s="1">
        <v>3</v>
      </c>
      <c r="L170" s="17" t="s">
        <v>847</v>
      </c>
      <c r="M170" s="17" t="s">
        <v>29</v>
      </c>
      <c r="N170" s="6">
        <v>1</v>
      </c>
      <c r="O170" s="6"/>
      <c r="FN170" s="1">
        <v>43300</v>
      </c>
      <c r="FV170" s="1">
        <v>12400</v>
      </c>
    </row>
    <row r="171" spans="1:180" x14ac:dyDescent="0.2">
      <c r="A171" s="1" t="s">
        <v>848</v>
      </c>
      <c r="B171" s="1" t="s">
        <v>845</v>
      </c>
      <c r="D171" s="1" t="s">
        <v>820</v>
      </c>
      <c r="E171" s="17" t="s">
        <v>7</v>
      </c>
      <c r="F171" s="1" t="s">
        <v>590</v>
      </c>
      <c r="I171" s="1">
        <v>3</v>
      </c>
      <c r="L171" s="17" t="s">
        <v>847</v>
      </c>
      <c r="M171" s="17" t="s">
        <v>29</v>
      </c>
      <c r="N171" s="6">
        <v>1</v>
      </c>
      <c r="O171" s="6"/>
      <c r="FN171" s="1">
        <v>90500</v>
      </c>
      <c r="FV171" s="1">
        <v>31800</v>
      </c>
      <c r="FX171" s="1">
        <v>23600</v>
      </c>
    </row>
    <row r="172" spans="1:180" x14ac:dyDescent="0.2">
      <c r="A172" s="1" t="s">
        <v>849</v>
      </c>
      <c r="B172" s="1" t="s">
        <v>845</v>
      </c>
      <c r="D172" s="1" t="s">
        <v>850</v>
      </c>
      <c r="E172" s="17" t="s">
        <v>7</v>
      </c>
      <c r="F172" s="1" t="s">
        <v>851</v>
      </c>
      <c r="I172" s="1">
        <v>3</v>
      </c>
      <c r="L172" s="17" t="s">
        <v>847</v>
      </c>
      <c r="M172" s="17" t="s">
        <v>29</v>
      </c>
      <c r="N172" s="6">
        <v>1</v>
      </c>
      <c r="O172" s="6"/>
      <c r="FN172" s="1">
        <v>5000</v>
      </c>
      <c r="FV172" s="1">
        <v>27900</v>
      </c>
    </row>
    <row r="173" spans="1:180" x14ac:dyDescent="0.2">
      <c r="A173" s="1" t="s">
        <v>852</v>
      </c>
      <c r="B173" s="1" t="s">
        <v>853</v>
      </c>
      <c r="C173" s="1" t="s">
        <v>854</v>
      </c>
      <c r="D173" s="1" t="s">
        <v>855</v>
      </c>
      <c r="E173" s="17" t="s">
        <v>7</v>
      </c>
      <c r="F173" s="1" t="s">
        <v>856</v>
      </c>
      <c r="I173" s="1">
        <v>2</v>
      </c>
      <c r="L173" s="17" t="s">
        <v>857</v>
      </c>
      <c r="M173" s="17" t="s">
        <v>29</v>
      </c>
      <c r="N173" s="6">
        <v>1</v>
      </c>
      <c r="O173" s="6"/>
      <c r="Q173" s="1">
        <v>49</v>
      </c>
      <c r="R173" s="1">
        <v>85</v>
      </c>
      <c r="S173" s="1">
        <v>15</v>
      </c>
      <c r="T173" s="1">
        <v>6.25</v>
      </c>
      <c r="V173" s="1">
        <v>4</v>
      </c>
      <c r="AH173" s="1">
        <v>7.86</v>
      </c>
      <c r="AL173" s="1">
        <v>2.87</v>
      </c>
      <c r="AW173" s="1">
        <v>3.42</v>
      </c>
      <c r="AX173" s="1">
        <v>252.9</v>
      </c>
      <c r="BB173" s="1">
        <v>0.45</v>
      </c>
      <c r="BC173" s="1">
        <v>3.75</v>
      </c>
      <c r="BE173" s="1">
        <v>120.9</v>
      </c>
      <c r="BF173" s="1">
        <v>12.3</v>
      </c>
      <c r="BG173" s="1">
        <v>52.05</v>
      </c>
      <c r="BI173" s="1">
        <v>73.05</v>
      </c>
      <c r="BL173" s="1">
        <v>8.4</v>
      </c>
    </row>
    <row r="174" spans="1:180" x14ac:dyDescent="0.2">
      <c r="A174" s="1" t="s">
        <v>858</v>
      </c>
      <c r="B174" s="1" t="s">
        <v>853</v>
      </c>
      <c r="C174" s="1" t="s">
        <v>859</v>
      </c>
      <c r="D174" s="1" t="s">
        <v>860</v>
      </c>
      <c r="E174" s="17" t="s">
        <v>7</v>
      </c>
      <c r="F174" s="1" t="s">
        <v>354</v>
      </c>
      <c r="I174" s="1">
        <v>2</v>
      </c>
      <c r="L174" s="17" t="s">
        <v>857</v>
      </c>
      <c r="M174" s="17" t="s">
        <v>29</v>
      </c>
      <c r="N174" s="6">
        <v>1</v>
      </c>
      <c r="O174" s="6"/>
      <c r="Q174" s="1">
        <v>50</v>
      </c>
      <c r="R174" s="1">
        <v>85</v>
      </c>
      <c r="S174" s="1">
        <v>15</v>
      </c>
      <c r="T174" s="1">
        <v>6.25</v>
      </c>
      <c r="V174" s="1">
        <v>3</v>
      </c>
      <c r="AH174" s="1">
        <v>8.27</v>
      </c>
      <c r="AL174" s="1">
        <v>1.63</v>
      </c>
      <c r="AW174" s="1">
        <v>2.84</v>
      </c>
      <c r="AX174" s="1">
        <v>384.9</v>
      </c>
      <c r="BB174" s="1">
        <v>0.6</v>
      </c>
      <c r="BC174" s="1">
        <v>3.15</v>
      </c>
      <c r="BE174" s="1">
        <v>144.15</v>
      </c>
      <c r="BF174" s="1">
        <v>2.7</v>
      </c>
      <c r="BG174" s="1">
        <v>139.94999999999999</v>
      </c>
      <c r="BI174" s="1">
        <v>122.1</v>
      </c>
      <c r="BL174" s="1">
        <v>1.05</v>
      </c>
    </row>
    <row r="175" spans="1:180" x14ac:dyDescent="0.2">
      <c r="A175" s="1" t="s">
        <v>861</v>
      </c>
      <c r="B175" s="1" t="s">
        <v>853</v>
      </c>
      <c r="C175" s="1" t="s">
        <v>862</v>
      </c>
      <c r="D175" s="1" t="s">
        <v>863</v>
      </c>
      <c r="E175" s="17" t="s">
        <v>7</v>
      </c>
      <c r="F175" s="1" t="s">
        <v>864</v>
      </c>
      <c r="I175" s="1">
        <v>2</v>
      </c>
      <c r="L175" s="17" t="s">
        <v>857</v>
      </c>
      <c r="M175" s="17" t="s">
        <v>29</v>
      </c>
      <c r="N175" s="6">
        <v>1</v>
      </c>
      <c r="O175" s="6"/>
      <c r="Q175" s="1">
        <v>62</v>
      </c>
      <c r="R175" s="1">
        <v>85</v>
      </c>
      <c r="S175" s="1">
        <v>15</v>
      </c>
      <c r="T175" s="1">
        <v>6.25</v>
      </c>
      <c r="V175" s="1">
        <v>2</v>
      </c>
      <c r="AH175" s="1">
        <v>8.2799999999999994</v>
      </c>
      <c r="AL175" s="1">
        <v>2.0699999999999998</v>
      </c>
      <c r="AW175" s="1">
        <v>2.27</v>
      </c>
      <c r="AX175" s="1">
        <v>105.75</v>
      </c>
      <c r="BB175" s="1">
        <v>0.45</v>
      </c>
      <c r="BC175" s="1">
        <v>2.85</v>
      </c>
      <c r="BE175" s="1">
        <v>64.2</v>
      </c>
      <c r="BF175" s="1">
        <v>1.2</v>
      </c>
      <c r="BG175" s="1">
        <v>17.25</v>
      </c>
      <c r="BI175" s="1">
        <v>33.450000000000003</v>
      </c>
      <c r="BL175" s="1">
        <v>0.45</v>
      </c>
    </row>
    <row r="176" spans="1:180" x14ac:dyDescent="0.2">
      <c r="A176" s="1" t="s">
        <v>865</v>
      </c>
      <c r="B176" s="1" t="s">
        <v>853</v>
      </c>
      <c r="C176" s="1" t="s">
        <v>866</v>
      </c>
      <c r="D176" s="1" t="s">
        <v>867</v>
      </c>
      <c r="E176" s="17" t="s">
        <v>7</v>
      </c>
      <c r="F176" s="1" t="s">
        <v>868</v>
      </c>
      <c r="I176" s="1">
        <v>2</v>
      </c>
      <c r="L176" s="17" t="s">
        <v>857</v>
      </c>
      <c r="M176" s="17" t="s">
        <v>29</v>
      </c>
      <c r="N176" s="6">
        <v>1</v>
      </c>
      <c r="O176" s="6"/>
      <c r="Q176" s="1">
        <v>39</v>
      </c>
      <c r="R176" s="1">
        <v>88</v>
      </c>
      <c r="S176" s="1">
        <v>12</v>
      </c>
      <c r="T176" s="1">
        <v>6.25</v>
      </c>
      <c r="V176" s="1">
        <v>5</v>
      </c>
      <c r="AH176" s="1">
        <v>3.4</v>
      </c>
      <c r="AL176" s="1">
        <v>2.14</v>
      </c>
      <c r="AW176" s="1">
        <v>3.01</v>
      </c>
      <c r="AX176" s="1">
        <v>384.36</v>
      </c>
      <c r="BB176" s="1">
        <v>0.24</v>
      </c>
      <c r="BC176" s="1">
        <v>2.88</v>
      </c>
      <c r="BE176" s="1">
        <v>44.52</v>
      </c>
      <c r="BF176" s="1">
        <v>1.2</v>
      </c>
      <c r="BG176" s="1">
        <v>3</v>
      </c>
      <c r="BI176" s="1">
        <v>94.08</v>
      </c>
      <c r="BL176" s="1">
        <v>0.6</v>
      </c>
    </row>
    <row r="177" spans="1:182" x14ac:dyDescent="0.2">
      <c r="A177" s="1" t="s">
        <v>869</v>
      </c>
      <c r="B177" s="1" t="s">
        <v>853</v>
      </c>
      <c r="C177" s="1" t="s">
        <v>870</v>
      </c>
      <c r="D177" s="1" t="s">
        <v>871</v>
      </c>
      <c r="E177" s="17" t="s">
        <v>7</v>
      </c>
      <c r="F177" s="1" t="s">
        <v>872</v>
      </c>
      <c r="I177" s="1">
        <v>2</v>
      </c>
      <c r="L177" s="17" t="s">
        <v>857</v>
      </c>
      <c r="M177" s="17" t="s">
        <v>29</v>
      </c>
      <c r="N177" s="6">
        <v>1</v>
      </c>
      <c r="O177" s="6"/>
      <c r="Q177" s="1">
        <v>43</v>
      </c>
      <c r="R177" s="1">
        <v>85</v>
      </c>
      <c r="S177" s="1">
        <v>15</v>
      </c>
      <c r="T177" s="1">
        <v>6.25</v>
      </c>
      <c r="V177" s="1">
        <v>4</v>
      </c>
      <c r="AH177" s="1">
        <v>5.55</v>
      </c>
      <c r="AL177" s="1">
        <v>2.42</v>
      </c>
      <c r="AW177" s="1">
        <v>2.73</v>
      </c>
      <c r="AX177" s="1">
        <v>446.1</v>
      </c>
      <c r="BB177" s="1">
        <v>0.45</v>
      </c>
      <c r="BC177" s="1">
        <v>3</v>
      </c>
      <c r="BE177" s="1">
        <v>153.30000000000001</v>
      </c>
      <c r="BF177" s="1">
        <v>0.6</v>
      </c>
      <c r="BG177" s="1">
        <v>47.55</v>
      </c>
      <c r="BI177" s="1">
        <v>65.099999999999994</v>
      </c>
      <c r="BL177" s="1">
        <v>1.65</v>
      </c>
    </row>
    <row r="178" spans="1:182" x14ac:dyDescent="0.2">
      <c r="A178" s="1" t="s">
        <v>873</v>
      </c>
      <c r="B178" s="1" t="s">
        <v>853</v>
      </c>
      <c r="C178" s="1" t="s">
        <v>874</v>
      </c>
      <c r="D178" s="1" t="s">
        <v>875</v>
      </c>
      <c r="E178" s="17" t="s">
        <v>7</v>
      </c>
      <c r="F178" s="1" t="s">
        <v>876</v>
      </c>
      <c r="I178" s="1">
        <v>2</v>
      </c>
      <c r="L178" s="17" t="s">
        <v>857</v>
      </c>
      <c r="M178" s="17" t="s">
        <v>29</v>
      </c>
      <c r="N178" s="6">
        <v>1</v>
      </c>
      <c r="O178" s="6"/>
      <c r="Q178" s="1">
        <v>36</v>
      </c>
      <c r="R178" s="1">
        <v>83</v>
      </c>
      <c r="S178" s="1">
        <v>17</v>
      </c>
      <c r="T178" s="1">
        <v>6.25</v>
      </c>
      <c r="V178" s="1">
        <v>5</v>
      </c>
      <c r="AH178" s="1">
        <v>2.73</v>
      </c>
      <c r="AL178" s="1">
        <v>1.57</v>
      </c>
      <c r="AW178" s="1">
        <v>2.62</v>
      </c>
      <c r="AX178" s="1">
        <v>27.2</v>
      </c>
      <c r="BB178" s="1">
        <v>0.17</v>
      </c>
      <c r="BC178" s="1">
        <v>2.5499999999999998</v>
      </c>
      <c r="BE178" s="1">
        <v>173.06</v>
      </c>
      <c r="BF178" s="1">
        <v>5.27</v>
      </c>
      <c r="BG178" s="1">
        <v>56.44</v>
      </c>
      <c r="BI178" s="1">
        <v>49.3</v>
      </c>
      <c r="BL178" s="1">
        <v>3.4</v>
      </c>
    </row>
    <row r="179" spans="1:182" x14ac:dyDescent="0.2">
      <c r="A179" s="1" t="s">
        <v>877</v>
      </c>
      <c r="B179" s="1" t="s">
        <v>853</v>
      </c>
      <c r="C179" s="1" t="s">
        <v>878</v>
      </c>
      <c r="D179" s="1" t="s">
        <v>879</v>
      </c>
      <c r="E179" s="17" t="s">
        <v>7</v>
      </c>
      <c r="F179" s="1" t="s">
        <v>880</v>
      </c>
      <c r="I179" s="1">
        <v>2</v>
      </c>
      <c r="L179" s="17" t="s">
        <v>857</v>
      </c>
      <c r="M179" s="17" t="s">
        <v>29</v>
      </c>
      <c r="N179" s="6">
        <v>1</v>
      </c>
      <c r="O179" s="6"/>
      <c r="Q179" s="1">
        <v>41</v>
      </c>
      <c r="R179" s="1">
        <v>91</v>
      </c>
      <c r="S179" s="1">
        <v>9</v>
      </c>
      <c r="T179" s="1">
        <v>6.25</v>
      </c>
      <c r="V179" s="1">
        <v>4</v>
      </c>
      <c r="AH179" s="1">
        <v>5.29</v>
      </c>
      <c r="AL179" s="1">
        <v>1.24</v>
      </c>
      <c r="AW179" s="1">
        <v>1.74</v>
      </c>
      <c r="AX179" s="1">
        <v>14.58</v>
      </c>
      <c r="BB179" s="1">
        <v>0.27</v>
      </c>
      <c r="BC179" s="1">
        <v>2.4300000000000002</v>
      </c>
      <c r="BE179" s="1">
        <v>61.29</v>
      </c>
      <c r="BF179" s="1">
        <v>6.6</v>
      </c>
      <c r="BG179" s="1">
        <v>3.24</v>
      </c>
      <c r="BI179" s="1">
        <v>3.42</v>
      </c>
      <c r="BL179" s="1">
        <v>1.26</v>
      </c>
    </row>
    <row r="180" spans="1:182" x14ac:dyDescent="0.2">
      <c r="A180" s="1" t="s">
        <v>881</v>
      </c>
      <c r="B180" s="1" t="s">
        <v>853</v>
      </c>
      <c r="C180" s="1" t="s">
        <v>882</v>
      </c>
      <c r="D180" s="1" t="s">
        <v>883</v>
      </c>
      <c r="E180" s="17" t="s">
        <v>7</v>
      </c>
      <c r="F180" s="1" t="s">
        <v>884</v>
      </c>
      <c r="I180" s="1">
        <v>2</v>
      </c>
      <c r="L180" s="17" t="s">
        <v>857</v>
      </c>
      <c r="M180" s="17" t="s">
        <v>29</v>
      </c>
      <c r="N180" s="6">
        <v>1</v>
      </c>
      <c r="O180" s="6"/>
      <c r="Q180" s="1">
        <v>51</v>
      </c>
      <c r="R180" s="1">
        <v>85</v>
      </c>
      <c r="S180" s="1">
        <v>15</v>
      </c>
      <c r="T180" s="1">
        <v>6.25</v>
      </c>
      <c r="V180" s="1">
        <v>3</v>
      </c>
      <c r="AH180" s="1">
        <v>8.77</v>
      </c>
      <c r="AL180" s="1">
        <v>1.39</v>
      </c>
      <c r="AW180" s="1">
        <v>3.32</v>
      </c>
      <c r="AX180" s="1">
        <v>310.95</v>
      </c>
      <c r="BB180" s="1">
        <v>0.9</v>
      </c>
      <c r="BC180" s="1">
        <v>2.4</v>
      </c>
      <c r="BE180" s="1">
        <v>211.35</v>
      </c>
      <c r="BF180" s="1">
        <v>1.008</v>
      </c>
      <c r="BG180" s="1">
        <v>87.15</v>
      </c>
      <c r="BI180" s="1">
        <v>43.8</v>
      </c>
      <c r="BL180" s="1">
        <v>1.65</v>
      </c>
    </row>
    <row r="181" spans="1:182" x14ac:dyDescent="0.2">
      <c r="A181" s="1" t="s">
        <v>885</v>
      </c>
      <c r="B181" s="1" t="s">
        <v>853</v>
      </c>
      <c r="C181" s="1" t="s">
        <v>886</v>
      </c>
      <c r="D181" s="1" t="s">
        <v>887</v>
      </c>
      <c r="E181" s="17" t="s">
        <v>7</v>
      </c>
      <c r="F181" s="1" t="s">
        <v>888</v>
      </c>
      <c r="I181" s="1">
        <v>2</v>
      </c>
      <c r="L181" s="17" t="s">
        <v>857</v>
      </c>
      <c r="M181" s="17" t="s">
        <v>29</v>
      </c>
      <c r="N181" s="6">
        <v>1</v>
      </c>
      <c r="O181" s="6"/>
      <c r="Q181" s="1">
        <v>25</v>
      </c>
      <c r="R181" s="1">
        <v>88</v>
      </c>
      <c r="S181" s="1">
        <v>12</v>
      </c>
      <c r="T181" s="1">
        <v>6.25</v>
      </c>
      <c r="V181" s="1">
        <v>3</v>
      </c>
      <c r="AH181" s="1">
        <v>2.85</v>
      </c>
      <c r="AL181" s="1">
        <v>1.68</v>
      </c>
      <c r="AW181" s="1">
        <v>2.16</v>
      </c>
      <c r="AX181" s="1">
        <v>176.88</v>
      </c>
      <c r="BB181" s="1">
        <v>0.48</v>
      </c>
      <c r="BC181" s="1">
        <v>4.68</v>
      </c>
      <c r="BE181" s="1">
        <v>62.52</v>
      </c>
      <c r="BF181" s="1">
        <v>0.48</v>
      </c>
      <c r="BG181" s="1">
        <v>175.2</v>
      </c>
      <c r="BI181" s="1">
        <v>56.76</v>
      </c>
      <c r="BL181" s="1">
        <v>0.84</v>
      </c>
    </row>
    <row r="182" spans="1:182" x14ac:dyDescent="0.2">
      <c r="A182" s="1" t="s">
        <v>889</v>
      </c>
      <c r="B182" s="1" t="s">
        <v>853</v>
      </c>
      <c r="C182" s="1" t="s">
        <v>890</v>
      </c>
      <c r="D182" s="1" t="s">
        <v>891</v>
      </c>
      <c r="E182" s="17" t="s">
        <v>7</v>
      </c>
      <c r="F182" s="1" t="s">
        <v>892</v>
      </c>
      <c r="I182" s="1">
        <v>2</v>
      </c>
      <c r="L182" s="17" t="s">
        <v>857</v>
      </c>
      <c r="M182" s="17" t="s">
        <v>29</v>
      </c>
      <c r="N182" s="6">
        <v>1</v>
      </c>
      <c r="O182" s="6"/>
      <c r="Q182" s="1">
        <v>69</v>
      </c>
      <c r="R182" s="1">
        <v>85</v>
      </c>
      <c r="S182" s="1">
        <v>15</v>
      </c>
      <c r="T182" s="1">
        <v>6.25</v>
      </c>
      <c r="V182" s="1">
        <v>6</v>
      </c>
      <c r="AH182" s="1">
        <v>9.81</v>
      </c>
      <c r="AL182" s="1">
        <v>1.97</v>
      </c>
      <c r="AW182" s="1">
        <v>2.25</v>
      </c>
      <c r="AX182" s="1">
        <v>175.05</v>
      </c>
      <c r="BB182" s="1">
        <v>0.75</v>
      </c>
      <c r="BC182" s="1">
        <v>3</v>
      </c>
      <c r="BE182" s="1">
        <v>80.25</v>
      </c>
      <c r="BF182" s="1">
        <v>0.3</v>
      </c>
      <c r="BG182" s="1">
        <v>54.6</v>
      </c>
      <c r="BI182" s="1">
        <v>92.4</v>
      </c>
      <c r="BL182" s="1">
        <v>2.1</v>
      </c>
    </row>
    <row r="183" spans="1:182" x14ac:dyDescent="0.2">
      <c r="A183" s="1" t="s">
        <v>893</v>
      </c>
      <c r="B183" s="1" t="s">
        <v>853</v>
      </c>
      <c r="C183" s="1" t="s">
        <v>894</v>
      </c>
      <c r="D183" s="1" t="s">
        <v>895</v>
      </c>
      <c r="E183" s="17" t="s">
        <v>7</v>
      </c>
      <c r="F183" s="1" t="s">
        <v>896</v>
      </c>
      <c r="I183" s="1">
        <v>2</v>
      </c>
      <c r="L183" s="17" t="s">
        <v>857</v>
      </c>
      <c r="M183" s="17" t="s">
        <v>29</v>
      </c>
      <c r="N183" s="6">
        <v>1</v>
      </c>
      <c r="O183" s="6"/>
      <c r="Q183" s="1">
        <v>84</v>
      </c>
      <c r="R183" s="1">
        <v>88</v>
      </c>
      <c r="S183" s="1">
        <v>12</v>
      </c>
      <c r="T183" s="1">
        <v>6.25</v>
      </c>
      <c r="V183" s="1">
        <v>7</v>
      </c>
      <c r="AH183" s="1">
        <v>9.3699999999999992</v>
      </c>
      <c r="AL183" s="1">
        <v>2.58</v>
      </c>
      <c r="AW183" s="1">
        <v>4.2300000000000004</v>
      </c>
      <c r="AX183" s="1">
        <v>267.60000000000002</v>
      </c>
      <c r="BB183" s="1">
        <v>0.24</v>
      </c>
      <c r="BC183" s="1">
        <v>1.32</v>
      </c>
      <c r="BE183" s="1">
        <v>102.48</v>
      </c>
      <c r="BF183" s="1">
        <v>0.84</v>
      </c>
      <c r="BG183" s="1">
        <v>41.64</v>
      </c>
      <c r="BI183" s="1">
        <v>50.04</v>
      </c>
      <c r="BL183" s="1">
        <v>1.08</v>
      </c>
    </row>
    <row r="184" spans="1:182" x14ac:dyDescent="0.2">
      <c r="A184" s="1" t="s">
        <v>897</v>
      </c>
      <c r="B184" s="1" t="s">
        <v>853</v>
      </c>
      <c r="C184" s="1" t="s">
        <v>898</v>
      </c>
      <c r="D184" s="1" t="s">
        <v>899</v>
      </c>
      <c r="E184" s="17" t="s">
        <v>7</v>
      </c>
      <c r="F184" s="1" t="s">
        <v>900</v>
      </c>
      <c r="I184" s="1">
        <v>2</v>
      </c>
      <c r="L184" s="17" t="s">
        <v>857</v>
      </c>
      <c r="M184" s="17" t="s">
        <v>29</v>
      </c>
      <c r="N184" s="6">
        <v>1</v>
      </c>
      <c r="O184" s="6"/>
      <c r="Q184" s="1">
        <v>55</v>
      </c>
      <c r="R184" s="1">
        <v>85</v>
      </c>
      <c r="S184" s="1">
        <v>15</v>
      </c>
      <c r="T184" s="1">
        <v>6.25</v>
      </c>
      <c r="V184" s="1">
        <v>3</v>
      </c>
      <c r="AH184" s="1">
        <v>9.0299999999999994</v>
      </c>
      <c r="AL184" s="1">
        <v>2.42</v>
      </c>
      <c r="AW184" s="1">
        <v>2.2400000000000002</v>
      </c>
      <c r="AX184" s="1">
        <v>310.05</v>
      </c>
      <c r="BB184" s="1">
        <v>0.9</v>
      </c>
      <c r="BC184" s="1">
        <v>12.75</v>
      </c>
      <c r="BE184" s="1">
        <v>41.55</v>
      </c>
      <c r="BF184" s="1">
        <v>0.45</v>
      </c>
      <c r="BG184" s="1">
        <v>64.650000000000006</v>
      </c>
      <c r="BI184" s="1">
        <v>71.7</v>
      </c>
      <c r="BL184" s="1">
        <v>3.45</v>
      </c>
    </row>
    <row r="185" spans="1:182" x14ac:dyDescent="0.2">
      <c r="A185" s="1" t="s">
        <v>901</v>
      </c>
      <c r="B185" s="1" t="s">
        <v>902</v>
      </c>
      <c r="C185" s="1" t="s">
        <v>903</v>
      </c>
      <c r="D185" s="1" t="s">
        <v>904</v>
      </c>
      <c r="E185" s="17" t="s">
        <v>7</v>
      </c>
      <c r="F185" s="1" t="s">
        <v>461</v>
      </c>
      <c r="G185" s="1" t="s">
        <v>748</v>
      </c>
      <c r="I185" s="1">
        <v>2</v>
      </c>
      <c r="L185" s="17" t="s">
        <v>905</v>
      </c>
      <c r="M185" s="17" t="s">
        <v>29</v>
      </c>
      <c r="N185" s="6">
        <v>1</v>
      </c>
      <c r="O185" s="6"/>
      <c r="S185" s="1">
        <v>13.3</v>
      </c>
      <c r="AX185" s="1">
        <v>44</v>
      </c>
      <c r="BC185" s="1">
        <v>1</v>
      </c>
      <c r="BD185" s="1">
        <v>381</v>
      </c>
      <c r="BE185" s="1">
        <v>40</v>
      </c>
      <c r="BG185" s="1">
        <v>42</v>
      </c>
      <c r="BI185" s="1">
        <v>77</v>
      </c>
    </row>
    <row r="186" spans="1:182" x14ac:dyDescent="0.2">
      <c r="A186" s="1" t="s">
        <v>906</v>
      </c>
      <c r="B186" s="1" t="s">
        <v>902</v>
      </c>
      <c r="C186" s="1" t="s">
        <v>907</v>
      </c>
      <c r="D186" s="1" t="s">
        <v>908</v>
      </c>
      <c r="E186" s="17" t="s">
        <v>7</v>
      </c>
      <c r="F186" s="1" t="s">
        <v>909</v>
      </c>
      <c r="G186" s="1" t="s">
        <v>748</v>
      </c>
      <c r="I186" s="1">
        <v>2</v>
      </c>
      <c r="L186" s="17" t="s">
        <v>905</v>
      </c>
      <c r="M186" s="17" t="s">
        <v>29</v>
      </c>
      <c r="N186" s="6">
        <v>1</v>
      </c>
      <c r="O186" s="6"/>
      <c r="S186" s="1">
        <v>4.3</v>
      </c>
      <c r="AX186" s="1">
        <v>87</v>
      </c>
      <c r="AZ186" s="1">
        <v>0.02</v>
      </c>
      <c r="BB186" s="1">
        <v>0.04</v>
      </c>
      <c r="BC186" s="1">
        <v>0.2</v>
      </c>
      <c r="BD186" s="1">
        <v>313</v>
      </c>
      <c r="BE186" s="1">
        <v>53</v>
      </c>
      <c r="BF186" s="1">
        <v>0.42</v>
      </c>
      <c r="BG186" s="1">
        <v>4</v>
      </c>
      <c r="BI186" s="1">
        <v>18</v>
      </c>
      <c r="BL186" s="1">
        <v>0.14000000000000001</v>
      </c>
      <c r="BN186" s="1">
        <v>26</v>
      </c>
    </row>
    <row r="187" spans="1:182" x14ac:dyDescent="0.2">
      <c r="A187" s="1" t="s">
        <v>910</v>
      </c>
      <c r="B187" s="1" t="s">
        <v>902</v>
      </c>
      <c r="C187" s="1" t="s">
        <v>911</v>
      </c>
      <c r="D187" s="1" t="s">
        <v>515</v>
      </c>
      <c r="E187" s="17" t="s">
        <v>7</v>
      </c>
      <c r="F187" s="1" t="s">
        <v>669</v>
      </c>
      <c r="G187" s="1" t="s">
        <v>748</v>
      </c>
      <c r="I187" s="1">
        <v>2</v>
      </c>
      <c r="L187" s="17" t="s">
        <v>905</v>
      </c>
      <c r="M187" s="17" t="s">
        <v>29</v>
      </c>
      <c r="N187" s="6">
        <v>1</v>
      </c>
      <c r="O187" s="6"/>
      <c r="S187" s="1">
        <v>8.6999999999999993</v>
      </c>
      <c r="AZ187" s="1">
        <v>0.04</v>
      </c>
      <c r="BB187" s="1">
        <v>0.13</v>
      </c>
      <c r="BF187" s="1">
        <v>2.0299999999999998</v>
      </c>
      <c r="BL187" s="1">
        <v>0.59</v>
      </c>
    </row>
    <row r="188" spans="1:182" x14ac:dyDescent="0.2">
      <c r="A188" s="1" t="s">
        <v>912</v>
      </c>
      <c r="B188" s="1" t="s">
        <v>902</v>
      </c>
      <c r="C188" s="1" t="s">
        <v>913</v>
      </c>
      <c r="D188" s="1" t="s">
        <v>914</v>
      </c>
      <c r="E188" s="17" t="s">
        <v>7</v>
      </c>
      <c r="F188" s="1" t="s">
        <v>915</v>
      </c>
      <c r="G188" s="1" t="s">
        <v>748</v>
      </c>
      <c r="I188" s="1">
        <v>2</v>
      </c>
      <c r="L188" s="17" t="s">
        <v>905</v>
      </c>
      <c r="M188" s="17" t="s">
        <v>29</v>
      </c>
      <c r="N188" s="6">
        <v>1</v>
      </c>
      <c r="O188" s="6"/>
      <c r="S188" s="1">
        <v>5.8</v>
      </c>
      <c r="AX188" s="1">
        <v>59</v>
      </c>
      <c r="BC188" s="1">
        <v>0.6</v>
      </c>
      <c r="BD188" s="1">
        <v>209</v>
      </c>
      <c r="BE188" s="1">
        <v>44</v>
      </c>
      <c r="BG188" s="1">
        <v>13</v>
      </c>
      <c r="BI188" s="1">
        <v>40</v>
      </c>
    </row>
    <row r="189" spans="1:182" x14ac:dyDescent="0.2">
      <c r="A189" s="1" t="s">
        <v>916</v>
      </c>
      <c r="B189" s="1" t="s">
        <v>902</v>
      </c>
      <c r="C189" s="1" t="s">
        <v>917</v>
      </c>
      <c r="D189" s="1" t="s">
        <v>918</v>
      </c>
      <c r="E189" s="17" t="s">
        <v>7</v>
      </c>
      <c r="F189" s="1" t="s">
        <v>919</v>
      </c>
      <c r="G189" s="1" t="s">
        <v>748</v>
      </c>
      <c r="H189" s="1" t="s">
        <v>920</v>
      </c>
      <c r="I189" s="1">
        <v>2</v>
      </c>
      <c r="L189" s="17" t="s">
        <v>905</v>
      </c>
      <c r="M189" s="17" t="s">
        <v>29</v>
      </c>
      <c r="N189" s="6">
        <v>1</v>
      </c>
      <c r="O189" s="6"/>
      <c r="S189" s="1">
        <v>65</v>
      </c>
      <c r="AX189" s="1">
        <v>1077</v>
      </c>
      <c r="BC189" s="1">
        <v>10</v>
      </c>
      <c r="BD189" s="1">
        <v>994</v>
      </c>
      <c r="BE189" s="1">
        <v>158</v>
      </c>
      <c r="BG189" s="1">
        <v>30</v>
      </c>
      <c r="BI189" s="1">
        <v>83</v>
      </c>
    </row>
    <row r="190" spans="1:182" x14ac:dyDescent="0.2">
      <c r="A190" s="1" t="s">
        <v>921</v>
      </c>
      <c r="B190" s="1" t="s">
        <v>902</v>
      </c>
      <c r="C190" s="1" t="s">
        <v>922</v>
      </c>
      <c r="D190" s="1" t="s">
        <v>328</v>
      </c>
      <c r="E190" s="17" t="s">
        <v>7</v>
      </c>
      <c r="F190" s="1" t="s">
        <v>667</v>
      </c>
      <c r="G190" s="1" t="s">
        <v>748</v>
      </c>
      <c r="I190" s="1">
        <v>2</v>
      </c>
      <c r="L190" s="17" t="s">
        <v>905</v>
      </c>
      <c r="M190" s="17" t="s">
        <v>29</v>
      </c>
      <c r="N190" s="6">
        <v>1</v>
      </c>
      <c r="O190" s="6"/>
      <c r="S190" s="1">
        <v>12.4</v>
      </c>
      <c r="AX190" s="1">
        <v>115</v>
      </c>
      <c r="AZ190" s="1">
        <v>0.28000000000000003</v>
      </c>
      <c r="BB190" s="1">
        <v>0.04</v>
      </c>
      <c r="BC190" s="1">
        <v>2.8</v>
      </c>
      <c r="BD190" s="1">
        <v>32.4</v>
      </c>
      <c r="BE190" s="1">
        <v>93</v>
      </c>
      <c r="BF190" s="1">
        <v>0.06</v>
      </c>
      <c r="BG190" s="1">
        <v>51</v>
      </c>
      <c r="BI190" s="1">
        <v>53</v>
      </c>
      <c r="BL190" s="1">
        <v>0.45</v>
      </c>
      <c r="BN190" s="1">
        <v>97</v>
      </c>
    </row>
    <row r="191" spans="1:182" x14ac:dyDescent="0.2">
      <c r="A191" s="1" t="s">
        <v>923</v>
      </c>
      <c r="B191" s="1" t="s">
        <v>902</v>
      </c>
      <c r="C191" s="1" t="s">
        <v>924</v>
      </c>
      <c r="D191" s="1" t="s">
        <v>336</v>
      </c>
      <c r="E191" s="17" t="s">
        <v>7</v>
      </c>
      <c r="F191" s="1" t="s">
        <v>337</v>
      </c>
      <c r="G191" s="1" t="s">
        <v>748</v>
      </c>
      <c r="I191" s="1">
        <v>2</v>
      </c>
      <c r="L191" s="17" t="s">
        <v>905</v>
      </c>
      <c r="M191" s="17" t="s">
        <v>29</v>
      </c>
      <c r="N191" s="6">
        <v>1</v>
      </c>
      <c r="O191" s="6"/>
      <c r="S191" s="1">
        <v>8.6999999999999993</v>
      </c>
      <c r="AX191" s="1">
        <v>96</v>
      </c>
      <c r="BC191" s="1">
        <v>2.2999999999999998</v>
      </c>
      <c r="BD191" s="1">
        <v>375</v>
      </c>
      <c r="BE191" s="1">
        <v>35</v>
      </c>
      <c r="BG191" s="1">
        <v>25</v>
      </c>
      <c r="BI191" s="1">
        <v>26</v>
      </c>
    </row>
    <row r="192" spans="1:182" x14ac:dyDescent="0.2">
      <c r="A192" s="1" t="s">
        <v>925</v>
      </c>
      <c r="B192" s="1" t="s">
        <v>926</v>
      </c>
      <c r="C192" s="1" t="s">
        <v>927</v>
      </c>
      <c r="D192" s="1" t="s">
        <v>321</v>
      </c>
      <c r="E192" s="17" t="s">
        <v>7</v>
      </c>
      <c r="F192" s="1" t="s">
        <v>928</v>
      </c>
      <c r="I192" s="1">
        <v>3</v>
      </c>
      <c r="J192" s="1" t="s">
        <v>7697</v>
      </c>
      <c r="L192" s="17" t="s">
        <v>929</v>
      </c>
      <c r="M192" s="17" t="s">
        <v>29</v>
      </c>
      <c r="N192" s="38" t="s">
        <v>7699</v>
      </c>
      <c r="O192" s="6"/>
      <c r="R192" s="1">
        <v>74</v>
      </c>
      <c r="V192" s="1">
        <v>3.42</v>
      </c>
      <c r="AA192" s="1">
        <v>1.02</v>
      </c>
      <c r="AE192" s="1">
        <v>10.53</v>
      </c>
      <c r="AO192" s="1">
        <v>7.73</v>
      </c>
      <c r="AW192" s="1">
        <v>2.89</v>
      </c>
      <c r="AX192" s="1">
        <v>176</v>
      </c>
      <c r="BB192" s="1">
        <v>14.7</v>
      </c>
      <c r="BC192" s="1">
        <v>45.9</v>
      </c>
      <c r="BD192" s="1">
        <v>386</v>
      </c>
      <c r="BE192" s="1">
        <v>150</v>
      </c>
      <c r="BG192" s="1">
        <v>62.7</v>
      </c>
      <c r="BI192" s="1">
        <v>4.0000000000000001E-3</v>
      </c>
      <c r="BL192" s="1">
        <v>5.29</v>
      </c>
      <c r="BN192" s="1">
        <v>26.4</v>
      </c>
      <c r="EB192" s="1">
        <v>34.884</v>
      </c>
      <c r="EC192" s="1">
        <v>54.378</v>
      </c>
      <c r="ED192" s="1">
        <v>87.552000000000007</v>
      </c>
      <c r="EG192" s="1">
        <v>87.552000000000007</v>
      </c>
      <c r="EH192" s="1">
        <v>35.910000000000004</v>
      </c>
      <c r="EI192" s="1">
        <v>19.152000000000001</v>
      </c>
      <c r="EJ192" s="1">
        <v>30.096</v>
      </c>
      <c r="EK192" s="1">
        <v>53.694000000000003</v>
      </c>
      <c r="EL192" s="1">
        <v>54.378</v>
      </c>
      <c r="EM192" s="1">
        <v>6.1559999999999997</v>
      </c>
      <c r="EN192" s="1">
        <v>29.411999999999999</v>
      </c>
      <c r="EP192" s="1">
        <v>31.806000000000001</v>
      </c>
      <c r="EQ192" s="1">
        <v>40.013999999999996</v>
      </c>
      <c r="ES192" s="1">
        <v>27.36</v>
      </c>
      <c r="ET192" s="1">
        <v>47.879999999999995</v>
      </c>
      <c r="FL192" s="1">
        <v>655</v>
      </c>
      <c r="FY192" s="1">
        <v>1222</v>
      </c>
      <c r="FZ192" s="1">
        <v>6.67</v>
      </c>
    </row>
    <row r="193" spans="1:182" x14ac:dyDescent="0.2">
      <c r="A193" s="1" t="s">
        <v>930</v>
      </c>
      <c r="B193" s="1" t="s">
        <v>926</v>
      </c>
      <c r="C193" s="1" t="s">
        <v>931</v>
      </c>
      <c r="D193" s="1" t="s">
        <v>321</v>
      </c>
      <c r="E193" s="17" t="s">
        <v>7</v>
      </c>
      <c r="F193" s="1" t="s">
        <v>932</v>
      </c>
      <c r="I193" s="1">
        <v>3</v>
      </c>
      <c r="J193" s="1" t="s">
        <v>7697</v>
      </c>
      <c r="L193" s="17" t="s">
        <v>929</v>
      </c>
      <c r="M193" s="17" t="s">
        <v>29</v>
      </c>
      <c r="N193" s="38" t="s">
        <v>7699</v>
      </c>
      <c r="O193" s="6"/>
      <c r="R193" s="1">
        <v>85</v>
      </c>
      <c r="V193" s="1">
        <v>2.6</v>
      </c>
      <c r="AA193" s="1">
        <v>0.41</v>
      </c>
      <c r="AE193" s="1">
        <v>8.02</v>
      </c>
      <c r="AO193" s="1">
        <v>2.63</v>
      </c>
      <c r="AW193" s="1">
        <v>1.73</v>
      </c>
      <c r="AX193" s="1">
        <v>38.4</v>
      </c>
      <c r="BB193" s="1">
        <v>5.83</v>
      </c>
      <c r="BC193" s="1">
        <v>0.245</v>
      </c>
      <c r="BD193" s="1">
        <v>387</v>
      </c>
      <c r="BE193" s="1">
        <v>96.3</v>
      </c>
      <c r="BG193" s="1">
        <v>29.1</v>
      </c>
      <c r="BI193" s="1">
        <v>34.1</v>
      </c>
      <c r="BL193" s="1">
        <v>2.2999999999999998</v>
      </c>
      <c r="BN193" s="1">
        <v>2.97</v>
      </c>
      <c r="EB193" s="1">
        <v>20.540000000000003</v>
      </c>
      <c r="EC193" s="1">
        <v>20.540000000000003</v>
      </c>
      <c r="ED193" s="1">
        <v>28.600000000000005</v>
      </c>
      <c r="EG193" s="1">
        <v>49.66</v>
      </c>
      <c r="EH193" s="1">
        <v>20.02</v>
      </c>
      <c r="EI193" s="1">
        <v>9.0999999999999979</v>
      </c>
      <c r="EJ193" s="1">
        <v>14.819999999999999</v>
      </c>
      <c r="EK193" s="1">
        <v>23.400000000000006</v>
      </c>
      <c r="EL193" s="1">
        <v>2.8600000000000003</v>
      </c>
      <c r="EM193" s="1">
        <v>5.46</v>
      </c>
      <c r="EN193" s="1">
        <v>18.72</v>
      </c>
      <c r="EP193" s="1">
        <v>14.040000000000001</v>
      </c>
      <c r="EQ193" s="1">
        <v>5.98</v>
      </c>
      <c r="ES193" s="1">
        <v>11.96</v>
      </c>
      <c r="ET193" s="1">
        <v>17.420000000000002</v>
      </c>
      <c r="FL193" s="1">
        <v>176</v>
      </c>
      <c r="FY193" s="1">
        <v>869</v>
      </c>
      <c r="FZ193" s="1">
        <v>386</v>
      </c>
    </row>
    <row r="194" spans="1:182" x14ac:dyDescent="0.2">
      <c r="A194" s="1" t="s">
        <v>933</v>
      </c>
      <c r="B194" s="1" t="s">
        <v>926</v>
      </c>
      <c r="D194" s="1" t="s">
        <v>934</v>
      </c>
      <c r="E194" s="17" t="s">
        <v>7</v>
      </c>
      <c r="F194" s="1" t="s">
        <v>935</v>
      </c>
      <c r="I194" s="1">
        <v>3</v>
      </c>
      <c r="J194" s="1" t="s">
        <v>7697</v>
      </c>
      <c r="L194" s="17" t="s">
        <v>929</v>
      </c>
      <c r="M194" s="17" t="s">
        <v>29</v>
      </c>
      <c r="N194" s="38" t="s">
        <v>7699</v>
      </c>
      <c r="O194" s="6"/>
      <c r="R194" s="1">
        <v>91</v>
      </c>
      <c r="V194" s="1">
        <v>2.71</v>
      </c>
      <c r="AA194" s="1">
        <v>0.62</v>
      </c>
      <c r="AE194" s="1">
        <v>1.86</v>
      </c>
      <c r="AO194" s="1">
        <v>2.71</v>
      </c>
      <c r="AW194" s="1">
        <v>2.16</v>
      </c>
      <c r="AX194" s="1">
        <v>47.6</v>
      </c>
      <c r="BB194" s="1">
        <v>3.1</v>
      </c>
      <c r="BC194" s="1">
        <v>4.32</v>
      </c>
      <c r="BD194" s="1">
        <v>451</v>
      </c>
      <c r="BE194" s="1">
        <v>53.4</v>
      </c>
      <c r="BG194" s="1">
        <v>25.3</v>
      </c>
      <c r="BI194" s="1">
        <v>12.1</v>
      </c>
      <c r="BL194" s="1">
        <v>2.63</v>
      </c>
      <c r="BN194" s="1">
        <v>0.502</v>
      </c>
      <c r="EB194" s="1">
        <v>14.634</v>
      </c>
      <c r="EC194" s="1">
        <v>13.007999999999999</v>
      </c>
      <c r="ED194" s="1">
        <v>19.782999999999998</v>
      </c>
      <c r="EG194" s="1">
        <v>28.183999999999997</v>
      </c>
      <c r="EH194" s="1">
        <v>14.091999999999999</v>
      </c>
      <c r="EI194" s="1">
        <v>4.3360000000000003</v>
      </c>
      <c r="EJ194" s="1">
        <v>9.4849999999999994</v>
      </c>
      <c r="EK194" s="1">
        <v>14.905000000000001</v>
      </c>
      <c r="EL194" s="1">
        <v>10.026999999999999</v>
      </c>
      <c r="EM194" s="1">
        <v>3.2519999999999998</v>
      </c>
      <c r="EN194" s="1">
        <v>11.653</v>
      </c>
      <c r="EP194" s="1">
        <v>8.6720000000000006</v>
      </c>
      <c r="EQ194" s="1">
        <v>7.0459999999999994</v>
      </c>
      <c r="ES194" s="1">
        <v>4.8779999999999992</v>
      </c>
      <c r="ET194" s="1">
        <v>11.924000000000001</v>
      </c>
      <c r="FL194" s="1">
        <v>9.2799999999999994</v>
      </c>
      <c r="FY194" s="1">
        <v>168</v>
      </c>
      <c r="FZ194" s="1">
        <v>424</v>
      </c>
    </row>
    <row r="195" spans="1:182" x14ac:dyDescent="0.2">
      <c r="A195" s="1" t="s">
        <v>936</v>
      </c>
      <c r="B195" s="1" t="s">
        <v>926</v>
      </c>
      <c r="D195" s="1" t="s">
        <v>937</v>
      </c>
      <c r="E195" s="17" t="s">
        <v>7</v>
      </c>
      <c r="F195" s="1" t="s">
        <v>938</v>
      </c>
      <c r="I195" s="1">
        <v>3</v>
      </c>
      <c r="J195" s="1" t="s">
        <v>7697</v>
      </c>
      <c r="L195" s="17" t="s">
        <v>929</v>
      </c>
      <c r="M195" s="17" t="s">
        <v>29</v>
      </c>
      <c r="N195" s="38" t="s">
        <v>7699</v>
      </c>
      <c r="O195" s="6"/>
      <c r="R195" s="1">
        <v>88</v>
      </c>
      <c r="V195" s="1">
        <v>2.61</v>
      </c>
      <c r="AA195" s="1">
        <v>0.73</v>
      </c>
      <c r="AE195" s="1">
        <v>5.63</v>
      </c>
      <c r="AO195" s="1">
        <v>1.1499999999999999</v>
      </c>
      <c r="AW195" s="1">
        <v>1.48</v>
      </c>
      <c r="AX195" s="1">
        <v>36.1</v>
      </c>
      <c r="BB195" s="1">
        <v>5.45</v>
      </c>
      <c r="BC195" s="1">
        <v>3.42</v>
      </c>
      <c r="BD195" s="1">
        <v>418</v>
      </c>
      <c r="BE195" s="1">
        <v>64</v>
      </c>
      <c r="BG195" s="1">
        <v>20.8</v>
      </c>
      <c r="BI195" s="1">
        <v>16.899999999999999</v>
      </c>
      <c r="BL195" s="1">
        <v>1.65</v>
      </c>
      <c r="BN195" s="1" t="s">
        <v>15</v>
      </c>
      <c r="EB195" s="1">
        <v>8.8740000000000006</v>
      </c>
      <c r="EC195" s="1">
        <v>8.8740000000000006</v>
      </c>
      <c r="ED195" s="1">
        <v>13.049999999999999</v>
      </c>
      <c r="EG195" s="1">
        <v>28.448999999999998</v>
      </c>
      <c r="EH195" s="1">
        <v>7.5689999999999991</v>
      </c>
      <c r="EI195" s="1">
        <v>4.1760000000000002</v>
      </c>
      <c r="EJ195" s="1">
        <v>7.83</v>
      </c>
      <c r="EK195" s="1">
        <v>10.962</v>
      </c>
      <c r="EL195" s="1">
        <v>6.0029999999999992</v>
      </c>
      <c r="EM195" s="1">
        <v>1.5659999999999996</v>
      </c>
      <c r="EN195" s="1">
        <v>14.876999999999997</v>
      </c>
      <c r="EP195" s="1">
        <v>5.742</v>
      </c>
      <c r="EQ195" s="1">
        <v>6.2639999999999985</v>
      </c>
      <c r="ES195" s="1">
        <v>3.915</v>
      </c>
      <c r="ET195" s="1">
        <v>8.8740000000000006</v>
      </c>
      <c r="FL195" s="1">
        <v>131</v>
      </c>
      <c r="FY195" s="1">
        <v>655</v>
      </c>
      <c r="FZ195" s="1">
        <v>481</v>
      </c>
    </row>
    <row r="196" spans="1:182" x14ac:dyDescent="0.2">
      <c r="A196" s="1" t="s">
        <v>939</v>
      </c>
      <c r="B196" s="1" t="s">
        <v>940</v>
      </c>
      <c r="D196" s="1" t="s">
        <v>515</v>
      </c>
      <c r="E196" s="17" t="s">
        <v>7</v>
      </c>
      <c r="F196" s="1" t="s">
        <v>669</v>
      </c>
      <c r="I196" s="1">
        <v>3</v>
      </c>
      <c r="L196" s="17" t="s">
        <v>941</v>
      </c>
      <c r="M196" s="17" t="s">
        <v>29</v>
      </c>
      <c r="N196" s="6">
        <v>1</v>
      </c>
      <c r="O196" s="6"/>
      <c r="R196" s="1">
        <v>94.2</v>
      </c>
      <c r="V196" s="1">
        <v>1.5369999999999993</v>
      </c>
      <c r="BB196" s="1">
        <v>0.11019999999999994</v>
      </c>
      <c r="BC196" s="1">
        <v>35.799999999999997</v>
      </c>
      <c r="BF196" s="1">
        <v>0.34799999999999981</v>
      </c>
      <c r="BL196" s="1">
        <v>0.59159999999999968</v>
      </c>
      <c r="BV196" s="1">
        <v>4000</v>
      </c>
      <c r="CQ196" s="1">
        <v>36.799999999999997</v>
      </c>
    </row>
    <row r="197" spans="1:182" x14ac:dyDescent="0.2">
      <c r="A197" s="1" t="s">
        <v>942</v>
      </c>
      <c r="B197" s="1" t="s">
        <v>940</v>
      </c>
      <c r="D197" s="1" t="s">
        <v>605</v>
      </c>
      <c r="E197" s="17" t="s">
        <v>7</v>
      </c>
      <c r="F197" s="1" t="s">
        <v>606</v>
      </c>
      <c r="I197" s="1">
        <v>3</v>
      </c>
      <c r="L197" s="17" t="s">
        <v>941</v>
      </c>
      <c r="M197" s="17" t="s">
        <v>29</v>
      </c>
      <c r="N197" s="6">
        <v>1</v>
      </c>
      <c r="O197" s="6"/>
      <c r="R197" s="1">
        <v>83.5</v>
      </c>
      <c r="V197" s="1">
        <v>4.3230000000000004</v>
      </c>
      <c r="BB197" s="1">
        <v>0.14849999999999999</v>
      </c>
      <c r="BC197" s="1">
        <v>26.8</v>
      </c>
      <c r="BF197" s="1">
        <v>0.39600000000000002</v>
      </c>
      <c r="BL197" s="1">
        <v>0.51149999999999995</v>
      </c>
      <c r="BV197" s="1">
        <v>5400</v>
      </c>
      <c r="CQ197" s="1">
        <v>107.7</v>
      </c>
    </row>
    <row r="198" spans="1:182" x14ac:dyDescent="0.2">
      <c r="A198" s="1" t="s">
        <v>943</v>
      </c>
      <c r="B198" s="1" t="s">
        <v>940</v>
      </c>
      <c r="D198" s="1" t="s">
        <v>328</v>
      </c>
      <c r="E198" s="17" t="s">
        <v>7</v>
      </c>
      <c r="F198" s="1" t="s">
        <v>667</v>
      </c>
      <c r="I198" s="1">
        <v>3</v>
      </c>
      <c r="L198" s="17" t="s">
        <v>941</v>
      </c>
      <c r="M198" s="17" t="s">
        <v>29</v>
      </c>
      <c r="N198" s="6">
        <v>1</v>
      </c>
      <c r="O198" s="6"/>
      <c r="R198" s="1">
        <v>88.2</v>
      </c>
      <c r="V198" s="1">
        <v>3.646199999999999</v>
      </c>
      <c r="BB198" s="1">
        <v>0.18879999999999997</v>
      </c>
      <c r="BC198" s="1">
        <v>50.6</v>
      </c>
      <c r="BF198" s="1">
        <v>0.47199999999999986</v>
      </c>
      <c r="BL198" s="1">
        <v>0.61359999999999981</v>
      </c>
      <c r="BV198" s="1">
        <v>4300</v>
      </c>
      <c r="CQ198" s="1">
        <v>23.9</v>
      </c>
    </row>
    <row r="199" spans="1:182" x14ac:dyDescent="0.2">
      <c r="A199" s="1" t="s">
        <v>944</v>
      </c>
      <c r="B199" s="1" t="s">
        <v>940</v>
      </c>
      <c r="D199" s="1" t="s">
        <v>945</v>
      </c>
      <c r="E199" s="17" t="s">
        <v>7</v>
      </c>
      <c r="F199" s="1" t="s">
        <v>688</v>
      </c>
      <c r="I199" s="1">
        <v>3</v>
      </c>
      <c r="L199" s="17" t="s">
        <v>941</v>
      </c>
      <c r="M199" s="17" t="s">
        <v>29</v>
      </c>
      <c r="N199" s="6">
        <v>1</v>
      </c>
      <c r="O199" s="6"/>
      <c r="R199" s="1">
        <v>75.099999999999994</v>
      </c>
      <c r="V199" s="1">
        <v>6.5238000000000014</v>
      </c>
      <c r="BB199" s="1">
        <v>0.42330000000000007</v>
      </c>
      <c r="BC199" s="1">
        <v>84.4</v>
      </c>
      <c r="BF199" s="1">
        <v>1.2450000000000003</v>
      </c>
      <c r="BL199" s="1">
        <v>2.1165000000000003</v>
      </c>
      <c r="BV199" s="1">
        <v>11800</v>
      </c>
      <c r="CQ199" s="1">
        <v>110.4</v>
      </c>
    </row>
    <row r="200" spans="1:182" x14ac:dyDescent="0.2">
      <c r="A200" s="1" t="s">
        <v>946</v>
      </c>
      <c r="B200" s="1" t="s">
        <v>940</v>
      </c>
      <c r="D200" s="1" t="s">
        <v>947</v>
      </c>
      <c r="E200" s="17" t="s">
        <v>7</v>
      </c>
      <c r="F200" s="1" t="s">
        <v>675</v>
      </c>
      <c r="I200" s="1">
        <v>3</v>
      </c>
      <c r="L200" s="17" t="s">
        <v>941</v>
      </c>
      <c r="M200" s="17" t="s">
        <v>29</v>
      </c>
      <c r="N200" s="6">
        <v>1</v>
      </c>
      <c r="O200" s="6"/>
      <c r="R200" s="1">
        <v>86.8</v>
      </c>
      <c r="V200" s="1">
        <v>3.9468000000000005</v>
      </c>
      <c r="BB200" s="1">
        <v>0.19800000000000004</v>
      </c>
      <c r="BC200" s="1">
        <v>66.8</v>
      </c>
      <c r="BF200" s="1">
        <v>0.62040000000000017</v>
      </c>
      <c r="BL200" s="1">
        <v>0.73920000000000019</v>
      </c>
      <c r="BV200" s="1">
        <v>7200</v>
      </c>
      <c r="CQ200" s="1">
        <v>42.4</v>
      </c>
    </row>
    <row r="201" spans="1:182" x14ac:dyDescent="0.2">
      <c r="A201" s="1" t="s">
        <v>948</v>
      </c>
      <c r="B201" s="1" t="s">
        <v>940</v>
      </c>
      <c r="D201" s="1" t="s">
        <v>328</v>
      </c>
      <c r="E201" s="17" t="s">
        <v>7</v>
      </c>
      <c r="F201" s="1" t="s">
        <v>667</v>
      </c>
      <c r="I201" s="1">
        <v>3</v>
      </c>
      <c r="L201" s="17" t="s">
        <v>941</v>
      </c>
      <c r="M201" s="17" t="s">
        <v>29</v>
      </c>
      <c r="N201" s="6">
        <v>1</v>
      </c>
      <c r="O201" s="6"/>
      <c r="R201" s="1">
        <v>88.2</v>
      </c>
      <c r="V201" s="1">
        <v>3.6461999999999999</v>
      </c>
      <c r="BV201" s="1">
        <v>4300</v>
      </c>
      <c r="CQ201" s="1">
        <v>23.9</v>
      </c>
    </row>
    <row r="202" spans="1:182" x14ac:dyDescent="0.2">
      <c r="A202" s="1" t="s">
        <v>949</v>
      </c>
      <c r="B202" s="1" t="s">
        <v>940</v>
      </c>
      <c r="D202" s="1" t="s">
        <v>945</v>
      </c>
      <c r="E202" s="17" t="s">
        <v>7</v>
      </c>
      <c r="F202" s="1" t="s">
        <v>688</v>
      </c>
      <c r="I202" s="1">
        <v>3</v>
      </c>
      <c r="L202" s="17" t="s">
        <v>941</v>
      </c>
      <c r="M202" s="17" t="s">
        <v>29</v>
      </c>
      <c r="N202" s="6">
        <v>1</v>
      </c>
      <c r="O202" s="6"/>
      <c r="R202" s="1">
        <v>75.099999999999994</v>
      </c>
      <c r="V202" s="1">
        <v>6.4451999999999998</v>
      </c>
      <c r="BV202" s="1">
        <v>11800</v>
      </c>
      <c r="CQ202" s="1">
        <v>110.4</v>
      </c>
    </row>
    <row r="203" spans="1:182" x14ac:dyDescent="0.2">
      <c r="A203" s="1" t="s">
        <v>950</v>
      </c>
      <c r="B203" s="1" t="s">
        <v>940</v>
      </c>
      <c r="D203" s="1" t="s">
        <v>515</v>
      </c>
      <c r="E203" s="17" t="s">
        <v>7</v>
      </c>
      <c r="F203" s="1" t="s">
        <v>669</v>
      </c>
      <c r="I203" s="1">
        <v>3</v>
      </c>
      <c r="L203" s="17" t="s">
        <v>941</v>
      </c>
      <c r="M203" s="17" t="s">
        <v>29</v>
      </c>
      <c r="N203" s="6">
        <v>1</v>
      </c>
      <c r="O203" s="6"/>
      <c r="R203" s="1">
        <v>94.2</v>
      </c>
      <c r="V203" s="1">
        <v>1.5369999999999999</v>
      </c>
      <c r="BV203" s="1">
        <v>4000</v>
      </c>
      <c r="CQ203" s="1">
        <v>36.799999999999997</v>
      </c>
    </row>
    <row r="204" spans="1:182" x14ac:dyDescent="0.2">
      <c r="A204" s="1" t="s">
        <v>951</v>
      </c>
      <c r="B204" s="1" t="s">
        <v>940</v>
      </c>
      <c r="D204" s="1" t="s">
        <v>947</v>
      </c>
      <c r="E204" s="17" t="s">
        <v>7</v>
      </c>
      <c r="F204" s="1" t="s">
        <v>675</v>
      </c>
      <c r="I204" s="1">
        <v>3</v>
      </c>
      <c r="L204" s="17" t="s">
        <v>941</v>
      </c>
      <c r="M204" s="17" t="s">
        <v>29</v>
      </c>
      <c r="N204" s="6">
        <v>1</v>
      </c>
      <c r="O204" s="6"/>
      <c r="R204" s="1">
        <v>86.8</v>
      </c>
      <c r="V204" s="1">
        <v>3.9468000000000001</v>
      </c>
      <c r="BV204" s="1">
        <v>7200</v>
      </c>
      <c r="CQ204" s="1">
        <v>42.4</v>
      </c>
    </row>
    <row r="205" spans="1:182" x14ac:dyDescent="0.2">
      <c r="A205" s="1" t="s">
        <v>952</v>
      </c>
      <c r="B205" s="1" t="s">
        <v>940</v>
      </c>
      <c r="D205" s="1" t="s">
        <v>605</v>
      </c>
      <c r="E205" s="17" t="s">
        <v>7</v>
      </c>
      <c r="F205" s="1" t="s">
        <v>606</v>
      </c>
      <c r="I205" s="1">
        <v>3</v>
      </c>
      <c r="L205" s="17" t="s">
        <v>941</v>
      </c>
      <c r="M205" s="17" t="s">
        <v>29</v>
      </c>
      <c r="N205" s="6">
        <v>1</v>
      </c>
      <c r="O205" s="6"/>
      <c r="R205" s="1">
        <v>83.5</v>
      </c>
      <c r="V205" s="1">
        <v>4.3230000000000004</v>
      </c>
      <c r="BV205" s="1">
        <v>5400</v>
      </c>
      <c r="CQ205" s="1">
        <v>107.7</v>
      </c>
    </row>
    <row r="206" spans="1:182" x14ac:dyDescent="0.2">
      <c r="A206" s="1" t="s">
        <v>953</v>
      </c>
      <c r="B206" s="1" t="s">
        <v>954</v>
      </c>
      <c r="D206" s="1" t="s">
        <v>955</v>
      </c>
      <c r="E206" s="17" t="s">
        <v>7</v>
      </c>
      <c r="F206" s="1" t="s">
        <v>337</v>
      </c>
      <c r="H206" s="1" t="s">
        <v>956</v>
      </c>
      <c r="I206" s="1">
        <v>3</v>
      </c>
      <c r="J206" s="1" t="s">
        <v>957</v>
      </c>
      <c r="L206" s="17" t="s">
        <v>958</v>
      </c>
      <c r="M206" s="17" t="s">
        <v>29</v>
      </c>
      <c r="N206" s="6">
        <v>1</v>
      </c>
      <c r="O206" s="6"/>
      <c r="Q206" s="1">
        <v>36</v>
      </c>
      <c r="R206" s="1">
        <v>87.71</v>
      </c>
      <c r="X206" s="1">
        <v>2.97</v>
      </c>
      <c r="AX206" s="1">
        <v>138</v>
      </c>
      <c r="BE206" s="1">
        <v>50</v>
      </c>
      <c r="BI206" s="1">
        <v>58</v>
      </c>
      <c r="CQ206" s="1">
        <v>133</v>
      </c>
    </row>
    <row r="207" spans="1:182" x14ac:dyDescent="0.2">
      <c r="A207" s="1" t="s">
        <v>959</v>
      </c>
      <c r="B207" s="1" t="s">
        <v>954</v>
      </c>
      <c r="D207" s="1" t="s">
        <v>960</v>
      </c>
      <c r="E207" s="17" t="s">
        <v>7</v>
      </c>
      <c r="F207" s="1" t="s">
        <v>961</v>
      </c>
      <c r="H207" s="1" t="s">
        <v>956</v>
      </c>
      <c r="I207" s="1">
        <v>3</v>
      </c>
      <c r="J207" s="1" t="s">
        <v>957</v>
      </c>
      <c r="L207" s="17" t="s">
        <v>958</v>
      </c>
      <c r="M207" s="17" t="s">
        <v>29</v>
      </c>
      <c r="N207" s="6">
        <v>1</v>
      </c>
      <c r="O207" s="6"/>
      <c r="Q207" s="1">
        <v>43</v>
      </c>
      <c r="R207" s="1">
        <v>85.95</v>
      </c>
      <c r="X207" s="1">
        <v>3.46</v>
      </c>
      <c r="AX207" s="1">
        <v>208</v>
      </c>
      <c r="BE207" s="1">
        <v>55</v>
      </c>
      <c r="BI207" s="1">
        <v>66</v>
      </c>
      <c r="CQ207" s="1">
        <v>85</v>
      </c>
    </row>
    <row r="208" spans="1:182" x14ac:dyDescent="0.2">
      <c r="A208" s="1" t="s">
        <v>962</v>
      </c>
      <c r="B208" s="1" t="s">
        <v>954</v>
      </c>
      <c r="D208" s="1" t="s">
        <v>680</v>
      </c>
      <c r="E208" s="17" t="s">
        <v>7</v>
      </c>
      <c r="F208" s="1" t="s">
        <v>578</v>
      </c>
      <c r="H208" s="1" t="s">
        <v>956</v>
      </c>
      <c r="I208" s="1">
        <v>3</v>
      </c>
      <c r="J208" s="1" t="s">
        <v>957</v>
      </c>
      <c r="L208" s="17" t="s">
        <v>958</v>
      </c>
      <c r="M208" s="17" t="s">
        <v>29</v>
      </c>
      <c r="N208" s="6">
        <v>1</v>
      </c>
      <c r="O208" s="6"/>
      <c r="Q208" s="1">
        <v>14</v>
      </c>
      <c r="R208" s="1">
        <v>94.91</v>
      </c>
      <c r="X208" s="1">
        <v>1.62</v>
      </c>
      <c r="AX208" s="1">
        <v>36</v>
      </c>
      <c r="BE208" s="1">
        <v>6</v>
      </c>
      <c r="BI208" s="1">
        <v>45</v>
      </c>
      <c r="CQ208" s="1">
        <v>24</v>
      </c>
    </row>
    <row r="209" spans="1:97" x14ac:dyDescent="0.2">
      <c r="A209" s="1" t="s">
        <v>963</v>
      </c>
      <c r="B209" s="1" t="s">
        <v>954</v>
      </c>
      <c r="D209" s="1" t="s">
        <v>826</v>
      </c>
      <c r="E209" s="17" t="s">
        <v>7</v>
      </c>
      <c r="F209" s="1" t="s">
        <v>675</v>
      </c>
      <c r="H209" s="1" t="s">
        <v>956</v>
      </c>
      <c r="I209" s="1">
        <v>3</v>
      </c>
      <c r="J209" s="1" t="s">
        <v>957</v>
      </c>
      <c r="L209" s="17" t="s">
        <v>958</v>
      </c>
      <c r="M209" s="17" t="s">
        <v>29</v>
      </c>
      <c r="N209" s="6">
        <v>1</v>
      </c>
      <c r="O209" s="6"/>
      <c r="Q209" s="1">
        <v>24</v>
      </c>
      <c r="R209" s="1">
        <v>92.52</v>
      </c>
      <c r="X209" s="1">
        <v>1.21</v>
      </c>
      <c r="AX209" s="1">
        <v>47</v>
      </c>
      <c r="BE209" s="1">
        <v>15</v>
      </c>
      <c r="BI209" s="1">
        <v>23</v>
      </c>
      <c r="CQ209" s="1">
        <v>51</v>
      </c>
    </row>
    <row r="210" spans="1:97" x14ac:dyDescent="0.2">
      <c r="A210" s="1" t="s">
        <v>964</v>
      </c>
      <c r="B210" s="1" t="s">
        <v>965</v>
      </c>
      <c r="D210" s="1" t="s">
        <v>605</v>
      </c>
      <c r="E210" s="17" t="s">
        <v>7</v>
      </c>
      <c r="F210" s="1" t="s">
        <v>966</v>
      </c>
      <c r="I210" s="1">
        <v>2</v>
      </c>
      <c r="J210" s="1" t="s">
        <v>967</v>
      </c>
      <c r="L210" s="17" t="s">
        <v>968</v>
      </c>
      <c r="M210" s="17" t="s">
        <v>29</v>
      </c>
      <c r="N210" s="6">
        <v>1</v>
      </c>
      <c r="O210" s="6"/>
      <c r="R210" s="1">
        <v>90.7</v>
      </c>
      <c r="X210" s="1">
        <v>2.12</v>
      </c>
      <c r="AA210" s="1">
        <v>0.35</v>
      </c>
      <c r="AP210" s="1">
        <v>3.72</v>
      </c>
      <c r="AW210" s="1">
        <v>1.81</v>
      </c>
      <c r="AX210" s="1">
        <v>183</v>
      </c>
      <c r="BC210" s="1">
        <v>8.68</v>
      </c>
      <c r="BI210" s="1">
        <v>45</v>
      </c>
      <c r="BV210" s="1">
        <v>10960</v>
      </c>
      <c r="CS210" s="1">
        <v>37.299999999999997</v>
      </c>
    </row>
    <row r="211" spans="1:97" x14ac:dyDescent="0.2">
      <c r="A211" s="1" t="s">
        <v>969</v>
      </c>
      <c r="B211" s="1" t="s">
        <v>965</v>
      </c>
      <c r="D211" s="1" t="s">
        <v>636</v>
      </c>
      <c r="E211" s="17" t="s">
        <v>11</v>
      </c>
      <c r="F211" s="1" t="s">
        <v>966</v>
      </c>
      <c r="H211" s="1" t="s">
        <v>970</v>
      </c>
      <c r="I211" s="1">
        <v>2</v>
      </c>
      <c r="J211" s="1" t="s">
        <v>967</v>
      </c>
      <c r="L211" s="17" t="s">
        <v>968</v>
      </c>
      <c r="M211" s="17" t="s">
        <v>29</v>
      </c>
      <c r="N211" s="6">
        <v>1</v>
      </c>
      <c r="O211" s="6"/>
      <c r="R211" s="1">
        <v>90.2</v>
      </c>
      <c r="X211" s="1">
        <v>2.1800000000000002</v>
      </c>
      <c r="AA211" s="1">
        <v>0.37</v>
      </c>
      <c r="AP211" s="1">
        <v>3.99</v>
      </c>
      <c r="AW211" s="1">
        <v>1.9</v>
      </c>
      <c r="AX211" s="1">
        <v>195</v>
      </c>
      <c r="BC211" s="1">
        <v>8.8699999999999992</v>
      </c>
      <c r="BI211" s="1">
        <v>50</v>
      </c>
      <c r="BV211" s="1">
        <v>13860</v>
      </c>
      <c r="CS211" s="1">
        <v>12.6</v>
      </c>
    </row>
    <row r="212" spans="1:97" x14ac:dyDescent="0.2">
      <c r="A212" s="1" t="s">
        <v>971</v>
      </c>
      <c r="B212" s="1" t="s">
        <v>965</v>
      </c>
      <c r="D212" s="1" t="s">
        <v>972</v>
      </c>
      <c r="E212" s="17" t="s">
        <v>11</v>
      </c>
      <c r="F212" s="1" t="s">
        <v>966</v>
      </c>
      <c r="H212" s="1" t="s">
        <v>973</v>
      </c>
      <c r="I212" s="1">
        <v>2</v>
      </c>
      <c r="J212" s="1" t="s">
        <v>967</v>
      </c>
      <c r="L212" s="17" t="s">
        <v>968</v>
      </c>
      <c r="M212" s="17" t="s">
        <v>29</v>
      </c>
      <c r="N212" s="6">
        <v>1</v>
      </c>
      <c r="O212" s="6"/>
      <c r="R212" s="1">
        <v>90</v>
      </c>
      <c r="X212" s="1">
        <v>2.23</v>
      </c>
      <c r="AA212" s="1">
        <v>0.42</v>
      </c>
      <c r="AP212" s="1">
        <v>3.97</v>
      </c>
      <c r="AW212" s="1">
        <v>1.86</v>
      </c>
      <c r="AX212" s="1">
        <v>190</v>
      </c>
      <c r="BC212" s="1">
        <v>7.84</v>
      </c>
      <c r="BI212" s="1">
        <v>47</v>
      </c>
      <c r="BV212" s="1">
        <v>19170</v>
      </c>
      <c r="CS212" s="1">
        <v>7.9</v>
      </c>
    </row>
    <row r="213" spans="1:97" x14ac:dyDescent="0.2">
      <c r="A213" s="1" t="s">
        <v>974</v>
      </c>
      <c r="B213" s="1" t="s">
        <v>965</v>
      </c>
      <c r="D213" s="1" t="s">
        <v>975</v>
      </c>
      <c r="E213" s="17" t="s">
        <v>11</v>
      </c>
      <c r="F213" s="1" t="s">
        <v>966</v>
      </c>
      <c r="H213" s="1" t="s">
        <v>976</v>
      </c>
      <c r="I213" s="1">
        <v>2</v>
      </c>
      <c r="J213" s="1" t="s">
        <v>967</v>
      </c>
      <c r="L213" s="17" t="s">
        <v>968</v>
      </c>
      <c r="M213" s="17" t="s">
        <v>29</v>
      </c>
      <c r="N213" s="6">
        <v>1</v>
      </c>
      <c r="O213" s="6"/>
      <c r="R213" s="1">
        <v>89.1</v>
      </c>
      <c r="X213" s="1">
        <v>2.42</v>
      </c>
      <c r="AA213" s="1">
        <v>0.38</v>
      </c>
      <c r="AP213" s="1">
        <v>3.64</v>
      </c>
      <c r="AW213" s="1">
        <v>1.96</v>
      </c>
      <c r="AX213" s="1">
        <v>182</v>
      </c>
      <c r="BC213" s="1">
        <v>8.7899999999999991</v>
      </c>
      <c r="BI213" s="1">
        <v>53</v>
      </c>
      <c r="BV213" s="1">
        <v>11750</v>
      </c>
      <c r="CS213" s="1">
        <v>12.1</v>
      </c>
    </row>
    <row r="214" spans="1:97" x14ac:dyDescent="0.2">
      <c r="A214" s="1" t="s">
        <v>977</v>
      </c>
      <c r="B214" s="1" t="s">
        <v>965</v>
      </c>
      <c r="C214" s="1" t="s">
        <v>643</v>
      </c>
      <c r="D214" s="1" t="s">
        <v>321</v>
      </c>
      <c r="E214" s="17" t="s">
        <v>7</v>
      </c>
      <c r="F214" s="1" t="s">
        <v>606</v>
      </c>
      <c r="I214" s="1">
        <v>2</v>
      </c>
      <c r="J214" s="1" t="s">
        <v>967</v>
      </c>
      <c r="L214" s="17" t="s">
        <v>968</v>
      </c>
      <c r="M214" s="17" t="s">
        <v>29</v>
      </c>
      <c r="N214" s="6">
        <v>1</v>
      </c>
      <c r="O214" s="6"/>
      <c r="R214" s="1">
        <v>91</v>
      </c>
      <c r="X214" s="1">
        <v>2.39</v>
      </c>
      <c r="AA214" s="1">
        <v>0.28999999999999998</v>
      </c>
      <c r="AP214" s="1">
        <v>3.65</v>
      </c>
      <c r="AW214" s="1">
        <v>1.75</v>
      </c>
      <c r="AX214" s="1">
        <v>192</v>
      </c>
      <c r="BC214" s="1">
        <v>5.92</v>
      </c>
      <c r="BI214" s="1">
        <v>65</v>
      </c>
      <c r="BV214" s="1">
        <v>14300</v>
      </c>
      <c r="CS214" s="1">
        <v>24.3</v>
      </c>
    </row>
    <row r="215" spans="1:97" x14ac:dyDescent="0.2">
      <c r="A215" s="1" t="s">
        <v>978</v>
      </c>
      <c r="B215" s="1" t="s">
        <v>965</v>
      </c>
      <c r="C215" s="1" t="s">
        <v>643</v>
      </c>
      <c r="D215" s="1" t="s">
        <v>324</v>
      </c>
      <c r="E215" s="17" t="s">
        <v>11</v>
      </c>
      <c r="F215" s="1" t="s">
        <v>606</v>
      </c>
      <c r="H215" s="1" t="s">
        <v>979</v>
      </c>
      <c r="I215" s="1">
        <v>2</v>
      </c>
      <c r="J215" s="1" t="s">
        <v>967</v>
      </c>
      <c r="L215" s="17" t="s">
        <v>968</v>
      </c>
      <c r="M215" s="17" t="s">
        <v>29</v>
      </c>
      <c r="N215" s="6">
        <v>1</v>
      </c>
      <c r="O215" s="6"/>
      <c r="R215" s="1">
        <v>90.4</v>
      </c>
      <c r="X215" s="1">
        <v>2.63</v>
      </c>
      <c r="AA215" s="1">
        <v>0.37</v>
      </c>
      <c r="AP215" s="1">
        <v>3.85</v>
      </c>
      <c r="AW215" s="1">
        <v>1.77</v>
      </c>
      <c r="AX215" s="1">
        <v>201</v>
      </c>
      <c r="BC215" s="1">
        <v>5.67</v>
      </c>
      <c r="BI215" s="1">
        <v>67</v>
      </c>
      <c r="BV215" s="1">
        <v>14230</v>
      </c>
      <c r="CS215" s="1">
        <v>13.2</v>
      </c>
    </row>
    <row r="216" spans="1:97" x14ac:dyDescent="0.2">
      <c r="A216" s="1" t="s">
        <v>980</v>
      </c>
      <c r="B216" s="1" t="s">
        <v>965</v>
      </c>
      <c r="C216" s="1" t="s">
        <v>643</v>
      </c>
      <c r="D216" s="1" t="s">
        <v>981</v>
      </c>
      <c r="E216" s="17" t="s">
        <v>11</v>
      </c>
      <c r="F216" s="1" t="s">
        <v>606</v>
      </c>
      <c r="H216" s="1" t="s">
        <v>982</v>
      </c>
      <c r="I216" s="1">
        <v>2</v>
      </c>
      <c r="J216" s="1" t="s">
        <v>967</v>
      </c>
      <c r="L216" s="17" t="s">
        <v>968</v>
      </c>
      <c r="M216" s="17" t="s">
        <v>29</v>
      </c>
      <c r="N216" s="6">
        <v>1</v>
      </c>
      <c r="O216" s="6"/>
      <c r="R216" s="1">
        <v>90.5</v>
      </c>
      <c r="X216" s="1">
        <v>2.42</v>
      </c>
      <c r="AA216" s="1">
        <v>0.42</v>
      </c>
      <c r="AP216" s="1">
        <v>3.68</v>
      </c>
      <c r="AW216" s="1">
        <v>1.65</v>
      </c>
      <c r="AX216" s="1">
        <v>190</v>
      </c>
      <c r="BC216" s="1">
        <v>5.84</v>
      </c>
      <c r="BI216" s="1">
        <v>60</v>
      </c>
      <c r="BV216" s="1">
        <v>23960</v>
      </c>
      <c r="CS216" s="1">
        <v>8</v>
      </c>
    </row>
    <row r="217" spans="1:97" x14ac:dyDescent="0.2">
      <c r="A217" s="1" t="s">
        <v>983</v>
      </c>
      <c r="B217" s="1" t="s">
        <v>965</v>
      </c>
      <c r="C217" s="1" t="s">
        <v>643</v>
      </c>
      <c r="D217" s="1" t="s">
        <v>984</v>
      </c>
      <c r="E217" s="17" t="s">
        <v>11</v>
      </c>
      <c r="F217" s="1" t="s">
        <v>606</v>
      </c>
      <c r="H217" s="1" t="s">
        <v>985</v>
      </c>
      <c r="I217" s="1">
        <v>2</v>
      </c>
      <c r="J217" s="1" t="s">
        <v>967</v>
      </c>
      <c r="L217" s="17" t="s">
        <v>968</v>
      </c>
      <c r="M217" s="17" t="s">
        <v>29</v>
      </c>
      <c r="N217" s="6">
        <v>1</v>
      </c>
      <c r="O217" s="6"/>
      <c r="R217" s="1">
        <v>90.3</v>
      </c>
      <c r="X217" s="1">
        <v>2.48</v>
      </c>
      <c r="AA217" s="1">
        <v>0.37</v>
      </c>
      <c r="AP217" s="1">
        <v>3.71</v>
      </c>
      <c r="AW217" s="1">
        <v>1.77</v>
      </c>
      <c r="AX217" s="1">
        <v>209</v>
      </c>
      <c r="BC217" s="1">
        <v>5.96</v>
      </c>
      <c r="BI217" s="1">
        <v>68</v>
      </c>
      <c r="BV217" s="1">
        <v>23510</v>
      </c>
      <c r="CS217" s="1">
        <v>12.2</v>
      </c>
    </row>
    <row r="218" spans="1:97" x14ac:dyDescent="0.2">
      <c r="A218" s="1" t="s">
        <v>986</v>
      </c>
      <c r="B218" s="1" t="s">
        <v>965</v>
      </c>
      <c r="C218" s="1" t="s">
        <v>653</v>
      </c>
      <c r="D218" s="1" t="s">
        <v>321</v>
      </c>
      <c r="E218" s="17" t="s">
        <v>7</v>
      </c>
      <c r="F218" s="1" t="s">
        <v>654</v>
      </c>
      <c r="I218" s="1">
        <v>2</v>
      </c>
      <c r="J218" s="1" t="s">
        <v>967</v>
      </c>
      <c r="L218" s="17" t="s">
        <v>968</v>
      </c>
      <c r="M218" s="17" t="s">
        <v>29</v>
      </c>
      <c r="N218" s="6">
        <v>1</v>
      </c>
      <c r="O218" s="6"/>
      <c r="R218" s="1">
        <v>90.4</v>
      </c>
      <c r="X218" s="1">
        <v>2.6</v>
      </c>
      <c r="AA218" s="1">
        <v>0.47</v>
      </c>
      <c r="AP218" s="1">
        <v>3.42</v>
      </c>
      <c r="AW218" s="1">
        <v>1.62</v>
      </c>
      <c r="AX218" s="1">
        <v>113</v>
      </c>
      <c r="BC218" s="1">
        <v>3.38</v>
      </c>
      <c r="BI218" s="1">
        <v>40</v>
      </c>
      <c r="BV218" s="1">
        <v>21010</v>
      </c>
      <c r="CS218" s="1">
        <v>35</v>
      </c>
    </row>
    <row r="219" spans="1:97" x14ac:dyDescent="0.2">
      <c r="A219" s="1" t="s">
        <v>987</v>
      </c>
      <c r="B219" s="1" t="s">
        <v>965</v>
      </c>
      <c r="C219" s="1" t="s">
        <v>653</v>
      </c>
      <c r="D219" s="1" t="s">
        <v>324</v>
      </c>
      <c r="E219" s="17" t="s">
        <v>11</v>
      </c>
      <c r="F219" s="1" t="s">
        <v>654</v>
      </c>
      <c r="H219" s="1" t="s">
        <v>988</v>
      </c>
      <c r="I219" s="1">
        <v>2</v>
      </c>
      <c r="J219" s="1" t="s">
        <v>967</v>
      </c>
      <c r="L219" s="17" t="s">
        <v>968</v>
      </c>
      <c r="M219" s="17" t="s">
        <v>29</v>
      </c>
      <c r="N219" s="6">
        <v>1</v>
      </c>
      <c r="O219" s="6"/>
      <c r="R219" s="1">
        <v>89.5</v>
      </c>
      <c r="X219" s="1">
        <v>2.71</v>
      </c>
      <c r="AA219" s="1">
        <v>0.42</v>
      </c>
      <c r="AP219" s="1">
        <v>3.51</v>
      </c>
      <c r="AW219" s="1">
        <v>1.74</v>
      </c>
      <c r="AX219" s="1">
        <v>106</v>
      </c>
      <c r="BC219" s="1">
        <v>5.03</v>
      </c>
      <c r="BI219" s="1">
        <v>51</v>
      </c>
      <c r="BV219" s="1">
        <v>31470</v>
      </c>
      <c r="CS219" s="1">
        <v>18.899999999999999</v>
      </c>
    </row>
    <row r="220" spans="1:97" x14ac:dyDescent="0.2">
      <c r="A220" s="1" t="s">
        <v>989</v>
      </c>
      <c r="B220" s="1" t="s">
        <v>965</v>
      </c>
      <c r="C220" s="1" t="s">
        <v>653</v>
      </c>
      <c r="D220" s="1" t="s">
        <v>981</v>
      </c>
      <c r="E220" s="17" t="s">
        <v>11</v>
      </c>
      <c r="F220" s="1" t="s">
        <v>654</v>
      </c>
      <c r="H220" s="1" t="s">
        <v>990</v>
      </c>
      <c r="I220" s="1">
        <v>2</v>
      </c>
      <c r="J220" s="1" t="s">
        <v>967</v>
      </c>
      <c r="L220" s="17" t="s">
        <v>968</v>
      </c>
      <c r="M220" s="17" t="s">
        <v>29</v>
      </c>
      <c r="N220" s="6">
        <v>1</v>
      </c>
      <c r="O220" s="6"/>
      <c r="R220" s="1">
        <v>90.8</v>
      </c>
      <c r="X220" s="1">
        <v>2.5099999999999998</v>
      </c>
      <c r="AA220" s="1">
        <v>0.49</v>
      </c>
      <c r="AP220" s="1">
        <v>3.45</v>
      </c>
      <c r="AW220" s="1">
        <v>1.53</v>
      </c>
      <c r="AX220" s="1">
        <v>109</v>
      </c>
      <c r="BC220" s="1">
        <v>4.1900000000000004</v>
      </c>
      <c r="BI220" s="1">
        <v>42</v>
      </c>
      <c r="BV220" s="1">
        <v>21810</v>
      </c>
      <c r="CS220" s="1">
        <v>20.6</v>
      </c>
    </row>
    <row r="221" spans="1:97" x14ac:dyDescent="0.2">
      <c r="A221" s="1" t="s">
        <v>991</v>
      </c>
      <c r="B221" s="1" t="s">
        <v>965</v>
      </c>
      <c r="C221" s="1" t="s">
        <v>653</v>
      </c>
      <c r="D221" s="1" t="s">
        <v>984</v>
      </c>
      <c r="E221" s="17" t="s">
        <v>11</v>
      </c>
      <c r="F221" s="1" t="s">
        <v>654</v>
      </c>
      <c r="H221" s="1" t="s">
        <v>992</v>
      </c>
      <c r="I221" s="1">
        <v>2</v>
      </c>
      <c r="J221" s="1" t="s">
        <v>967</v>
      </c>
      <c r="L221" s="17" t="s">
        <v>968</v>
      </c>
      <c r="M221" s="17" t="s">
        <v>29</v>
      </c>
      <c r="N221" s="6">
        <v>1</v>
      </c>
      <c r="O221" s="6"/>
      <c r="R221" s="1">
        <v>88.3</v>
      </c>
      <c r="X221" s="1">
        <v>2.92</v>
      </c>
      <c r="AA221" s="1">
        <v>0.55000000000000004</v>
      </c>
      <c r="AP221" s="1">
        <v>4.0599999999999996</v>
      </c>
      <c r="AW221" s="1">
        <v>1.63</v>
      </c>
      <c r="AX221" s="1">
        <v>137</v>
      </c>
      <c r="BC221" s="1">
        <v>4.45</v>
      </c>
      <c r="BI221" s="1">
        <v>53</v>
      </c>
      <c r="BV221" s="1">
        <v>31670</v>
      </c>
      <c r="CS221" s="1">
        <v>18.399999999999999</v>
      </c>
    </row>
    <row r="222" spans="1:97" x14ac:dyDescent="0.2">
      <c r="A222" s="1" t="s">
        <v>993</v>
      </c>
      <c r="B222" s="1" t="s">
        <v>965</v>
      </c>
      <c r="D222" s="1" t="s">
        <v>515</v>
      </c>
      <c r="E222" s="17" t="s">
        <v>7</v>
      </c>
      <c r="F222" s="1" t="s">
        <v>669</v>
      </c>
      <c r="I222" s="1">
        <v>2</v>
      </c>
      <c r="J222" s="1" t="s">
        <v>967</v>
      </c>
      <c r="L222" s="17" t="s">
        <v>968</v>
      </c>
      <c r="M222" s="17" t="s">
        <v>29</v>
      </c>
      <c r="N222" s="6">
        <v>1</v>
      </c>
      <c r="O222" s="6"/>
      <c r="R222" s="1">
        <v>94.7</v>
      </c>
      <c r="X222" s="1">
        <v>1.51</v>
      </c>
      <c r="AA222" s="1">
        <v>0.17</v>
      </c>
      <c r="AP222" s="1">
        <v>1.87</v>
      </c>
      <c r="AW222" s="1">
        <v>1.25</v>
      </c>
      <c r="AX222" s="1">
        <v>38</v>
      </c>
      <c r="BC222" s="1">
        <v>3</v>
      </c>
      <c r="BI222" s="1">
        <v>26</v>
      </c>
      <c r="BV222" s="1">
        <v>3570</v>
      </c>
      <c r="CS222" s="1">
        <v>9.4</v>
      </c>
    </row>
    <row r="223" spans="1:97" x14ac:dyDescent="0.2">
      <c r="A223" s="1" t="s">
        <v>994</v>
      </c>
      <c r="B223" s="1" t="s">
        <v>965</v>
      </c>
      <c r="D223" s="1" t="s">
        <v>995</v>
      </c>
      <c r="E223" s="17" t="s">
        <v>11</v>
      </c>
      <c r="F223" s="1" t="s">
        <v>669</v>
      </c>
      <c r="H223" s="1" t="s">
        <v>988</v>
      </c>
      <c r="I223" s="1">
        <v>2</v>
      </c>
      <c r="J223" s="1" t="s">
        <v>967</v>
      </c>
      <c r="L223" s="17" t="s">
        <v>968</v>
      </c>
      <c r="M223" s="17" t="s">
        <v>29</v>
      </c>
      <c r="N223" s="6">
        <v>1</v>
      </c>
      <c r="O223" s="6"/>
      <c r="R223" s="1">
        <v>92.6</v>
      </c>
      <c r="X223" s="1">
        <v>2.17</v>
      </c>
      <c r="AA223" s="1">
        <v>0.4</v>
      </c>
      <c r="AP223" s="1">
        <v>2.23</v>
      </c>
      <c r="AW223" s="1">
        <v>1.59</v>
      </c>
      <c r="AX223" s="1">
        <v>55</v>
      </c>
      <c r="BC223" s="1">
        <v>2.97</v>
      </c>
      <c r="BI223" s="1">
        <v>32</v>
      </c>
      <c r="BV223" s="1">
        <v>6540</v>
      </c>
      <c r="CS223" s="1">
        <v>0.46</v>
      </c>
    </row>
    <row r="224" spans="1:97" x14ac:dyDescent="0.2">
      <c r="A224" s="1" t="s">
        <v>996</v>
      </c>
      <c r="B224" s="1" t="s">
        <v>965</v>
      </c>
      <c r="D224" s="1" t="s">
        <v>997</v>
      </c>
      <c r="E224" s="17" t="s">
        <v>11</v>
      </c>
      <c r="F224" s="1" t="s">
        <v>669</v>
      </c>
      <c r="H224" s="1" t="s">
        <v>990</v>
      </c>
      <c r="I224" s="1">
        <v>2</v>
      </c>
      <c r="J224" s="1" t="s">
        <v>967</v>
      </c>
      <c r="L224" s="17" t="s">
        <v>968</v>
      </c>
      <c r="M224" s="17" t="s">
        <v>29</v>
      </c>
      <c r="N224" s="6">
        <v>1</v>
      </c>
      <c r="O224" s="6"/>
      <c r="R224" s="1">
        <v>93.3</v>
      </c>
      <c r="X224" s="1">
        <v>2.0499999999999998</v>
      </c>
      <c r="AA224" s="1">
        <v>0.4</v>
      </c>
      <c r="AP224" s="1">
        <v>2.2400000000000002</v>
      </c>
      <c r="AW224" s="1">
        <v>1.29</v>
      </c>
      <c r="AX224" s="1">
        <v>52</v>
      </c>
      <c r="BC224" s="1">
        <v>2.69</v>
      </c>
      <c r="BI224" s="1">
        <v>30</v>
      </c>
      <c r="BV224" s="1">
        <v>6200</v>
      </c>
      <c r="CS224" s="1">
        <v>0.72</v>
      </c>
    </row>
    <row r="225" spans="1:97" x14ac:dyDescent="0.2">
      <c r="A225" s="1" t="s">
        <v>998</v>
      </c>
      <c r="B225" s="1" t="s">
        <v>965</v>
      </c>
      <c r="D225" s="1" t="s">
        <v>999</v>
      </c>
      <c r="E225" s="17" t="s">
        <v>11</v>
      </c>
      <c r="F225" s="1" t="s">
        <v>669</v>
      </c>
      <c r="H225" s="1" t="s">
        <v>992</v>
      </c>
      <c r="I225" s="1">
        <v>2</v>
      </c>
      <c r="J225" s="1" t="s">
        <v>967</v>
      </c>
      <c r="L225" s="17" t="s">
        <v>968</v>
      </c>
      <c r="M225" s="17" t="s">
        <v>29</v>
      </c>
      <c r="N225" s="6">
        <v>1</v>
      </c>
      <c r="O225" s="6"/>
      <c r="R225" s="1">
        <v>93</v>
      </c>
      <c r="X225" s="1">
        <v>1.92</v>
      </c>
      <c r="AA225" s="1">
        <v>0.39</v>
      </c>
      <c r="AP225" s="1">
        <v>2.2999999999999998</v>
      </c>
      <c r="AW225" s="1">
        <v>1.45</v>
      </c>
      <c r="AX225" s="1">
        <v>53</v>
      </c>
      <c r="BC225" s="1">
        <v>3.56</v>
      </c>
      <c r="BI225" s="1">
        <v>30</v>
      </c>
      <c r="BV225" s="1">
        <v>5180</v>
      </c>
      <c r="CS225" s="1">
        <v>0.52</v>
      </c>
    </row>
    <row r="226" spans="1:97" x14ac:dyDescent="0.2">
      <c r="A226" s="1" t="s">
        <v>1000</v>
      </c>
      <c r="B226" s="1" t="s">
        <v>1001</v>
      </c>
      <c r="C226" s="1" t="s">
        <v>1002</v>
      </c>
      <c r="D226" s="1" t="s">
        <v>321</v>
      </c>
      <c r="E226" s="17" t="s">
        <v>7</v>
      </c>
      <c r="F226" s="1" t="s">
        <v>1003</v>
      </c>
      <c r="L226" s="17" t="s">
        <v>1004</v>
      </c>
      <c r="M226" s="17" t="s">
        <v>29</v>
      </c>
      <c r="N226" s="6">
        <v>1</v>
      </c>
      <c r="O226" s="6"/>
      <c r="S226" s="1">
        <v>14.5</v>
      </c>
      <c r="CP226" s="1">
        <v>75.834999999999994</v>
      </c>
      <c r="CQ226" s="1">
        <v>75.834999999999994</v>
      </c>
    </row>
    <row r="227" spans="1:97" x14ac:dyDescent="0.2">
      <c r="A227" s="1" t="s">
        <v>1005</v>
      </c>
      <c r="B227" s="1" t="s">
        <v>1001</v>
      </c>
      <c r="C227" s="1" t="s">
        <v>1002</v>
      </c>
      <c r="D227" s="1" t="s">
        <v>1006</v>
      </c>
      <c r="E227" s="17" t="s">
        <v>11</v>
      </c>
      <c r="F227" s="1" t="s">
        <v>1003</v>
      </c>
      <c r="H227" s="1" t="s">
        <v>1007</v>
      </c>
      <c r="L227" s="17" t="s">
        <v>1004</v>
      </c>
      <c r="M227" s="17" t="s">
        <v>29</v>
      </c>
      <c r="N227" s="6">
        <v>1</v>
      </c>
      <c r="O227" s="6"/>
      <c r="S227" s="1">
        <v>14.5</v>
      </c>
      <c r="CP227" s="1">
        <v>15.08</v>
      </c>
      <c r="CQ227" s="1">
        <v>11.455</v>
      </c>
      <c r="CR227" s="1">
        <v>3.625</v>
      </c>
    </row>
    <row r="228" spans="1:97" x14ac:dyDescent="0.2">
      <c r="A228" s="1" t="s">
        <v>1008</v>
      </c>
      <c r="B228" s="1" t="s">
        <v>563</v>
      </c>
      <c r="D228" s="1" t="s">
        <v>515</v>
      </c>
      <c r="E228" s="17" t="s">
        <v>7</v>
      </c>
      <c r="F228" s="1" t="s">
        <v>669</v>
      </c>
      <c r="G228" s="1" t="s">
        <v>1009</v>
      </c>
      <c r="H228" s="1" t="s">
        <v>1010</v>
      </c>
      <c r="I228" s="1">
        <v>3</v>
      </c>
      <c r="L228" s="17" t="s">
        <v>1011</v>
      </c>
      <c r="M228" s="17" t="s">
        <v>29</v>
      </c>
      <c r="N228" s="6">
        <v>1</v>
      </c>
      <c r="O228" s="6"/>
      <c r="BB228" s="1">
        <v>0.09</v>
      </c>
      <c r="BC228" s="1">
        <v>2.2000000000000002</v>
      </c>
      <c r="BI228" s="1">
        <v>142.6</v>
      </c>
      <c r="BL228" s="1">
        <v>0.33</v>
      </c>
    </row>
    <row r="229" spans="1:97" x14ac:dyDescent="0.2">
      <c r="A229" s="1" t="s">
        <v>1012</v>
      </c>
      <c r="B229" s="1" t="s">
        <v>563</v>
      </c>
      <c r="D229" s="1" t="s">
        <v>515</v>
      </c>
      <c r="E229" s="17" t="s">
        <v>7</v>
      </c>
      <c r="F229" s="1" t="s">
        <v>669</v>
      </c>
      <c r="G229" s="1" t="s">
        <v>1009</v>
      </c>
      <c r="H229" s="1" t="s">
        <v>1013</v>
      </c>
      <c r="I229" s="1">
        <v>3</v>
      </c>
      <c r="L229" s="17" t="s">
        <v>1011</v>
      </c>
      <c r="M229" s="17" t="s">
        <v>29</v>
      </c>
      <c r="N229" s="6">
        <v>1</v>
      </c>
      <c r="O229" s="6"/>
      <c r="BB229" s="1">
        <v>0.13</v>
      </c>
      <c r="BC229" s="1">
        <v>1</v>
      </c>
      <c r="BI229" s="1">
        <v>123.5</v>
      </c>
      <c r="BL229" s="1">
        <v>0.19</v>
      </c>
    </row>
    <row r="230" spans="1:97" x14ac:dyDescent="0.2">
      <c r="A230" s="1" t="s">
        <v>1014</v>
      </c>
      <c r="B230" s="1" t="s">
        <v>563</v>
      </c>
      <c r="D230" s="1" t="s">
        <v>515</v>
      </c>
      <c r="E230" s="17" t="s">
        <v>7</v>
      </c>
      <c r="F230" s="1" t="s">
        <v>669</v>
      </c>
      <c r="G230" s="1" t="s">
        <v>1009</v>
      </c>
      <c r="H230" s="1" t="s">
        <v>1015</v>
      </c>
      <c r="I230" s="1">
        <v>3</v>
      </c>
      <c r="L230" s="17" t="s">
        <v>1011</v>
      </c>
      <c r="M230" s="17" t="s">
        <v>29</v>
      </c>
      <c r="N230" s="6">
        <v>1</v>
      </c>
      <c r="O230" s="6"/>
      <c r="BB230" s="1">
        <v>0.12</v>
      </c>
      <c r="BC230" s="1">
        <v>1.5</v>
      </c>
      <c r="BI230" s="1">
        <v>120</v>
      </c>
      <c r="BL230" s="1">
        <v>0.3</v>
      </c>
    </row>
    <row r="231" spans="1:97" x14ac:dyDescent="0.2">
      <c r="A231" s="1" t="s">
        <v>1016</v>
      </c>
      <c r="B231" s="1" t="s">
        <v>563</v>
      </c>
      <c r="D231" s="1" t="s">
        <v>515</v>
      </c>
      <c r="E231" s="17" t="s">
        <v>7</v>
      </c>
      <c r="F231" s="1" t="s">
        <v>669</v>
      </c>
      <c r="G231" s="1" t="s">
        <v>1009</v>
      </c>
      <c r="H231" s="1" t="s">
        <v>1017</v>
      </c>
      <c r="I231" s="1">
        <v>3</v>
      </c>
      <c r="L231" s="17" t="s">
        <v>1011</v>
      </c>
      <c r="M231" s="17" t="s">
        <v>29</v>
      </c>
      <c r="N231" s="6">
        <v>1</v>
      </c>
      <c r="O231" s="6"/>
      <c r="BB231" s="1">
        <v>0.08</v>
      </c>
      <c r="BC231" s="1">
        <v>2</v>
      </c>
      <c r="BI231" s="1">
        <v>144.9</v>
      </c>
      <c r="BL231" s="1">
        <v>0.33</v>
      </c>
    </row>
    <row r="232" spans="1:97" x14ac:dyDescent="0.2">
      <c r="A232" s="1" t="s">
        <v>1018</v>
      </c>
      <c r="B232" s="1" t="s">
        <v>563</v>
      </c>
      <c r="D232" s="1" t="s">
        <v>515</v>
      </c>
      <c r="E232" s="17" t="s">
        <v>7</v>
      </c>
      <c r="F232" s="1" t="s">
        <v>669</v>
      </c>
      <c r="G232" s="1" t="s">
        <v>1009</v>
      </c>
      <c r="H232" s="1" t="s">
        <v>1019</v>
      </c>
      <c r="I232" s="1">
        <v>3</v>
      </c>
      <c r="L232" s="17" t="s">
        <v>1011</v>
      </c>
      <c r="M232" s="17" t="s">
        <v>29</v>
      </c>
      <c r="N232" s="6">
        <v>1</v>
      </c>
      <c r="O232" s="6"/>
      <c r="BB232" s="1">
        <v>0.15</v>
      </c>
      <c r="BC232" s="1">
        <v>2.5</v>
      </c>
      <c r="BI232" s="1">
        <v>123.7</v>
      </c>
      <c r="BL232" s="1">
        <v>0.37</v>
      </c>
    </row>
    <row r="233" spans="1:97" x14ac:dyDescent="0.2">
      <c r="A233" s="1" t="s">
        <v>1020</v>
      </c>
      <c r="B233" s="1" t="s">
        <v>563</v>
      </c>
      <c r="C233" s="1" t="s">
        <v>672</v>
      </c>
      <c r="D233" s="1" t="s">
        <v>321</v>
      </c>
      <c r="E233" s="17" t="s">
        <v>7</v>
      </c>
      <c r="F233" s="1" t="s">
        <v>1021</v>
      </c>
      <c r="G233" s="1" t="s">
        <v>1022</v>
      </c>
      <c r="H233" s="1" t="s">
        <v>1010</v>
      </c>
      <c r="I233" s="1">
        <v>3</v>
      </c>
      <c r="L233" s="17" t="s">
        <v>1011</v>
      </c>
      <c r="M233" s="17" t="s">
        <v>29</v>
      </c>
      <c r="N233" s="6">
        <v>1</v>
      </c>
      <c r="O233" s="6"/>
      <c r="BB233" s="1">
        <v>0.1</v>
      </c>
      <c r="BC233" s="1">
        <v>1.6</v>
      </c>
      <c r="BI233" s="1">
        <v>57.5</v>
      </c>
      <c r="BL233" s="1">
        <v>0.24</v>
      </c>
    </row>
    <row r="234" spans="1:97" x14ac:dyDescent="0.2">
      <c r="A234" s="1" t="s">
        <v>1023</v>
      </c>
      <c r="B234" s="1" t="s">
        <v>563</v>
      </c>
      <c r="C234" s="1" t="s">
        <v>672</v>
      </c>
      <c r="D234" s="1" t="s">
        <v>321</v>
      </c>
      <c r="E234" s="17" t="s">
        <v>7</v>
      </c>
      <c r="F234" s="1" t="s">
        <v>1021</v>
      </c>
      <c r="G234" s="1" t="s">
        <v>1022</v>
      </c>
      <c r="H234" s="1" t="s">
        <v>1013</v>
      </c>
      <c r="I234" s="1">
        <v>3</v>
      </c>
      <c r="L234" s="17" t="s">
        <v>1011</v>
      </c>
      <c r="M234" s="17" t="s">
        <v>29</v>
      </c>
      <c r="N234" s="6">
        <v>1</v>
      </c>
      <c r="O234" s="6"/>
      <c r="BB234" s="1">
        <v>0.14000000000000001</v>
      </c>
      <c r="BC234" s="1">
        <v>5.2</v>
      </c>
      <c r="BI234" s="1">
        <v>69</v>
      </c>
      <c r="BL234" s="1">
        <v>0.27</v>
      </c>
    </row>
    <row r="235" spans="1:97" x14ac:dyDescent="0.2">
      <c r="A235" s="1" t="s">
        <v>1024</v>
      </c>
      <c r="B235" s="1" t="s">
        <v>563</v>
      </c>
      <c r="C235" s="1" t="s">
        <v>672</v>
      </c>
      <c r="D235" s="1" t="s">
        <v>321</v>
      </c>
      <c r="E235" s="17" t="s">
        <v>7</v>
      </c>
      <c r="F235" s="1" t="s">
        <v>1021</v>
      </c>
      <c r="G235" s="1" t="s">
        <v>1022</v>
      </c>
      <c r="H235" s="1" t="s">
        <v>1025</v>
      </c>
      <c r="I235" s="1">
        <v>3</v>
      </c>
      <c r="L235" s="17" t="s">
        <v>1011</v>
      </c>
      <c r="M235" s="17" t="s">
        <v>29</v>
      </c>
      <c r="N235" s="6">
        <v>1</v>
      </c>
      <c r="O235" s="6"/>
      <c r="BB235" s="1">
        <v>7.0000000000000007E-2</v>
      </c>
      <c r="BC235" s="1">
        <v>1.8</v>
      </c>
      <c r="BI235" s="1">
        <v>62.3</v>
      </c>
      <c r="BL235" s="1">
        <v>0.25</v>
      </c>
    </row>
    <row r="236" spans="1:97" x14ac:dyDescent="0.2">
      <c r="A236" s="1" t="s">
        <v>1026</v>
      </c>
      <c r="B236" s="1" t="s">
        <v>563</v>
      </c>
      <c r="C236" s="1" t="s">
        <v>672</v>
      </c>
      <c r="D236" s="1" t="s">
        <v>321</v>
      </c>
      <c r="E236" s="17" t="s">
        <v>7</v>
      </c>
      <c r="F236" s="1" t="s">
        <v>1021</v>
      </c>
      <c r="G236" s="1" t="s">
        <v>1022</v>
      </c>
      <c r="H236" s="1" t="s">
        <v>1017</v>
      </c>
      <c r="I236" s="1">
        <v>3</v>
      </c>
      <c r="L236" s="17" t="s">
        <v>1011</v>
      </c>
      <c r="M236" s="17" t="s">
        <v>29</v>
      </c>
      <c r="N236" s="6">
        <v>1</v>
      </c>
      <c r="O236" s="6"/>
      <c r="BB236" s="1">
        <v>0.04</v>
      </c>
      <c r="BC236" s="1">
        <v>2.2999999999999998</v>
      </c>
      <c r="BI236" s="1">
        <v>61.6</v>
      </c>
      <c r="BL236" s="1">
        <v>0.25</v>
      </c>
    </row>
    <row r="237" spans="1:97" x14ac:dyDescent="0.2">
      <c r="A237" s="1" t="s">
        <v>1027</v>
      </c>
      <c r="B237" s="1" t="s">
        <v>563</v>
      </c>
      <c r="C237" s="1" t="s">
        <v>672</v>
      </c>
      <c r="D237" s="1" t="s">
        <v>321</v>
      </c>
      <c r="E237" s="17" t="s">
        <v>7</v>
      </c>
      <c r="F237" s="1" t="s">
        <v>1021</v>
      </c>
      <c r="G237" s="1" t="s">
        <v>1022</v>
      </c>
      <c r="H237" s="1" t="s">
        <v>1019</v>
      </c>
      <c r="I237" s="1">
        <v>3</v>
      </c>
      <c r="L237" s="17" t="s">
        <v>1011</v>
      </c>
      <c r="M237" s="17" t="s">
        <v>29</v>
      </c>
      <c r="N237" s="6">
        <v>1</v>
      </c>
      <c r="O237" s="6"/>
      <c r="BB237" s="1">
        <v>0.53</v>
      </c>
      <c r="BC237" s="1">
        <v>3.2</v>
      </c>
      <c r="BI237" s="1">
        <v>61.2</v>
      </c>
      <c r="BL237" s="1">
        <v>0.27</v>
      </c>
    </row>
    <row r="238" spans="1:97" x14ac:dyDescent="0.2">
      <c r="A238" s="1" t="s">
        <v>1028</v>
      </c>
      <c r="B238" s="1" t="s">
        <v>1029</v>
      </c>
      <c r="D238" s="1" t="s">
        <v>515</v>
      </c>
      <c r="E238" s="17" t="s">
        <v>7</v>
      </c>
      <c r="F238" s="1" t="s">
        <v>669</v>
      </c>
      <c r="I238" s="1">
        <v>3</v>
      </c>
      <c r="L238" s="17" t="s">
        <v>1030</v>
      </c>
      <c r="M238" s="17" t="s">
        <v>29</v>
      </c>
      <c r="N238" s="6">
        <v>1</v>
      </c>
      <c r="O238" s="6"/>
      <c r="BV238" s="1">
        <v>2330</v>
      </c>
      <c r="CB238" s="1">
        <v>2830</v>
      </c>
      <c r="CC238" s="1">
        <v>630</v>
      </c>
      <c r="CE238" s="1">
        <v>1370</v>
      </c>
    </row>
    <row r="239" spans="1:97" x14ac:dyDescent="0.2">
      <c r="A239" s="1" t="s">
        <v>1031</v>
      </c>
      <c r="B239" s="1" t="s">
        <v>1029</v>
      </c>
      <c r="D239" s="1" t="s">
        <v>1032</v>
      </c>
      <c r="E239" s="17" t="s">
        <v>11</v>
      </c>
      <c r="F239" s="1" t="s">
        <v>669</v>
      </c>
      <c r="H239" s="1" t="s">
        <v>1033</v>
      </c>
      <c r="I239" s="1">
        <v>3</v>
      </c>
      <c r="L239" s="17" t="s">
        <v>1030</v>
      </c>
      <c r="M239" s="17" t="s">
        <v>29</v>
      </c>
      <c r="N239" s="6">
        <v>1</v>
      </c>
      <c r="O239" s="6"/>
      <c r="BV239" s="1">
        <v>2760</v>
      </c>
      <c r="CB239" s="1">
        <v>3250</v>
      </c>
      <c r="CC239" s="1">
        <v>580</v>
      </c>
      <c r="CE239" s="1">
        <v>450</v>
      </c>
    </row>
    <row r="240" spans="1:97" x14ac:dyDescent="0.2">
      <c r="A240" s="1" t="s">
        <v>1034</v>
      </c>
      <c r="B240" s="1" t="s">
        <v>1029</v>
      </c>
      <c r="D240" s="1" t="s">
        <v>999</v>
      </c>
      <c r="E240" s="17" t="s">
        <v>11</v>
      </c>
      <c r="F240" s="1" t="s">
        <v>669</v>
      </c>
      <c r="H240" s="1" t="s">
        <v>1035</v>
      </c>
      <c r="I240" s="1">
        <v>3</v>
      </c>
      <c r="L240" s="17" t="s">
        <v>1030</v>
      </c>
      <c r="M240" s="17" t="s">
        <v>29</v>
      </c>
      <c r="N240" s="6">
        <v>1</v>
      </c>
      <c r="O240" s="6"/>
      <c r="BV240" s="1">
        <v>2450</v>
      </c>
      <c r="CB240" s="1">
        <v>3280</v>
      </c>
      <c r="CC240" s="1">
        <v>760</v>
      </c>
      <c r="CE240" s="1">
        <v>580</v>
      </c>
    </row>
    <row r="241" spans="1:95" x14ac:dyDescent="0.2">
      <c r="A241" s="1" t="s">
        <v>1036</v>
      </c>
      <c r="B241" s="1" t="s">
        <v>1029</v>
      </c>
      <c r="D241" s="1" t="s">
        <v>1037</v>
      </c>
      <c r="E241" s="17" t="s">
        <v>7</v>
      </c>
      <c r="F241" s="1" t="s">
        <v>461</v>
      </c>
      <c r="I241" s="1">
        <v>3</v>
      </c>
      <c r="L241" s="17" t="s">
        <v>1030</v>
      </c>
      <c r="M241" s="17" t="s">
        <v>29</v>
      </c>
      <c r="N241" s="6">
        <v>1</v>
      </c>
      <c r="O241" s="6"/>
      <c r="BV241" s="1">
        <v>8900</v>
      </c>
      <c r="CB241" s="1">
        <v>9500</v>
      </c>
      <c r="CC241" s="1">
        <v>2360</v>
      </c>
      <c r="CE241" s="1">
        <v>7400</v>
      </c>
    </row>
    <row r="242" spans="1:95" x14ac:dyDescent="0.2">
      <c r="A242" s="1" t="s">
        <v>1038</v>
      </c>
      <c r="B242" s="1" t="s">
        <v>1029</v>
      </c>
      <c r="D242" s="1" t="s">
        <v>1039</v>
      </c>
      <c r="E242" s="17" t="s">
        <v>11</v>
      </c>
      <c r="F242" s="1" t="s">
        <v>461</v>
      </c>
      <c r="H242" s="1" t="s">
        <v>1033</v>
      </c>
      <c r="I242" s="1">
        <v>3</v>
      </c>
      <c r="L242" s="17" t="s">
        <v>1030</v>
      </c>
      <c r="M242" s="17" t="s">
        <v>29</v>
      </c>
      <c r="N242" s="6">
        <v>1</v>
      </c>
      <c r="O242" s="6"/>
      <c r="BV242" s="1">
        <v>9860</v>
      </c>
      <c r="CB242" s="1">
        <v>10600</v>
      </c>
      <c r="CC242" s="1">
        <v>2470</v>
      </c>
      <c r="CE242" s="1">
        <v>4900</v>
      </c>
    </row>
    <row r="243" spans="1:95" x14ac:dyDescent="0.2">
      <c r="A243" s="1" t="s">
        <v>1040</v>
      </c>
      <c r="B243" s="1" t="s">
        <v>1029</v>
      </c>
      <c r="D243" s="1" t="s">
        <v>1041</v>
      </c>
      <c r="E243" s="17" t="s">
        <v>11</v>
      </c>
      <c r="F243" s="1" t="s">
        <v>461</v>
      </c>
      <c r="H243" s="1" t="s">
        <v>1042</v>
      </c>
      <c r="I243" s="1">
        <v>3</v>
      </c>
      <c r="L243" s="17" t="s">
        <v>1030</v>
      </c>
      <c r="M243" s="17" t="s">
        <v>29</v>
      </c>
      <c r="N243" s="6">
        <v>1</v>
      </c>
      <c r="O243" s="6"/>
      <c r="BV243" s="1">
        <v>9100</v>
      </c>
      <c r="CB243" s="1">
        <v>8730</v>
      </c>
      <c r="CC243" s="1">
        <v>2260</v>
      </c>
      <c r="CE243" s="1">
        <v>4800</v>
      </c>
    </row>
    <row r="244" spans="1:95" x14ac:dyDescent="0.2">
      <c r="A244" s="1" t="s">
        <v>1043</v>
      </c>
      <c r="B244" s="1" t="s">
        <v>1001</v>
      </c>
      <c r="C244" s="1" t="s">
        <v>809</v>
      </c>
      <c r="D244" s="1" t="s">
        <v>321</v>
      </c>
      <c r="E244" s="17" t="s">
        <v>7</v>
      </c>
      <c r="F244" s="1" t="s">
        <v>810</v>
      </c>
      <c r="L244" s="17" t="s">
        <v>1044</v>
      </c>
      <c r="M244" s="17" t="s">
        <v>29</v>
      </c>
      <c r="N244" s="6">
        <v>1</v>
      </c>
      <c r="O244" s="6"/>
      <c r="S244" s="1">
        <v>42</v>
      </c>
      <c r="CQ244" s="1">
        <v>25.7</v>
      </c>
    </row>
    <row r="245" spans="1:95" x14ac:dyDescent="0.2">
      <c r="A245" s="1" t="s">
        <v>1045</v>
      </c>
      <c r="B245" s="1" t="s">
        <v>1001</v>
      </c>
      <c r="C245" s="1" t="s">
        <v>809</v>
      </c>
      <c r="D245" s="1" t="s">
        <v>324</v>
      </c>
      <c r="E245" s="17" t="s">
        <v>11</v>
      </c>
      <c r="F245" s="1" t="s">
        <v>810</v>
      </c>
      <c r="H245" s="1" t="s">
        <v>1046</v>
      </c>
      <c r="L245" s="17" t="s">
        <v>1044</v>
      </c>
      <c r="M245" s="17" t="s">
        <v>29</v>
      </c>
      <c r="N245" s="6">
        <v>1</v>
      </c>
      <c r="O245" s="6"/>
      <c r="S245" s="1">
        <v>42</v>
      </c>
      <c r="CQ245" s="1">
        <v>19.899999999999999</v>
      </c>
    </row>
    <row r="246" spans="1:95" x14ac:dyDescent="0.2">
      <c r="A246" s="1" t="s">
        <v>1047</v>
      </c>
      <c r="B246" s="1" t="s">
        <v>1001</v>
      </c>
      <c r="C246" s="1" t="s">
        <v>809</v>
      </c>
      <c r="D246" s="1" t="s">
        <v>324</v>
      </c>
      <c r="E246" s="17" t="s">
        <v>11</v>
      </c>
      <c r="F246" s="1" t="s">
        <v>810</v>
      </c>
      <c r="H246" s="1" t="s">
        <v>1048</v>
      </c>
      <c r="L246" s="17" t="s">
        <v>1044</v>
      </c>
      <c r="M246" s="17" t="s">
        <v>29</v>
      </c>
      <c r="N246" s="6">
        <v>1</v>
      </c>
      <c r="O246" s="6"/>
      <c r="S246" s="1">
        <v>42</v>
      </c>
      <c r="CQ246" s="1">
        <v>15.9</v>
      </c>
    </row>
    <row r="247" spans="1:95" x14ac:dyDescent="0.2">
      <c r="A247" s="1" t="s">
        <v>1049</v>
      </c>
      <c r="B247" s="1" t="s">
        <v>1001</v>
      </c>
      <c r="C247" s="1" t="s">
        <v>809</v>
      </c>
      <c r="D247" s="1" t="s">
        <v>324</v>
      </c>
      <c r="E247" s="17" t="s">
        <v>11</v>
      </c>
      <c r="F247" s="1" t="s">
        <v>810</v>
      </c>
      <c r="H247" s="1" t="s">
        <v>1050</v>
      </c>
      <c r="L247" s="17" t="s">
        <v>1044</v>
      </c>
      <c r="M247" s="17" t="s">
        <v>29</v>
      </c>
      <c r="N247" s="6">
        <v>1</v>
      </c>
      <c r="O247" s="6"/>
      <c r="S247" s="1">
        <v>42</v>
      </c>
      <c r="CQ247" s="1">
        <v>10.5</v>
      </c>
    </row>
    <row r="248" spans="1:95" x14ac:dyDescent="0.2">
      <c r="A248" s="1" t="s">
        <v>1051</v>
      </c>
      <c r="B248" s="1" t="s">
        <v>1001</v>
      </c>
      <c r="D248" s="1" t="s">
        <v>1052</v>
      </c>
      <c r="E248" s="17" t="s">
        <v>7</v>
      </c>
      <c r="F248" s="1" t="s">
        <v>1053</v>
      </c>
      <c r="L248" s="17" t="s">
        <v>1044</v>
      </c>
      <c r="M248" s="17" t="s">
        <v>29</v>
      </c>
      <c r="N248" s="6">
        <v>1</v>
      </c>
      <c r="O248" s="6"/>
      <c r="S248" s="1">
        <v>29</v>
      </c>
      <c r="CQ248" s="1">
        <v>34.4</v>
      </c>
    </row>
    <row r="249" spans="1:95" x14ac:dyDescent="0.2">
      <c r="A249" s="1" t="s">
        <v>1054</v>
      </c>
      <c r="B249" s="1" t="s">
        <v>1001</v>
      </c>
      <c r="D249" s="1" t="s">
        <v>1055</v>
      </c>
      <c r="E249" s="17" t="s">
        <v>11</v>
      </c>
      <c r="F249" s="1" t="s">
        <v>1053</v>
      </c>
      <c r="H249" s="1" t="s">
        <v>1046</v>
      </c>
      <c r="L249" s="17" t="s">
        <v>1044</v>
      </c>
      <c r="M249" s="17" t="s">
        <v>29</v>
      </c>
      <c r="N249" s="6">
        <v>1</v>
      </c>
      <c r="O249" s="6"/>
      <c r="S249" s="1">
        <v>29</v>
      </c>
      <c r="CQ249" s="1">
        <v>27.7</v>
      </c>
    </row>
    <row r="250" spans="1:95" x14ac:dyDescent="0.2">
      <c r="A250" s="1" t="s">
        <v>1056</v>
      </c>
      <c r="B250" s="1" t="s">
        <v>1001</v>
      </c>
      <c r="D250" s="1" t="s">
        <v>1055</v>
      </c>
      <c r="E250" s="17" t="s">
        <v>11</v>
      </c>
      <c r="F250" s="1" t="s">
        <v>1053</v>
      </c>
      <c r="H250" s="1" t="s">
        <v>1048</v>
      </c>
      <c r="L250" s="17" t="s">
        <v>1044</v>
      </c>
      <c r="M250" s="17" t="s">
        <v>29</v>
      </c>
      <c r="N250" s="6">
        <v>1</v>
      </c>
      <c r="O250" s="6"/>
      <c r="S250" s="1">
        <v>29</v>
      </c>
      <c r="CQ250" s="1">
        <v>19.899999999999999</v>
      </c>
    </row>
    <row r="251" spans="1:95" x14ac:dyDescent="0.2">
      <c r="A251" s="1" t="s">
        <v>1057</v>
      </c>
      <c r="B251" s="1" t="s">
        <v>1001</v>
      </c>
      <c r="D251" s="1" t="s">
        <v>1058</v>
      </c>
      <c r="E251" s="17" t="s">
        <v>11</v>
      </c>
      <c r="F251" s="1" t="s">
        <v>1053</v>
      </c>
      <c r="H251" s="1" t="s">
        <v>1050</v>
      </c>
      <c r="L251" s="17" t="s">
        <v>1044</v>
      </c>
      <c r="M251" s="17" t="s">
        <v>29</v>
      </c>
      <c r="N251" s="6">
        <v>1</v>
      </c>
      <c r="O251" s="6"/>
      <c r="S251" s="1">
        <v>29</v>
      </c>
      <c r="CQ251" s="1">
        <v>6.8</v>
      </c>
    </row>
    <row r="252" spans="1:95" x14ac:dyDescent="0.2">
      <c r="A252" s="15" t="s">
        <v>6490</v>
      </c>
      <c r="B252" s="1" t="s">
        <v>6176</v>
      </c>
      <c r="D252" s="1" t="s">
        <v>6316</v>
      </c>
      <c r="E252" s="17" t="s">
        <v>11</v>
      </c>
      <c r="F252" s="1" t="s">
        <v>6317</v>
      </c>
      <c r="G252" s="1" t="s">
        <v>6179</v>
      </c>
      <c r="J252" s="1" t="s">
        <v>6180</v>
      </c>
      <c r="K252" s="1">
        <v>1989</v>
      </c>
      <c r="L252" s="17" t="s">
        <v>6181</v>
      </c>
      <c r="M252" s="17" t="s">
        <v>6182</v>
      </c>
      <c r="N252" s="1">
        <v>1.1000000000000001</v>
      </c>
      <c r="R252" s="1">
        <v>78</v>
      </c>
      <c r="AX252" s="17">
        <v>178</v>
      </c>
      <c r="AY252" s="17"/>
      <c r="BB252" s="1">
        <v>0.05</v>
      </c>
      <c r="BD252" s="1">
        <v>304</v>
      </c>
      <c r="BE252" s="44">
        <v>75</v>
      </c>
      <c r="BF252" s="1">
        <v>0.92</v>
      </c>
      <c r="BG252" s="1">
        <v>13</v>
      </c>
      <c r="BI252" s="1">
        <v>94</v>
      </c>
      <c r="BL252" s="1">
        <v>1.2</v>
      </c>
    </row>
    <row r="253" spans="1:95" x14ac:dyDescent="0.2">
      <c r="A253" s="15" t="s">
        <v>6491</v>
      </c>
      <c r="B253" s="1" t="s">
        <v>6176</v>
      </c>
      <c r="D253" s="1" t="s">
        <v>6318</v>
      </c>
      <c r="E253" s="17" t="s">
        <v>11</v>
      </c>
      <c r="F253" s="1" t="s">
        <v>6319</v>
      </c>
      <c r="G253" s="1" t="s">
        <v>6179</v>
      </c>
      <c r="J253" s="1" t="s">
        <v>6180</v>
      </c>
      <c r="K253" s="1">
        <v>1989</v>
      </c>
      <c r="L253" s="17" t="s">
        <v>6181</v>
      </c>
      <c r="M253" s="17" t="s">
        <v>6182</v>
      </c>
      <c r="N253" s="1">
        <v>1.1000000000000001</v>
      </c>
      <c r="R253" s="1">
        <v>95</v>
      </c>
      <c r="AX253" s="17">
        <v>84</v>
      </c>
      <c r="AY253" s="17"/>
      <c r="BB253" s="1">
        <v>0.06</v>
      </c>
      <c r="BD253" s="1">
        <v>167</v>
      </c>
      <c r="BE253" s="44">
        <v>15</v>
      </c>
      <c r="BF253" s="1">
        <v>0.2</v>
      </c>
      <c r="BG253" s="1">
        <v>9</v>
      </c>
      <c r="BI253" s="1">
        <v>22</v>
      </c>
      <c r="BL253" s="1">
        <v>0.6</v>
      </c>
    </row>
    <row r="254" spans="1:95" x14ac:dyDescent="0.2">
      <c r="A254" s="15" t="s">
        <v>6492</v>
      </c>
      <c r="B254" s="1" t="s">
        <v>6176</v>
      </c>
      <c r="D254" s="1" t="s">
        <v>6320</v>
      </c>
      <c r="E254" s="17" t="s">
        <v>11</v>
      </c>
      <c r="F254" s="1" t="s">
        <v>6321</v>
      </c>
      <c r="G254" s="1" t="s">
        <v>6179</v>
      </c>
      <c r="J254" s="1" t="s">
        <v>6180</v>
      </c>
      <c r="K254" s="1">
        <v>1989</v>
      </c>
      <c r="L254" s="17" t="s">
        <v>6181</v>
      </c>
      <c r="M254" s="17" t="s">
        <v>6182</v>
      </c>
      <c r="N254" s="1">
        <v>1.1000000000000001</v>
      </c>
      <c r="R254" s="1">
        <v>89</v>
      </c>
      <c r="AX254" s="17">
        <v>142</v>
      </c>
      <c r="AY254" s="17"/>
      <c r="BB254" s="1">
        <v>0.2</v>
      </c>
      <c r="BD254" s="1">
        <v>170</v>
      </c>
      <c r="BE254" s="44">
        <v>75</v>
      </c>
      <c r="BF254" s="1">
        <v>1.23</v>
      </c>
      <c r="BG254" s="1">
        <v>10</v>
      </c>
      <c r="BI254" s="1">
        <v>82</v>
      </c>
      <c r="BL254" s="1">
        <v>0.7</v>
      </c>
    </row>
    <row r="255" spans="1:95" x14ac:dyDescent="0.2">
      <c r="A255" s="15" t="s">
        <v>6493</v>
      </c>
      <c r="B255" s="1" t="s">
        <v>6176</v>
      </c>
      <c r="D255" s="1" t="s">
        <v>6322</v>
      </c>
      <c r="E255" s="17" t="s">
        <v>11</v>
      </c>
      <c r="F255" s="1" t="s">
        <v>6321</v>
      </c>
      <c r="G255" s="1" t="s">
        <v>6179</v>
      </c>
      <c r="J255" s="1" t="s">
        <v>6180</v>
      </c>
      <c r="K255" s="1">
        <v>1989</v>
      </c>
      <c r="L255" s="17" t="s">
        <v>6181</v>
      </c>
      <c r="M255" s="17" t="s">
        <v>6182</v>
      </c>
      <c r="N255" s="1">
        <v>1.1000000000000001</v>
      </c>
      <c r="R255" s="1">
        <v>84</v>
      </c>
      <c r="AX255" s="17">
        <v>35</v>
      </c>
      <c r="AY255" s="17"/>
      <c r="BB255" s="1">
        <v>0.1</v>
      </c>
      <c r="BD255" s="1">
        <v>358</v>
      </c>
      <c r="BE255" s="44">
        <v>32</v>
      </c>
      <c r="BF255" s="1">
        <v>0.03</v>
      </c>
      <c r="BG255" s="1">
        <v>8</v>
      </c>
      <c r="BI255" s="1">
        <v>44</v>
      </c>
      <c r="BL255" s="1">
        <v>0.2</v>
      </c>
    </row>
    <row r="256" spans="1:95" x14ac:dyDescent="0.2">
      <c r="A256" s="15" t="s">
        <v>6494</v>
      </c>
      <c r="B256" s="1" t="s">
        <v>6176</v>
      </c>
      <c r="D256" s="1" t="s">
        <v>6323</v>
      </c>
      <c r="E256" s="17" t="s">
        <v>11</v>
      </c>
      <c r="F256" s="1" t="s">
        <v>6324</v>
      </c>
      <c r="G256" s="1" t="s">
        <v>6179</v>
      </c>
      <c r="J256" s="1" t="s">
        <v>6180</v>
      </c>
      <c r="K256" s="1">
        <v>1989</v>
      </c>
      <c r="L256" s="17" t="s">
        <v>6181</v>
      </c>
      <c r="M256" s="17" t="s">
        <v>6182</v>
      </c>
      <c r="N256" s="1">
        <v>1.1000000000000001</v>
      </c>
      <c r="R256" s="1">
        <v>84</v>
      </c>
      <c r="AX256" s="17">
        <v>372</v>
      </c>
      <c r="AY256" s="17"/>
      <c r="BB256" s="1">
        <v>0.1</v>
      </c>
      <c r="BD256" s="1">
        <v>443</v>
      </c>
      <c r="BE256" s="44">
        <v>135</v>
      </c>
      <c r="BF256" s="1">
        <v>1.88</v>
      </c>
      <c r="BG256" s="1">
        <v>24</v>
      </c>
      <c r="BI256" s="1">
        <v>68</v>
      </c>
      <c r="BL256" s="1">
        <v>1.3</v>
      </c>
    </row>
    <row r="257" spans="1:185" x14ac:dyDescent="0.2">
      <c r="A257" s="15" t="s">
        <v>6495</v>
      </c>
      <c r="B257" s="1" t="s">
        <v>6176</v>
      </c>
      <c r="D257" s="1" t="s">
        <v>6325</v>
      </c>
      <c r="E257" s="17" t="s">
        <v>11</v>
      </c>
      <c r="F257" s="1" t="s">
        <v>6326</v>
      </c>
      <c r="G257" s="1" t="s">
        <v>6179</v>
      </c>
      <c r="J257" s="1" t="s">
        <v>6180</v>
      </c>
      <c r="K257" s="1">
        <v>1989</v>
      </c>
      <c r="L257" s="17" t="s">
        <v>6181</v>
      </c>
      <c r="M257" s="17" t="s">
        <v>6182</v>
      </c>
      <c r="N257" s="1">
        <v>1.1000000000000001</v>
      </c>
      <c r="R257" s="1">
        <v>79</v>
      </c>
      <c r="AX257" s="17">
        <v>514</v>
      </c>
      <c r="AY257" s="17"/>
      <c r="BB257" s="1">
        <v>0.2</v>
      </c>
      <c r="BD257" s="1">
        <v>317</v>
      </c>
      <c r="BE257" s="44">
        <v>74</v>
      </c>
      <c r="BF257" s="1">
        <v>2.4700000000000002</v>
      </c>
      <c r="BG257" s="1">
        <v>23</v>
      </c>
      <c r="BI257" s="1">
        <v>116</v>
      </c>
      <c r="BL257" s="1">
        <v>1.8</v>
      </c>
    </row>
    <row r="258" spans="1:185" x14ac:dyDescent="0.2">
      <c r="A258" s="15" t="s">
        <v>6496</v>
      </c>
      <c r="B258" s="1" t="s">
        <v>6176</v>
      </c>
      <c r="D258" s="1" t="s">
        <v>6327</v>
      </c>
      <c r="E258" s="17" t="s">
        <v>7</v>
      </c>
      <c r="F258" s="1" t="s">
        <v>6328</v>
      </c>
      <c r="G258" s="1" t="s">
        <v>6179</v>
      </c>
      <c r="J258" s="1" t="s">
        <v>6180</v>
      </c>
      <c r="K258" s="1">
        <v>1989</v>
      </c>
      <c r="L258" s="17" t="s">
        <v>6181</v>
      </c>
      <c r="M258" s="17" t="s">
        <v>6182</v>
      </c>
      <c r="N258" s="1">
        <v>1.1000000000000001</v>
      </c>
      <c r="R258" s="1">
        <v>84</v>
      </c>
      <c r="AX258" s="17">
        <v>104</v>
      </c>
      <c r="AY258" s="17"/>
      <c r="BD258" s="1">
        <v>382</v>
      </c>
      <c r="BE258" s="44">
        <v>77</v>
      </c>
      <c r="BG258" s="1">
        <v>11</v>
      </c>
      <c r="BI258" s="1">
        <v>95</v>
      </c>
    </row>
    <row r="259" spans="1:185" x14ac:dyDescent="0.2">
      <c r="A259" s="15" t="s">
        <v>6497</v>
      </c>
      <c r="B259" s="1" t="s">
        <v>6248</v>
      </c>
      <c r="D259" s="1" t="s">
        <v>6329</v>
      </c>
      <c r="E259" s="17" t="s">
        <v>7</v>
      </c>
      <c r="F259" s="1" t="s">
        <v>6330</v>
      </c>
      <c r="G259" s="1" t="s">
        <v>6179</v>
      </c>
      <c r="J259" s="1" t="s">
        <v>6180</v>
      </c>
      <c r="K259" s="1">
        <v>1989</v>
      </c>
      <c r="L259" s="17" t="s">
        <v>6181</v>
      </c>
      <c r="M259" s="17" t="s">
        <v>6182</v>
      </c>
      <c r="N259" s="1">
        <v>1.1000000000000001</v>
      </c>
      <c r="R259" s="1">
        <v>87</v>
      </c>
      <c r="AX259" s="1">
        <v>5</v>
      </c>
      <c r="BB259" s="1">
        <v>0.19</v>
      </c>
      <c r="BD259" s="1">
        <v>599</v>
      </c>
      <c r="BE259" s="44">
        <v>56</v>
      </c>
      <c r="BF259" s="1">
        <v>0.5</v>
      </c>
      <c r="BG259" s="1">
        <v>7</v>
      </c>
      <c r="BI259" s="1">
        <v>109</v>
      </c>
      <c r="BL259" s="1">
        <v>1.18</v>
      </c>
    </row>
    <row r="260" spans="1:185" x14ac:dyDescent="0.2">
      <c r="A260" s="15" t="s">
        <v>6498</v>
      </c>
      <c r="B260" s="1" t="s">
        <v>6248</v>
      </c>
      <c r="D260" s="1" t="s">
        <v>6331</v>
      </c>
      <c r="E260" s="17" t="s">
        <v>7</v>
      </c>
      <c r="F260" s="1" t="s">
        <v>606</v>
      </c>
      <c r="G260" s="1" t="s">
        <v>6179</v>
      </c>
      <c r="J260" s="1" t="s">
        <v>6180</v>
      </c>
      <c r="K260" s="1">
        <v>1989</v>
      </c>
      <c r="L260" s="17" t="s">
        <v>6181</v>
      </c>
      <c r="M260" s="17" t="s">
        <v>6182</v>
      </c>
      <c r="N260" s="1">
        <v>1.1000000000000001</v>
      </c>
      <c r="R260" s="1">
        <v>90</v>
      </c>
      <c r="BB260" s="1">
        <v>0.1</v>
      </c>
      <c r="BE260" s="44"/>
      <c r="BF260" s="1">
        <v>0.97</v>
      </c>
      <c r="BL260" s="1">
        <v>0.69</v>
      </c>
    </row>
    <row r="261" spans="1:185" x14ac:dyDescent="0.2">
      <c r="A261" s="15" t="s">
        <v>6499</v>
      </c>
      <c r="B261" s="1" t="s">
        <v>6248</v>
      </c>
      <c r="D261" s="1" t="s">
        <v>6332</v>
      </c>
      <c r="E261" s="17" t="s">
        <v>7</v>
      </c>
      <c r="F261" s="1" t="s">
        <v>6333</v>
      </c>
      <c r="G261" s="1" t="s">
        <v>6179</v>
      </c>
      <c r="J261" s="1" t="s">
        <v>6180</v>
      </c>
      <c r="K261" s="1">
        <v>1989</v>
      </c>
      <c r="L261" s="17" t="s">
        <v>6181</v>
      </c>
      <c r="M261" s="17" t="s">
        <v>6182</v>
      </c>
      <c r="N261" s="1">
        <v>1.1000000000000001</v>
      </c>
      <c r="R261" s="1">
        <v>74</v>
      </c>
      <c r="AX261" s="1">
        <v>144</v>
      </c>
      <c r="BB261" s="1">
        <v>0.16</v>
      </c>
      <c r="BD261" s="1">
        <v>642</v>
      </c>
      <c r="BE261" s="44">
        <v>80</v>
      </c>
      <c r="BF261" s="1">
        <v>3.92</v>
      </c>
      <c r="BG261" s="1">
        <v>10</v>
      </c>
      <c r="BI261" s="1">
        <v>121</v>
      </c>
      <c r="BL261" s="1">
        <v>0.95</v>
      </c>
    </row>
    <row r="262" spans="1:185" x14ac:dyDescent="0.2">
      <c r="A262" s="15" t="s">
        <v>6500</v>
      </c>
      <c r="B262" s="1" t="s">
        <v>6248</v>
      </c>
      <c r="D262" s="1" t="s">
        <v>6334</v>
      </c>
      <c r="E262" s="17" t="s">
        <v>7</v>
      </c>
      <c r="F262" s="1" t="s">
        <v>6335</v>
      </c>
      <c r="G262" s="1" t="s">
        <v>6179</v>
      </c>
      <c r="J262" s="1" t="s">
        <v>6180</v>
      </c>
      <c r="K262" s="1">
        <v>1989</v>
      </c>
      <c r="L262" s="17" t="s">
        <v>6181</v>
      </c>
      <c r="M262" s="17" t="s">
        <v>6182</v>
      </c>
      <c r="N262" s="1">
        <v>1.1000000000000001</v>
      </c>
      <c r="R262" s="1">
        <v>85</v>
      </c>
      <c r="AX262" s="1">
        <v>260</v>
      </c>
      <c r="BB262" s="1">
        <v>0.2</v>
      </c>
      <c r="BD262" s="1">
        <v>447</v>
      </c>
      <c r="BE262" s="44">
        <v>156</v>
      </c>
      <c r="BF262" s="1">
        <v>1.51</v>
      </c>
      <c r="BG262" s="1">
        <v>10</v>
      </c>
      <c r="BI262" s="1">
        <v>55</v>
      </c>
      <c r="BL262" s="1">
        <v>1.31</v>
      </c>
    </row>
    <row r="263" spans="1:185" x14ac:dyDescent="0.2">
      <c r="A263" s="15" t="s">
        <v>6501</v>
      </c>
      <c r="B263" s="1" t="s">
        <v>6248</v>
      </c>
      <c r="D263" s="1" t="s">
        <v>6336</v>
      </c>
      <c r="E263" s="17" t="s">
        <v>7</v>
      </c>
      <c r="F263" s="1" t="s">
        <v>6337</v>
      </c>
      <c r="G263" s="1" t="s">
        <v>6179</v>
      </c>
      <c r="J263" s="1" t="s">
        <v>6180</v>
      </c>
      <c r="K263" s="1">
        <v>1989</v>
      </c>
      <c r="L263" s="17" t="s">
        <v>6181</v>
      </c>
      <c r="M263" s="17" t="s">
        <v>6182</v>
      </c>
      <c r="N263" s="1">
        <v>1.1000000000000001</v>
      </c>
      <c r="R263" s="1">
        <v>89</v>
      </c>
      <c r="BB263" s="1">
        <v>0.16</v>
      </c>
      <c r="BE263" s="44"/>
      <c r="BF263" s="1">
        <v>0.33</v>
      </c>
      <c r="BL263" s="1">
        <v>0.65</v>
      </c>
    </row>
    <row r="264" spans="1:185" x14ac:dyDescent="0.2">
      <c r="A264" s="15" t="s">
        <v>6502</v>
      </c>
      <c r="B264" s="1" t="s">
        <v>6248</v>
      </c>
      <c r="D264" s="1" t="s">
        <v>6338</v>
      </c>
      <c r="E264" s="17" t="s">
        <v>7</v>
      </c>
      <c r="F264" s="1" t="s">
        <v>6339</v>
      </c>
      <c r="G264" s="1" t="s">
        <v>6179</v>
      </c>
      <c r="J264" s="1" t="s">
        <v>6180</v>
      </c>
      <c r="K264" s="1">
        <v>1989</v>
      </c>
      <c r="L264" s="17" t="s">
        <v>6181</v>
      </c>
      <c r="M264" s="17" t="s">
        <v>6182</v>
      </c>
      <c r="N264" s="1">
        <v>1.1000000000000001</v>
      </c>
      <c r="R264" s="1">
        <v>41</v>
      </c>
      <c r="AX264" s="1">
        <v>9</v>
      </c>
      <c r="BB264" s="1">
        <v>0.01</v>
      </c>
      <c r="BD264" s="1">
        <v>16</v>
      </c>
      <c r="BE264" s="44">
        <v>8</v>
      </c>
      <c r="BF264" s="1">
        <v>0.57999999999999996</v>
      </c>
      <c r="BG264" s="17" t="s">
        <v>6183</v>
      </c>
      <c r="BH264" s="17"/>
      <c r="BI264" s="1">
        <v>7</v>
      </c>
      <c r="BL264" s="1">
        <v>0.08</v>
      </c>
    </row>
    <row r="265" spans="1:185" x14ac:dyDescent="0.2">
      <c r="A265" s="15" t="s">
        <v>6503</v>
      </c>
      <c r="B265" s="1" t="s">
        <v>6176</v>
      </c>
      <c r="C265" s="1" t="s">
        <v>6378</v>
      </c>
      <c r="D265" s="1" t="s">
        <v>6462</v>
      </c>
      <c r="E265" s="17" t="s">
        <v>11</v>
      </c>
      <c r="F265" s="1" t="s">
        <v>6379</v>
      </c>
      <c r="H265" s="1" t="s">
        <v>6463</v>
      </c>
      <c r="I265" s="1">
        <v>1</v>
      </c>
      <c r="J265" s="1" t="s">
        <v>9753</v>
      </c>
      <c r="K265" s="1">
        <v>1988</v>
      </c>
      <c r="L265" s="17" t="s">
        <v>6380</v>
      </c>
      <c r="M265" s="17" t="s">
        <v>6182</v>
      </c>
      <c r="N265" s="17" t="s">
        <v>7699</v>
      </c>
      <c r="R265" s="1">
        <v>78</v>
      </c>
      <c r="AX265" s="1">
        <v>178</v>
      </c>
      <c r="BL265" s="1">
        <v>1.2</v>
      </c>
      <c r="EX265" s="1">
        <v>42</v>
      </c>
    </row>
    <row r="266" spans="1:185" x14ac:dyDescent="0.2">
      <c r="A266" s="15" t="s">
        <v>6504</v>
      </c>
      <c r="B266" s="1" t="s">
        <v>6464</v>
      </c>
      <c r="D266" s="1" t="s">
        <v>6465</v>
      </c>
      <c r="E266" s="17" t="s">
        <v>7</v>
      </c>
      <c r="F266" s="1" t="s">
        <v>6275</v>
      </c>
      <c r="H266" s="1" t="s">
        <v>6466</v>
      </c>
      <c r="I266" s="1">
        <v>3</v>
      </c>
      <c r="J266" s="1" t="s">
        <v>9754</v>
      </c>
      <c r="K266" s="1">
        <v>2013</v>
      </c>
      <c r="L266" s="17" t="s">
        <v>6467</v>
      </c>
      <c r="M266" s="17" t="s">
        <v>6182</v>
      </c>
      <c r="N266" s="17" t="s">
        <v>7699</v>
      </c>
      <c r="P266" s="33"/>
      <c r="Q266" s="44">
        <f>0.3157*224.35</f>
        <v>70.827294999999992</v>
      </c>
      <c r="R266" s="1">
        <v>68.430000000000007</v>
      </c>
      <c r="X266" s="6">
        <f>0.3157*23.39</f>
        <v>7.3842229999999995</v>
      </c>
      <c r="Y266" s="6"/>
      <c r="AA266" s="6">
        <f>0.3157*4.09</f>
        <v>1.2912129999999999</v>
      </c>
      <c r="AB266" s="6"/>
      <c r="AC266" s="6"/>
      <c r="AD266" s="6"/>
      <c r="AE266" s="6">
        <f>0.3157*37.23</f>
        <v>11.753510999999998</v>
      </c>
      <c r="AF266" s="6"/>
      <c r="AG266" s="6"/>
      <c r="AO266" s="6">
        <f>0.3157*26.23</f>
        <v>8.2808109999999999</v>
      </c>
      <c r="AW266" s="6">
        <f>0.3157*9.03</f>
        <v>2.8507709999999995</v>
      </c>
      <c r="AX266" s="17" t="s">
        <v>6468</v>
      </c>
      <c r="AY266" s="17"/>
      <c r="BC266" s="33">
        <f>0.3157*57.79</f>
        <v>18.244302999999999</v>
      </c>
      <c r="BD266" s="33">
        <f>0.3157*2472</f>
        <v>780.41039999999998</v>
      </c>
      <c r="BE266" s="53" t="s">
        <v>6469</v>
      </c>
      <c r="BF266" s="33"/>
      <c r="BG266" s="33"/>
      <c r="BH266" s="33"/>
      <c r="BI266" s="33">
        <f>0.3157*781.4</f>
        <v>246.68797999999998</v>
      </c>
      <c r="BJ266" s="33"/>
      <c r="BK266" s="33"/>
      <c r="BM266" s="6"/>
      <c r="CO266" s="33"/>
      <c r="CP266" s="1">
        <f>0.3157*48</f>
        <v>15.153599999999999</v>
      </c>
      <c r="CQ266" s="33"/>
      <c r="EV266" s="1">
        <f>0.3157*800</f>
        <v>252.55999999999997</v>
      </c>
      <c r="FL266" s="44">
        <v>11.680899999999999</v>
      </c>
      <c r="FY266" s="1">
        <f>0.3157*66</f>
        <v>20.836199999999998</v>
      </c>
      <c r="GB266" s="33">
        <f>0.3157*35*1000</f>
        <v>11049.5</v>
      </c>
      <c r="GC266" s="33">
        <v>5.88</v>
      </c>
    </row>
    <row r="267" spans="1:185" x14ac:dyDescent="0.2">
      <c r="A267" s="15" t="s">
        <v>6505</v>
      </c>
      <c r="B267" s="1" t="s">
        <v>6470</v>
      </c>
      <c r="D267" s="1" t="s">
        <v>6471</v>
      </c>
      <c r="E267" s="17" t="s">
        <v>7</v>
      </c>
      <c r="F267" s="1" t="s">
        <v>6275</v>
      </c>
      <c r="H267" s="1" t="s">
        <v>6472</v>
      </c>
      <c r="J267" s="1" t="s">
        <v>9755</v>
      </c>
      <c r="K267" s="1">
        <v>2014</v>
      </c>
      <c r="L267" s="17" t="s">
        <v>6473</v>
      </c>
      <c r="M267" s="17" t="s">
        <v>6182</v>
      </c>
      <c r="N267" s="17" t="s">
        <v>7699</v>
      </c>
      <c r="P267" s="33"/>
      <c r="Q267" s="44">
        <f>(100-R267)/100*224.35</f>
        <v>70.827294999999978</v>
      </c>
      <c r="R267" s="1">
        <v>68.430000000000007</v>
      </c>
      <c r="X267" s="6">
        <f>(100-R267)/100*23.39</f>
        <v>7.3842229999999986</v>
      </c>
      <c r="Y267" s="6"/>
      <c r="AA267" s="6">
        <f>(100-R267)/100*4.09</f>
        <v>1.2912129999999997</v>
      </c>
      <c r="AB267" s="6"/>
      <c r="AC267" s="6"/>
      <c r="AD267" s="6"/>
      <c r="AE267" s="6">
        <f>(100-R267)/100*37.27</f>
        <v>11.766138999999999</v>
      </c>
      <c r="AF267" s="6"/>
      <c r="AG267" s="6"/>
      <c r="AO267" s="6">
        <f>(100-R267)/100*26.23</f>
        <v>8.2808109999999981</v>
      </c>
      <c r="AW267" s="6">
        <f>(100-R267)/100*9.03</f>
        <v>2.8507709999999991</v>
      </c>
      <c r="AX267" s="33">
        <f>(100-R267)/100*296.66</f>
        <v>93.655561999999989</v>
      </c>
      <c r="AY267" s="33"/>
      <c r="BB267" s="33"/>
      <c r="BC267" s="33">
        <f>(100-R267)/100*48.69</f>
        <v>15.371432999999996</v>
      </c>
      <c r="BD267" s="33">
        <f>(100-R267)/100*2306.09</f>
        <v>728.03261299999986</v>
      </c>
      <c r="BE267" s="33">
        <f>(100-R267)/100*229.45</f>
        <v>72.437364999999986</v>
      </c>
      <c r="BF267" s="33"/>
      <c r="BG267" s="33">
        <f>(100-R267)/100*18.3</f>
        <v>5.7773099999999991</v>
      </c>
      <c r="BH267" s="33"/>
      <c r="BI267" s="33">
        <f>(100-R267)/100*759.81</f>
        <v>239.87201699999991</v>
      </c>
      <c r="BJ267" s="33"/>
      <c r="BK267" s="33"/>
      <c r="BL267" s="33">
        <f>(100-R267)/100*45.48</f>
        <v>14.358035999999995</v>
      </c>
      <c r="BM267" s="6"/>
      <c r="BS267" s="33"/>
      <c r="BT267" s="33"/>
      <c r="BU267" s="33"/>
      <c r="BV267" s="33"/>
      <c r="CG267" s="1">
        <v>3560</v>
      </c>
      <c r="CO267" s="33"/>
      <c r="CP267" s="1">
        <v>48</v>
      </c>
      <c r="CQ267" s="33"/>
      <c r="CR267" s="33"/>
      <c r="EA267" s="33"/>
      <c r="EB267" s="50"/>
      <c r="EC267" s="50"/>
      <c r="ED267" s="50"/>
      <c r="EE267" s="50"/>
      <c r="EF267" s="50"/>
      <c r="EG267" s="50"/>
      <c r="EH267" s="50"/>
      <c r="EI267" s="50"/>
      <c r="EJ267" s="50"/>
      <c r="EK267" s="50"/>
      <c r="EL267" s="50"/>
      <c r="EM267" s="50"/>
      <c r="EN267" s="50"/>
      <c r="EV267" s="1">
        <v>800</v>
      </c>
      <c r="EX267" s="1">
        <v>37</v>
      </c>
      <c r="GC267" s="33"/>
    </row>
    <row r="268" spans="1:185" x14ac:dyDescent="0.2">
      <c r="A268" s="15" t="s">
        <v>6506</v>
      </c>
      <c r="B268" s="1" t="s">
        <v>6470</v>
      </c>
      <c r="D268" s="1" t="s">
        <v>6474</v>
      </c>
      <c r="E268" s="17" t="s">
        <v>11</v>
      </c>
      <c r="F268" s="1" t="s">
        <v>6275</v>
      </c>
      <c r="H268" s="1" t="s">
        <v>6472</v>
      </c>
      <c r="J268" s="1" t="s">
        <v>9755</v>
      </c>
      <c r="K268" s="1">
        <v>2014</v>
      </c>
      <c r="L268" s="17" t="s">
        <v>6473</v>
      </c>
      <c r="M268" s="17" t="s">
        <v>6182</v>
      </c>
      <c r="N268" s="17" t="s">
        <v>7699</v>
      </c>
      <c r="P268" s="33"/>
      <c r="Q268" s="44">
        <f>(100-R268)/100*258.01</f>
        <v>44.04230699999998</v>
      </c>
      <c r="R268" s="1">
        <v>82.93</v>
      </c>
      <c r="X268" s="6">
        <f>(100-R268)/100*15.65</f>
        <v>2.671454999999999</v>
      </c>
      <c r="Y268" s="6"/>
      <c r="AA268" s="6">
        <f>(100-R268)/100*5.73</f>
        <v>0.97811099999999973</v>
      </c>
      <c r="AB268" s="6"/>
      <c r="AC268" s="6"/>
      <c r="AD268" s="6"/>
      <c r="AE268" s="6">
        <f>(100-R268)/100*48.14</f>
        <v>8.2174979999999973</v>
      </c>
      <c r="AF268" s="6"/>
      <c r="AG268" s="6"/>
      <c r="AO268" s="6">
        <f>(100-R268)/100*24.75</f>
        <v>4.2248249999999983</v>
      </c>
      <c r="AW268" s="6">
        <f>(100-R268)/100*5.73</f>
        <v>0.97811099999999973</v>
      </c>
      <c r="AX268" s="33">
        <f>(100-R268)/100*193.54</f>
        <v>33.037277999999986</v>
      </c>
      <c r="AY268" s="33"/>
      <c r="BB268" s="33"/>
      <c r="BC268" s="33">
        <f>(100-R268)/100*25.47</f>
        <v>4.3477289999999984</v>
      </c>
      <c r="BD268" s="33">
        <f>(100-R268)/100*1391.77</f>
        <v>237.57513899999989</v>
      </c>
      <c r="BE268" s="33">
        <f>(100-R268)/100*183.1</f>
        <v>31.255169999999985</v>
      </c>
      <c r="BF268" s="33"/>
      <c r="BG268" s="33">
        <f>(100-R268)/100*15.9</f>
        <v>2.714129999999999</v>
      </c>
      <c r="BH268" s="33"/>
      <c r="BI268" s="33">
        <f>(100-R268)/100*347.04</f>
        <v>59.239727999999978</v>
      </c>
      <c r="BJ268" s="33"/>
      <c r="BK268" s="33"/>
      <c r="BL268" s="33">
        <f>(100-R268)/100*17.2</f>
        <v>2.9360399999999989</v>
      </c>
      <c r="BM268" s="6"/>
      <c r="BS268" s="33"/>
      <c r="BT268" s="33"/>
      <c r="BU268" s="33"/>
      <c r="BV268" s="33"/>
      <c r="CG268" s="1">
        <v>0</v>
      </c>
      <c r="CO268" s="33"/>
      <c r="CP268" s="1">
        <v>23.65</v>
      </c>
      <c r="CQ268" s="33"/>
      <c r="CR268" s="33"/>
      <c r="EA268" s="33"/>
      <c r="EB268" s="50"/>
      <c r="EC268" s="50"/>
      <c r="ED268" s="50"/>
      <c r="EE268" s="50"/>
      <c r="EF268" s="50"/>
      <c r="EG268" s="50"/>
      <c r="EH268" s="50"/>
      <c r="EI268" s="50"/>
      <c r="EJ268" s="50"/>
      <c r="EK268" s="50"/>
      <c r="EL268" s="50"/>
      <c r="EM268" s="50"/>
      <c r="EN268" s="50"/>
      <c r="EV268" s="1">
        <v>418</v>
      </c>
      <c r="EX268" s="44">
        <v>28.54</v>
      </c>
      <c r="GC268" s="33"/>
    </row>
    <row r="269" spans="1:185" x14ac:dyDescent="0.2">
      <c r="A269" s="15" t="s">
        <v>6507</v>
      </c>
      <c r="B269" s="1" t="s">
        <v>6470</v>
      </c>
      <c r="D269" s="1" t="s">
        <v>6474</v>
      </c>
      <c r="E269" s="17" t="s">
        <v>11</v>
      </c>
      <c r="F269" s="1" t="s">
        <v>6275</v>
      </c>
      <c r="H269" s="1" t="s">
        <v>6472</v>
      </c>
      <c r="J269" s="1" t="s">
        <v>9755</v>
      </c>
      <c r="K269" s="1">
        <v>2014</v>
      </c>
      <c r="L269" s="17" t="s">
        <v>6473</v>
      </c>
      <c r="M269" s="17" t="s">
        <v>6182</v>
      </c>
      <c r="N269" s="17" t="s">
        <v>7699</v>
      </c>
      <c r="P269" s="33"/>
      <c r="Q269" s="44">
        <f>(100-R269)/100*257.11</f>
        <v>38.823609999999988</v>
      </c>
      <c r="R269" s="33">
        <v>84.9</v>
      </c>
      <c r="X269" s="6">
        <f>(100-R269)/100*14.87</f>
        <v>2.245369999999999</v>
      </c>
      <c r="Y269" s="6"/>
      <c r="AA269" s="6">
        <f>(100-R269)/100*5.27</f>
        <v>0.79576999999999964</v>
      </c>
      <c r="AB269" s="6"/>
      <c r="AC269" s="6"/>
      <c r="AD269" s="6"/>
      <c r="AE269" s="6">
        <f>(100-R269)/100*49.51</f>
        <v>7.4760099999999969</v>
      </c>
      <c r="AF269" s="6"/>
      <c r="AG269" s="6"/>
      <c r="AO269" s="6">
        <f>(100-R269)/100*24.67</f>
        <v>3.725169999999999</v>
      </c>
      <c r="AW269" s="6">
        <f>(100-R269)/100*5.63</f>
        <v>0.85012999999999961</v>
      </c>
      <c r="AX269" s="33">
        <f>(100-R269)/100*168.3</f>
        <v>25.413299999999992</v>
      </c>
      <c r="AY269" s="33"/>
      <c r="BB269" s="33"/>
      <c r="BC269" s="33">
        <f>(100-R269)/100*22.08</f>
        <v>3.3340799999999984</v>
      </c>
      <c r="BD269" s="33">
        <f>(100-R269)/100*997.6</f>
        <v>150.63759999999994</v>
      </c>
      <c r="BE269" s="33">
        <f>(100-R269)/100*158.88</f>
        <v>23.99087999999999</v>
      </c>
      <c r="BF269" s="33"/>
      <c r="BG269" s="33">
        <f>(100-R269)/100*9.3</f>
        <v>1.4042999999999994</v>
      </c>
      <c r="BH269" s="33"/>
      <c r="BI269" s="33">
        <f>(100-R269)/100*281.25</f>
        <v>42.468749999999986</v>
      </c>
      <c r="BJ269" s="33"/>
      <c r="BK269" s="33"/>
      <c r="BL269" s="33">
        <f>(100-R269)/100*13.56</f>
        <v>2.0475599999999994</v>
      </c>
      <c r="BM269" s="6"/>
      <c r="BS269" s="33"/>
      <c r="BT269" s="33"/>
      <c r="BU269" s="33"/>
      <c r="BV269" s="33"/>
      <c r="CG269" s="1">
        <v>0</v>
      </c>
      <c r="CO269" s="33"/>
      <c r="CP269" s="1">
        <v>18.54</v>
      </c>
      <c r="CQ269" s="33"/>
      <c r="CR269" s="33"/>
      <c r="EA269" s="33"/>
      <c r="EB269" s="50"/>
      <c r="EC269" s="50"/>
      <c r="ED269" s="50"/>
      <c r="EE269" s="50"/>
      <c r="EF269" s="50"/>
      <c r="EG269" s="50"/>
      <c r="EH269" s="50"/>
      <c r="EI269" s="50"/>
      <c r="EJ269" s="50"/>
      <c r="EK269" s="50"/>
      <c r="EL269" s="50"/>
      <c r="EM269" s="50"/>
      <c r="EN269" s="50"/>
      <c r="EV269" s="1">
        <v>300.67</v>
      </c>
      <c r="EX269" s="44">
        <v>21.03</v>
      </c>
      <c r="GC269" s="33"/>
    </row>
    <row r="270" spans="1:185" x14ac:dyDescent="0.2">
      <c r="A270" s="15" t="s">
        <v>6508</v>
      </c>
      <c r="B270" s="1" t="s">
        <v>6470</v>
      </c>
      <c r="D270" s="1" t="s">
        <v>6474</v>
      </c>
      <c r="E270" s="17" t="s">
        <v>11</v>
      </c>
      <c r="F270" s="1" t="s">
        <v>6275</v>
      </c>
      <c r="H270" s="1" t="s">
        <v>6472</v>
      </c>
      <c r="J270" s="1" t="s">
        <v>9755</v>
      </c>
      <c r="K270" s="1">
        <v>2014</v>
      </c>
      <c r="L270" s="17" t="s">
        <v>6473</v>
      </c>
      <c r="M270" s="17" t="s">
        <v>6182</v>
      </c>
      <c r="N270" s="17" t="s">
        <v>7699</v>
      </c>
      <c r="P270" s="33"/>
      <c r="Q270" s="44">
        <f>(100-R270)/100*264.17</f>
        <v>42.531369999999988</v>
      </c>
      <c r="R270" s="33">
        <v>83.9</v>
      </c>
      <c r="X270" s="6">
        <f>(100-R270)/100*14</f>
        <v>2.2539999999999991</v>
      </c>
      <c r="Y270" s="6"/>
      <c r="AA270" s="6">
        <f>(100-R270)/100*5.07</f>
        <v>0.81626999999999983</v>
      </c>
      <c r="AB270" s="6"/>
      <c r="AC270" s="6"/>
      <c r="AD270" s="6"/>
      <c r="AE270" s="6">
        <f>(100-R270)/100*52.21</f>
        <v>8.4058099999999971</v>
      </c>
      <c r="AF270" s="6"/>
      <c r="AG270" s="6"/>
      <c r="AO270" s="6">
        <f>(100-R270)/100*23.52</f>
        <v>3.7867199999999985</v>
      </c>
      <c r="AW270" s="6">
        <f>(100-R270)/100*4.87</f>
        <v>0.78406999999999982</v>
      </c>
      <c r="AX270" s="33">
        <f>(100-R270)/100*72.7</f>
        <v>11.704699999999997</v>
      </c>
      <c r="AY270" s="33"/>
      <c r="BB270" s="33"/>
      <c r="BC270" s="33">
        <f>(100-R270)/100*14.52</f>
        <v>2.3377199999999991</v>
      </c>
      <c r="BD270" s="33">
        <f>(100-R270)/100*770.4</f>
        <v>124.03439999999996</v>
      </c>
      <c r="BE270" s="33">
        <f>(100-R270)/100*44.83</f>
        <v>7.2176299999999971</v>
      </c>
      <c r="BF270" s="33"/>
      <c r="BG270" s="33">
        <f>(100-R270)/100*7.3</f>
        <v>1.1752999999999996</v>
      </c>
      <c r="BH270" s="33"/>
      <c r="BI270" s="33">
        <f>(100-R270)/100*153.96</f>
        <v>24.787559999999992</v>
      </c>
      <c r="BJ270" s="33"/>
      <c r="BK270" s="33"/>
      <c r="BL270" s="33">
        <f>(100-R270)/100*10.65</f>
        <v>1.7146499999999996</v>
      </c>
      <c r="BM270" s="6"/>
      <c r="BS270" s="33"/>
      <c r="BT270" s="33"/>
      <c r="BU270" s="33"/>
      <c r="BV270" s="33"/>
      <c r="CG270" s="1">
        <v>0</v>
      </c>
      <c r="CO270" s="33"/>
      <c r="CP270" s="1">
        <v>7.5</v>
      </c>
      <c r="CQ270" s="33"/>
      <c r="CR270" s="33"/>
      <c r="EA270" s="33"/>
      <c r="EB270" s="50"/>
      <c r="EC270" s="50"/>
      <c r="ED270" s="50"/>
      <c r="EE270" s="50"/>
      <c r="EF270" s="50"/>
      <c r="EG270" s="50"/>
      <c r="EH270" s="50"/>
      <c r="EI270" s="50"/>
      <c r="EJ270" s="50"/>
      <c r="EK270" s="50"/>
      <c r="EL270" s="50"/>
      <c r="EM270" s="50"/>
      <c r="EN270" s="50"/>
      <c r="EV270" s="1">
        <v>271.33</v>
      </c>
      <c r="EX270" s="44">
        <v>20.94</v>
      </c>
      <c r="GC270" s="33"/>
    </row>
    <row r="271" spans="1:185" x14ac:dyDescent="0.2">
      <c r="A271" s="15"/>
      <c r="P271" s="33"/>
      <c r="Q271" s="33"/>
      <c r="X271" s="6"/>
      <c r="Y271" s="6"/>
      <c r="AA271" s="6"/>
      <c r="AB271" s="6"/>
      <c r="AC271" s="6"/>
      <c r="AD271" s="6"/>
      <c r="AE271" s="6"/>
      <c r="AF271" s="6"/>
      <c r="AG271" s="6"/>
      <c r="AO271" s="6"/>
      <c r="AW271" s="6"/>
      <c r="BM271" s="6"/>
      <c r="GC271" s="33"/>
    </row>
  </sheetData>
  <pageMargins left="0.7" right="0.7" top="0.75" bottom="0.75" header="0.3" footer="0.3"/>
  <pageSetup paperSize="9" orientation="portrait" r:id="rId1"/>
  <ignoredErrors>
    <ignoredError sqref="A4:A251 A252:A27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HW14"/>
  <sheetViews>
    <sheetView zoomScale="130" zoomScaleNormal="130" zoomScalePageLayoutView="130" workbookViewId="0">
      <pane ySplit="3" topLeftCell="A4" activePane="bottomLeft" state="frozen"/>
      <selection pane="bottomLeft" activeCell="A17" sqref="A17"/>
    </sheetView>
  </sheetViews>
  <sheetFormatPr baseColWidth="10" defaultColWidth="11.5" defaultRowHeight="14" x14ac:dyDescent="0.2"/>
  <cols>
    <col min="1" max="49" width="11.5" style="1"/>
    <col min="50" max="53" width="11.83203125" style="1" customWidth="1"/>
    <col min="54" max="190" width="11.5" style="1"/>
    <col min="193" max="16384" width="11.5" style="1"/>
  </cols>
  <sheetData>
    <row r="1" spans="1:231" s="4" customFormat="1" ht="30.5" customHeight="1" x14ac:dyDescent="0.15">
      <c r="A1" s="4" t="s">
        <v>64</v>
      </c>
      <c r="B1" s="4" t="s">
        <v>65</v>
      </c>
      <c r="C1" s="4" t="s">
        <v>66</v>
      </c>
      <c r="D1" s="4" t="s">
        <v>67</v>
      </c>
      <c r="E1" s="4" t="s">
        <v>6</v>
      </c>
      <c r="F1" s="4" t="s">
        <v>239</v>
      </c>
      <c r="G1" s="4" t="s">
        <v>68</v>
      </c>
      <c r="H1" s="4" t="s">
        <v>69</v>
      </c>
      <c r="I1" s="4" t="s">
        <v>13</v>
      </c>
      <c r="J1" s="4" t="s">
        <v>70</v>
      </c>
      <c r="K1" s="4" t="s">
        <v>71</v>
      </c>
      <c r="L1" s="4" t="s">
        <v>240</v>
      </c>
      <c r="M1" s="4" t="s">
        <v>19</v>
      </c>
      <c r="N1" s="4" t="s">
        <v>72</v>
      </c>
      <c r="O1" s="14" t="s">
        <v>1068</v>
      </c>
      <c r="P1" s="14" t="s">
        <v>243</v>
      </c>
      <c r="Q1" s="14" t="s">
        <v>244</v>
      </c>
      <c r="R1" s="14" t="s">
        <v>1069</v>
      </c>
      <c r="S1" s="4" t="s">
        <v>73</v>
      </c>
      <c r="T1" s="4" t="s">
        <v>74</v>
      </c>
      <c r="U1" s="14" t="s">
        <v>1070</v>
      </c>
      <c r="V1" s="14" t="s">
        <v>1071</v>
      </c>
      <c r="W1" s="14" t="s">
        <v>7023</v>
      </c>
      <c r="X1" s="4" t="s">
        <v>6193</v>
      </c>
      <c r="Y1" s="14" t="s">
        <v>7026</v>
      </c>
      <c r="Z1" s="4" t="s">
        <v>246</v>
      </c>
      <c r="AA1" s="14" t="s">
        <v>1072</v>
      </c>
      <c r="AB1" s="4" t="s">
        <v>76</v>
      </c>
      <c r="AC1" s="4" t="s">
        <v>77</v>
      </c>
      <c r="AD1" s="4" t="s">
        <v>78</v>
      </c>
      <c r="AE1" s="4" t="s">
        <v>79</v>
      </c>
      <c r="AF1" s="4" t="s">
        <v>6195</v>
      </c>
      <c r="AG1" s="14" t="s">
        <v>6989</v>
      </c>
      <c r="AH1" s="14" t="s">
        <v>247</v>
      </c>
      <c r="AI1" s="14" t="s">
        <v>6200</v>
      </c>
      <c r="AJ1" s="14" t="s">
        <v>7036</v>
      </c>
      <c r="AK1" s="14" t="s">
        <v>6201</v>
      </c>
      <c r="AL1" s="14" t="s">
        <v>6202</v>
      </c>
      <c r="AM1" s="4" t="s">
        <v>82</v>
      </c>
      <c r="AN1" s="4" t="s">
        <v>83</v>
      </c>
      <c r="AO1" s="14" t="s">
        <v>6992</v>
      </c>
      <c r="AP1" s="14" t="s">
        <v>6203</v>
      </c>
      <c r="AQ1" s="14" t="s">
        <v>6204</v>
      </c>
      <c r="AR1" s="14" t="s">
        <v>7038</v>
      </c>
      <c r="AS1" s="14" t="s">
        <v>6205</v>
      </c>
      <c r="AT1" s="14" t="s">
        <v>6245</v>
      </c>
      <c r="AU1" s="14" t="s">
        <v>7039</v>
      </c>
      <c r="AV1" s="4" t="s">
        <v>84</v>
      </c>
      <c r="AW1" s="14" t="s">
        <v>7042</v>
      </c>
      <c r="AX1" s="4" t="s">
        <v>85</v>
      </c>
      <c r="AY1" s="14" t="s">
        <v>1081</v>
      </c>
      <c r="AZ1" s="14" t="s">
        <v>250</v>
      </c>
      <c r="BA1" s="14" t="s">
        <v>1082</v>
      </c>
      <c r="BB1" s="4" t="s">
        <v>86</v>
      </c>
      <c r="BC1" s="4" t="s">
        <v>87</v>
      </c>
      <c r="BD1" s="4" t="s">
        <v>88</v>
      </c>
      <c r="BE1" s="4" t="s">
        <v>89</v>
      </c>
      <c r="BF1" s="4" t="s">
        <v>251</v>
      </c>
      <c r="BG1" s="14" t="s">
        <v>1084</v>
      </c>
      <c r="BH1" s="4" t="s">
        <v>90</v>
      </c>
      <c r="BI1" s="14" t="s">
        <v>1086</v>
      </c>
      <c r="BJ1" s="14" t="s">
        <v>91</v>
      </c>
      <c r="BK1" s="14" t="s">
        <v>1088</v>
      </c>
      <c r="BL1" s="14" t="s">
        <v>1089</v>
      </c>
      <c r="BM1" s="14" t="s">
        <v>1091</v>
      </c>
      <c r="BN1" s="4" t="s">
        <v>92</v>
      </c>
      <c r="BO1" s="14" t="s">
        <v>252</v>
      </c>
      <c r="BP1" s="14" t="s">
        <v>6207</v>
      </c>
      <c r="BQ1" s="14" t="s">
        <v>6208</v>
      </c>
      <c r="BR1" s="14" t="s">
        <v>253</v>
      </c>
      <c r="BS1" s="14" t="s">
        <v>254</v>
      </c>
      <c r="BT1" s="14" t="s">
        <v>1097</v>
      </c>
      <c r="BU1" s="14" t="s">
        <v>255</v>
      </c>
      <c r="BV1" s="14" t="s">
        <v>6210</v>
      </c>
      <c r="BW1" s="14" t="s">
        <v>1101</v>
      </c>
      <c r="BX1" s="14" t="s">
        <v>256</v>
      </c>
      <c r="BY1" s="14" t="s">
        <v>257</v>
      </c>
      <c r="BZ1" s="14" t="s">
        <v>7000</v>
      </c>
      <c r="CA1" s="14" t="s">
        <v>6211</v>
      </c>
      <c r="CB1" s="14" t="s">
        <v>7562</v>
      </c>
      <c r="CC1" s="14" t="s">
        <v>7158</v>
      </c>
      <c r="CD1" s="14" t="s">
        <v>258</v>
      </c>
      <c r="CE1" s="14" t="s">
        <v>7049</v>
      </c>
      <c r="CF1" s="14" t="s">
        <v>6214</v>
      </c>
      <c r="CG1" s="14" t="s">
        <v>7003</v>
      </c>
      <c r="CH1" s="14" t="s">
        <v>260</v>
      </c>
      <c r="CI1" s="14" t="s">
        <v>6215</v>
      </c>
      <c r="CJ1" s="14" t="s">
        <v>6216</v>
      </c>
      <c r="CK1" s="14" t="s">
        <v>6217</v>
      </c>
      <c r="CL1" s="14" t="s">
        <v>1105</v>
      </c>
      <c r="CM1" s="14" t="s">
        <v>7056</v>
      </c>
      <c r="CN1" s="14" t="s">
        <v>7057</v>
      </c>
      <c r="CO1" s="14" t="s">
        <v>7058</v>
      </c>
      <c r="CP1" s="14" t="s">
        <v>7059</v>
      </c>
      <c r="CQ1" s="4" t="s">
        <v>93</v>
      </c>
      <c r="CR1" s="4" t="s">
        <v>94</v>
      </c>
      <c r="CS1" s="14" t="s">
        <v>6832</v>
      </c>
      <c r="CT1" s="14" t="s">
        <v>1106</v>
      </c>
      <c r="CU1" s="4" t="s">
        <v>95</v>
      </c>
      <c r="CV1" s="14" t="s">
        <v>1112</v>
      </c>
      <c r="CW1" s="14" t="s">
        <v>261</v>
      </c>
      <c r="CX1" s="14" t="s">
        <v>262</v>
      </c>
      <c r="CY1" s="14" t="s">
        <v>263</v>
      </c>
      <c r="CZ1" s="14" t="s">
        <v>264</v>
      </c>
      <c r="DA1" s="14" t="s">
        <v>265</v>
      </c>
      <c r="DB1" s="14" t="s">
        <v>248</v>
      </c>
      <c r="DC1" s="14" t="s">
        <v>7030</v>
      </c>
      <c r="DD1" s="14" t="s">
        <v>6198</v>
      </c>
      <c r="DE1" s="14" t="s">
        <v>7031</v>
      </c>
      <c r="DF1" s="4" t="s">
        <v>96</v>
      </c>
      <c r="DG1" s="4" t="s">
        <v>100</v>
      </c>
      <c r="DH1" s="4" t="s">
        <v>97</v>
      </c>
      <c r="DI1" s="4" t="s">
        <v>101</v>
      </c>
      <c r="DJ1" s="4" t="s">
        <v>98</v>
      </c>
      <c r="DK1" s="14" t="s">
        <v>1114</v>
      </c>
      <c r="DL1" s="4" t="s">
        <v>99</v>
      </c>
      <c r="DM1" s="4" t="s">
        <v>81</v>
      </c>
      <c r="DN1" s="14" t="s">
        <v>6196</v>
      </c>
      <c r="DO1" s="14" t="s">
        <v>7029</v>
      </c>
      <c r="DP1" s="14" t="s">
        <v>7046</v>
      </c>
      <c r="DQ1" s="4" t="s">
        <v>102</v>
      </c>
      <c r="DR1" s="4" t="s">
        <v>103</v>
      </c>
      <c r="DS1" s="4" t="s">
        <v>104</v>
      </c>
      <c r="DT1" s="4" t="s">
        <v>105</v>
      </c>
      <c r="DU1" s="4" t="s">
        <v>106</v>
      </c>
      <c r="DV1" s="4" t="s">
        <v>107</v>
      </c>
      <c r="DW1" s="4" t="s">
        <v>108</v>
      </c>
      <c r="DX1" s="4" t="s">
        <v>109</v>
      </c>
      <c r="DY1" s="4" t="s">
        <v>110</v>
      </c>
      <c r="DZ1" s="4" t="s">
        <v>111</v>
      </c>
      <c r="EA1" s="14" t="s">
        <v>5154</v>
      </c>
      <c r="EB1" s="14" t="s">
        <v>5165</v>
      </c>
      <c r="EC1" s="4" t="s">
        <v>112</v>
      </c>
      <c r="ED1" s="4" t="s">
        <v>113</v>
      </c>
      <c r="EE1" s="4" t="s">
        <v>114</v>
      </c>
      <c r="EF1" s="4" t="s">
        <v>115</v>
      </c>
      <c r="EG1" s="4" t="s">
        <v>116</v>
      </c>
      <c r="EH1" s="4" t="s">
        <v>117</v>
      </c>
      <c r="EI1" s="4" t="s">
        <v>118</v>
      </c>
      <c r="EJ1" s="4" t="s">
        <v>119</v>
      </c>
      <c r="EK1" s="4" t="s">
        <v>120</v>
      </c>
      <c r="EL1" s="4" t="s">
        <v>121</v>
      </c>
      <c r="EM1" s="4" t="s">
        <v>122</v>
      </c>
      <c r="EN1" s="14" t="s">
        <v>5180</v>
      </c>
      <c r="EO1" s="4" t="s">
        <v>123</v>
      </c>
      <c r="EP1" s="14" t="s">
        <v>5192</v>
      </c>
      <c r="EQ1" s="14" t="s">
        <v>5197</v>
      </c>
      <c r="ER1" s="4" t="s">
        <v>124</v>
      </c>
      <c r="ES1" s="4" t="s">
        <v>125</v>
      </c>
      <c r="ET1" s="4" t="s">
        <v>126</v>
      </c>
      <c r="EU1" s="4" t="s">
        <v>127</v>
      </c>
      <c r="EV1" s="4" t="s">
        <v>128</v>
      </c>
      <c r="EW1" s="14" t="s">
        <v>5220</v>
      </c>
      <c r="EX1" s="14" t="s">
        <v>5217</v>
      </c>
      <c r="EY1" s="4" t="s">
        <v>129</v>
      </c>
      <c r="EZ1" s="14" t="s">
        <v>5225</v>
      </c>
      <c r="FA1" s="4" t="s">
        <v>130</v>
      </c>
      <c r="FB1" s="4" t="s">
        <v>131</v>
      </c>
      <c r="FC1" s="14" t="s">
        <v>5237</v>
      </c>
      <c r="FD1" s="14" t="s">
        <v>5235</v>
      </c>
      <c r="FE1" s="4" t="s">
        <v>132</v>
      </c>
      <c r="FF1" s="14" t="s">
        <v>5239</v>
      </c>
      <c r="FG1" s="14" t="s">
        <v>5248</v>
      </c>
      <c r="FH1" s="14" t="s">
        <v>5252</v>
      </c>
      <c r="FI1" s="14" t="s">
        <v>5255</v>
      </c>
      <c r="FJ1" s="14" t="s">
        <v>5259</v>
      </c>
      <c r="FK1" s="14" t="s">
        <v>5264</v>
      </c>
      <c r="FL1" s="14" t="s">
        <v>5267</v>
      </c>
      <c r="FM1" s="14" t="s">
        <v>6866</v>
      </c>
      <c r="FN1" s="4" t="s">
        <v>151</v>
      </c>
      <c r="FO1" s="4" t="s">
        <v>133</v>
      </c>
      <c r="FP1" s="4" t="s">
        <v>134</v>
      </c>
      <c r="FQ1" s="4" t="s">
        <v>135</v>
      </c>
      <c r="FR1" s="14" t="s">
        <v>267</v>
      </c>
      <c r="FS1" s="4" t="s">
        <v>136</v>
      </c>
      <c r="FT1" s="14" t="s">
        <v>1118</v>
      </c>
      <c r="FU1" s="4" t="s">
        <v>137</v>
      </c>
      <c r="FV1" s="4" t="s">
        <v>138</v>
      </c>
      <c r="FW1" s="4" t="s">
        <v>139</v>
      </c>
      <c r="FX1" s="4" t="s">
        <v>140</v>
      </c>
      <c r="FY1" s="4" t="s">
        <v>141</v>
      </c>
      <c r="FZ1" s="4" t="s">
        <v>142</v>
      </c>
      <c r="GA1" s="4" t="s">
        <v>143</v>
      </c>
      <c r="GB1" s="4" t="s">
        <v>144</v>
      </c>
      <c r="GC1" s="4" t="s">
        <v>145</v>
      </c>
      <c r="GD1" s="4" t="s">
        <v>146</v>
      </c>
      <c r="GE1" s="4" t="s">
        <v>147</v>
      </c>
      <c r="GF1" s="4" t="s">
        <v>148</v>
      </c>
      <c r="GG1" s="4" t="s">
        <v>149</v>
      </c>
      <c r="GH1" s="4" t="s">
        <v>150</v>
      </c>
      <c r="GI1" s="14" t="s">
        <v>7071</v>
      </c>
      <c r="GJ1" s="14" t="s">
        <v>6220</v>
      </c>
      <c r="GK1" s="14" t="s">
        <v>269</v>
      </c>
      <c r="GL1" s="14" t="s">
        <v>268</v>
      </c>
      <c r="GM1" s="14" t="s">
        <v>7072</v>
      </c>
      <c r="GN1" s="14" t="s">
        <v>7073</v>
      </c>
      <c r="GO1" s="14" t="s">
        <v>7074</v>
      </c>
      <c r="GP1" s="14" t="s">
        <v>7075</v>
      </c>
      <c r="GQ1" s="14" t="s">
        <v>6223</v>
      </c>
      <c r="GR1" s="14" t="s">
        <v>6224</v>
      </c>
      <c r="GS1" s="14" t="s">
        <v>6226</v>
      </c>
      <c r="GT1" s="14" t="s">
        <v>7076</v>
      </c>
      <c r="GU1" s="14" t="s">
        <v>6225</v>
      </c>
      <c r="GV1" s="14" t="s">
        <v>6227</v>
      </c>
      <c r="GW1" s="14" t="s">
        <v>6228</v>
      </c>
      <c r="GX1" s="14" t="s">
        <v>7013</v>
      </c>
      <c r="GY1" s="14" t="s">
        <v>6229</v>
      </c>
      <c r="GZ1" s="14" t="s">
        <v>6230</v>
      </c>
      <c r="HA1" s="14" t="s">
        <v>6231</v>
      </c>
      <c r="HB1" s="14" t="s">
        <v>6232</v>
      </c>
      <c r="HC1" s="14" t="s">
        <v>6219</v>
      </c>
      <c r="HD1" s="14" t="s">
        <v>7014</v>
      </c>
      <c r="HE1" s="14" t="s">
        <v>6233</v>
      </c>
      <c r="HF1" s="14" t="s">
        <v>7077</v>
      </c>
      <c r="HG1" s="14" t="s">
        <v>271</v>
      </c>
      <c r="HH1" s="14" t="s">
        <v>270</v>
      </c>
      <c r="HI1" s="14" t="s">
        <v>7078</v>
      </c>
      <c r="HJ1" s="14" t="s">
        <v>7079</v>
      </c>
      <c r="HK1" s="14" t="s">
        <v>7015</v>
      </c>
      <c r="HL1" s="14" t="s">
        <v>7080</v>
      </c>
      <c r="HM1" s="14" t="s">
        <v>6234</v>
      </c>
      <c r="HN1" s="14" t="s">
        <v>7081</v>
      </c>
      <c r="HO1" s="14" t="s">
        <v>7082</v>
      </c>
      <c r="HP1" s="14" t="s">
        <v>7083</v>
      </c>
      <c r="HQ1" s="14" t="s">
        <v>7084</v>
      </c>
      <c r="HR1" s="14" t="s">
        <v>6235</v>
      </c>
      <c r="HS1" s="14" t="s">
        <v>6236</v>
      </c>
      <c r="HT1" s="14" t="s">
        <v>6237</v>
      </c>
      <c r="HU1" s="14" t="s">
        <v>272</v>
      </c>
      <c r="HV1" s="14" t="s">
        <v>7085</v>
      </c>
      <c r="HW1" s="14" t="s">
        <v>273</v>
      </c>
    </row>
    <row r="2" spans="1:231" ht="58.5" customHeight="1" x14ac:dyDescent="0.2">
      <c r="A2" s="5"/>
      <c r="B2" s="5" t="s">
        <v>152</v>
      </c>
      <c r="C2" s="5"/>
      <c r="D2" s="5"/>
      <c r="E2" s="5" t="s">
        <v>153</v>
      </c>
      <c r="F2" s="5"/>
      <c r="G2" s="5" t="s">
        <v>154</v>
      </c>
      <c r="H2" s="5" t="s">
        <v>155</v>
      </c>
      <c r="I2" s="5" t="s">
        <v>14</v>
      </c>
      <c r="J2" s="5"/>
      <c r="K2" s="5"/>
      <c r="L2" s="5"/>
      <c r="M2" s="5"/>
      <c r="N2" s="5"/>
      <c r="O2" s="20" t="s">
        <v>6777</v>
      </c>
      <c r="P2" s="20" t="s">
        <v>6689</v>
      </c>
      <c r="Q2" s="20" t="s">
        <v>6689</v>
      </c>
      <c r="R2" s="20" t="s">
        <v>6776</v>
      </c>
      <c r="S2" s="20" t="s">
        <v>6690</v>
      </c>
      <c r="T2" s="20" t="s">
        <v>276</v>
      </c>
      <c r="U2" s="20" t="s">
        <v>6778</v>
      </c>
      <c r="V2" s="20" t="s">
        <v>7024</v>
      </c>
      <c r="W2" s="20" t="s">
        <v>7025</v>
      </c>
      <c r="X2" s="20" t="s">
        <v>6691</v>
      </c>
      <c r="Y2" s="20" t="s">
        <v>7027</v>
      </c>
      <c r="Z2" s="20" t="s">
        <v>6692</v>
      </c>
      <c r="AA2" s="20" t="s">
        <v>6693</v>
      </c>
      <c r="AB2" s="20" t="s">
        <v>6694</v>
      </c>
      <c r="AC2" s="20" t="s">
        <v>6695</v>
      </c>
      <c r="AD2" s="20" t="s">
        <v>162</v>
      </c>
      <c r="AE2" s="20" t="s">
        <v>6696</v>
      </c>
      <c r="AF2" s="20" t="s">
        <v>6697</v>
      </c>
      <c r="AG2" s="20" t="s">
        <v>6990</v>
      </c>
      <c r="AH2" s="20" t="s">
        <v>6782</v>
      </c>
      <c r="AI2" s="20" t="s">
        <v>6784</v>
      </c>
      <c r="AJ2" s="20" t="s">
        <v>7037</v>
      </c>
      <c r="AK2" s="20" t="s">
        <v>6785</v>
      </c>
      <c r="AL2" s="20" t="s">
        <v>6770</v>
      </c>
      <c r="AM2" s="20" t="s">
        <v>6700</v>
      </c>
      <c r="AN2" s="20" t="s">
        <v>6786</v>
      </c>
      <c r="AO2" s="20" t="s">
        <v>6993</v>
      </c>
      <c r="AP2" s="20" t="s">
        <v>6994</v>
      </c>
      <c r="AQ2" s="20" t="s">
        <v>6995</v>
      </c>
      <c r="AR2" s="20" t="s">
        <v>7040</v>
      </c>
      <c r="AS2" s="20" t="s">
        <v>6787</v>
      </c>
      <c r="AT2" s="20" t="s">
        <v>6788</v>
      </c>
      <c r="AU2" s="20" t="s">
        <v>7041</v>
      </c>
      <c r="AV2" s="20" t="s">
        <v>6701</v>
      </c>
      <c r="AW2" s="20" t="s">
        <v>7043</v>
      </c>
      <c r="AX2" s="20" t="s">
        <v>6702</v>
      </c>
      <c r="AY2" s="20" t="s">
        <v>6789</v>
      </c>
      <c r="AZ2" s="20" t="s">
        <v>6790</v>
      </c>
      <c r="BA2" s="20" t="s">
        <v>6791</v>
      </c>
      <c r="BB2" s="20" t="s">
        <v>6703</v>
      </c>
      <c r="BC2" s="20" t="s">
        <v>6704</v>
      </c>
      <c r="BD2" s="20" t="s">
        <v>6705</v>
      </c>
      <c r="BE2" s="20" t="s">
        <v>6706</v>
      </c>
      <c r="BF2" s="20" t="s">
        <v>6707</v>
      </c>
      <c r="BG2" s="20" t="s">
        <v>6793</v>
      </c>
      <c r="BH2" s="20" t="s">
        <v>6708</v>
      </c>
      <c r="BI2" s="20" t="s">
        <v>6794</v>
      </c>
      <c r="BJ2" s="20" t="s">
        <v>6709</v>
      </c>
      <c r="BK2" s="20" t="s">
        <v>6796</v>
      </c>
      <c r="BL2" s="20" t="s">
        <v>6797</v>
      </c>
      <c r="BM2" s="20" t="s">
        <v>7044</v>
      </c>
      <c r="BN2" s="20" t="s">
        <v>6710</v>
      </c>
      <c r="BO2" s="20" t="s">
        <v>6802</v>
      </c>
      <c r="BP2" s="20" t="s">
        <v>6998</v>
      </c>
      <c r="BQ2" s="20" t="s">
        <v>7048</v>
      </c>
      <c r="BR2" s="20" t="s">
        <v>7050</v>
      </c>
      <c r="BS2" s="20" t="s">
        <v>7051</v>
      </c>
      <c r="BT2" s="20" t="s">
        <v>6999</v>
      </c>
      <c r="BU2" s="20" t="s">
        <v>7052</v>
      </c>
      <c r="BV2" s="20" t="s">
        <v>6813</v>
      </c>
      <c r="BW2" s="20" t="s">
        <v>6814</v>
      </c>
      <c r="BX2" s="20" t="s">
        <v>6815</v>
      </c>
      <c r="BY2" s="20" t="s">
        <v>6816</v>
      </c>
      <c r="BZ2" s="20" t="s">
        <v>7001</v>
      </c>
      <c r="CA2" s="20" t="s">
        <v>7002</v>
      </c>
      <c r="CB2" s="20" t="s">
        <v>7053</v>
      </c>
      <c r="CC2" s="20" t="s">
        <v>6821</v>
      </c>
      <c r="CD2" s="20" t="s">
        <v>6822</v>
      </c>
      <c r="CE2" s="20" t="s">
        <v>7054</v>
      </c>
      <c r="CF2" s="20" t="s">
        <v>6823</v>
      </c>
      <c r="CG2" s="20" t="s">
        <v>7004</v>
      </c>
      <c r="CH2" s="20" t="s">
        <v>7055</v>
      </c>
      <c r="CI2" s="20" t="s">
        <v>6824</v>
      </c>
      <c r="CJ2" s="20" t="s">
        <v>6680</v>
      </c>
      <c r="CK2" s="20" t="s">
        <v>6828</v>
      </c>
      <c r="CL2" s="20" t="s">
        <v>7060</v>
      </c>
      <c r="CM2" s="20" t="s">
        <v>7061</v>
      </c>
      <c r="CN2" s="20" t="s">
        <v>7062</v>
      </c>
      <c r="CO2" s="20" t="s">
        <v>7063</v>
      </c>
      <c r="CP2" s="20" t="s">
        <v>7064</v>
      </c>
      <c r="CQ2" s="20" t="s">
        <v>6711</v>
      </c>
      <c r="CR2" s="20" t="s">
        <v>6712</v>
      </c>
      <c r="CS2" s="20" t="s">
        <v>6833</v>
      </c>
      <c r="CT2" s="20" t="s">
        <v>6834</v>
      </c>
      <c r="CU2" s="20" t="s">
        <v>6713</v>
      </c>
      <c r="CV2" s="20" t="s">
        <v>7065</v>
      </c>
      <c r="CW2" s="20" t="s">
        <v>6875</v>
      </c>
      <c r="CX2" s="20" t="s">
        <v>6714</v>
      </c>
      <c r="CY2" s="20" t="s">
        <v>298</v>
      </c>
      <c r="CZ2" s="20" t="s">
        <v>299</v>
      </c>
      <c r="DA2" s="20" t="s">
        <v>6878</v>
      </c>
      <c r="DB2" s="20" t="s">
        <v>7033</v>
      </c>
      <c r="DC2" s="20" t="s">
        <v>7034</v>
      </c>
      <c r="DD2" s="20" t="s">
        <v>6991</v>
      </c>
      <c r="DE2" s="20" t="s">
        <v>7035</v>
      </c>
      <c r="DF2" s="20" t="s">
        <v>6715</v>
      </c>
      <c r="DG2" s="20" t="s">
        <v>6726</v>
      </c>
      <c r="DH2" s="20" t="s">
        <v>6723</v>
      </c>
      <c r="DI2" s="20" t="s">
        <v>6727</v>
      </c>
      <c r="DJ2" s="20" t="s">
        <v>6724</v>
      </c>
      <c r="DK2" s="20" t="s">
        <v>7045</v>
      </c>
      <c r="DL2" s="20" t="s">
        <v>6725</v>
      </c>
      <c r="DM2" s="20" t="s">
        <v>165</v>
      </c>
      <c r="DN2" s="20" t="s">
        <v>6698</v>
      </c>
      <c r="DO2" s="20" t="s">
        <v>7032</v>
      </c>
      <c r="DP2" s="20" t="s">
        <v>7047</v>
      </c>
      <c r="DQ2" s="20" t="s">
        <v>6728</v>
      </c>
      <c r="DR2" s="20" t="s">
        <v>6729</v>
      </c>
      <c r="DS2" s="20" t="s">
        <v>6730</v>
      </c>
      <c r="DT2" s="20" t="s">
        <v>6731</v>
      </c>
      <c r="DU2" s="20" t="s">
        <v>6732</v>
      </c>
      <c r="DV2" s="20" t="s">
        <v>7067</v>
      </c>
      <c r="DW2" s="20" t="s">
        <v>7066</v>
      </c>
      <c r="DX2" s="20" t="s">
        <v>7069</v>
      </c>
      <c r="DY2" s="20" t="s">
        <v>7068</v>
      </c>
      <c r="DZ2" s="20" t="s">
        <v>6733</v>
      </c>
      <c r="EA2" s="20" t="s">
        <v>7070</v>
      </c>
      <c r="EB2" s="20" t="s">
        <v>6887</v>
      </c>
      <c r="EC2" s="20" t="s">
        <v>6734</v>
      </c>
      <c r="ED2" s="20" t="s">
        <v>6735</v>
      </c>
      <c r="EE2" s="20" t="s">
        <v>6736</v>
      </c>
      <c r="EF2" s="20" t="s">
        <v>6737</v>
      </c>
      <c r="EG2" s="20" t="s">
        <v>6716</v>
      </c>
      <c r="EH2" s="20" t="s">
        <v>6738</v>
      </c>
      <c r="EI2" s="20" t="s">
        <v>6717</v>
      </c>
      <c r="EJ2" s="20" t="s">
        <v>6739</v>
      </c>
      <c r="EK2" s="20" t="s">
        <v>6740</v>
      </c>
      <c r="EL2" s="20" t="s">
        <v>6741</v>
      </c>
      <c r="EM2" s="20" t="s">
        <v>6742</v>
      </c>
      <c r="EN2" s="20" t="s">
        <v>6899</v>
      </c>
      <c r="EO2" s="20" t="s">
        <v>6743</v>
      </c>
      <c r="EP2" s="20" t="s">
        <v>6911</v>
      </c>
      <c r="EQ2" s="20" t="s">
        <v>6916</v>
      </c>
      <c r="ER2" s="20" t="s">
        <v>6718</v>
      </c>
      <c r="ES2" s="20" t="s">
        <v>6744</v>
      </c>
      <c r="ET2" s="20" t="s">
        <v>6745</v>
      </c>
      <c r="EU2" s="20" t="s">
        <v>6746</v>
      </c>
      <c r="EV2" s="20" t="s">
        <v>6747</v>
      </c>
      <c r="EW2" s="20" t="s">
        <v>6938</v>
      </c>
      <c r="EX2" s="20" t="s">
        <v>6935</v>
      </c>
      <c r="EY2" s="20" t="s">
        <v>6719</v>
      </c>
      <c r="EZ2" s="20" t="s">
        <v>6940</v>
      </c>
      <c r="FA2" s="20" t="s">
        <v>6748</v>
      </c>
      <c r="FB2" s="20" t="s">
        <v>6749</v>
      </c>
      <c r="FC2" s="20" t="s">
        <v>6946</v>
      </c>
      <c r="FD2" s="20" t="s">
        <v>6945</v>
      </c>
      <c r="FE2" s="20" t="s">
        <v>6720</v>
      </c>
      <c r="FF2" s="20" t="s">
        <v>6948</v>
      </c>
      <c r="FG2" s="20" t="s">
        <v>6953</v>
      </c>
      <c r="FH2" s="20" t="s">
        <v>6955</v>
      </c>
      <c r="FI2" s="20" t="s">
        <v>6958</v>
      </c>
      <c r="FJ2" s="20" t="s">
        <v>6960</v>
      </c>
      <c r="FK2" s="20" t="s">
        <v>6961</v>
      </c>
      <c r="FL2" s="20" t="s">
        <v>6964</v>
      </c>
      <c r="FM2" s="20" t="s">
        <v>6970</v>
      </c>
      <c r="FN2" s="20" t="s">
        <v>6768</v>
      </c>
      <c r="FO2" s="20" t="s">
        <v>6750</v>
      </c>
      <c r="FP2" s="20" t="s">
        <v>6751</v>
      </c>
      <c r="FQ2" s="20" t="s">
        <v>6752</v>
      </c>
      <c r="FR2" s="20" t="s">
        <v>6769</v>
      </c>
      <c r="FS2" s="20" t="s">
        <v>6753</v>
      </c>
      <c r="FT2" s="20" t="s">
        <v>6976</v>
      </c>
      <c r="FU2" s="20" t="s">
        <v>6754</v>
      </c>
      <c r="FV2" s="20" t="s">
        <v>6755</v>
      </c>
      <c r="FW2" s="20" t="s">
        <v>6756</v>
      </c>
      <c r="FX2" s="20" t="s">
        <v>6757</v>
      </c>
      <c r="FY2" s="20" t="s">
        <v>6758</v>
      </c>
      <c r="FZ2" s="20" t="s">
        <v>6759</v>
      </c>
      <c r="GA2" s="20" t="s">
        <v>6760</v>
      </c>
      <c r="GB2" s="20" t="s">
        <v>6761</v>
      </c>
      <c r="GC2" s="20" t="s">
        <v>6762</v>
      </c>
      <c r="GD2" s="20" t="s">
        <v>6763</v>
      </c>
      <c r="GE2" s="20" t="s">
        <v>6764</v>
      </c>
      <c r="GF2" s="20" t="s">
        <v>6765</v>
      </c>
      <c r="GG2" s="20" t="s">
        <v>6766</v>
      </c>
      <c r="GH2" s="20" t="s">
        <v>6767</v>
      </c>
      <c r="GI2" s="20" t="s">
        <v>7086</v>
      </c>
      <c r="GJ2" s="20" t="s">
        <v>7009</v>
      </c>
      <c r="GK2" s="20" t="s">
        <v>6721</v>
      </c>
      <c r="GL2" s="20" t="s">
        <v>6771</v>
      </c>
      <c r="GM2" s="20" t="s">
        <v>7087</v>
      </c>
      <c r="GN2" s="20" t="s">
        <v>7088</v>
      </c>
      <c r="GO2" s="20" t="s">
        <v>7089</v>
      </c>
      <c r="GP2" s="20" t="s">
        <v>7090</v>
      </c>
      <c r="GQ2" s="20" t="s">
        <v>7091</v>
      </c>
      <c r="GR2" s="20" t="s">
        <v>7010</v>
      </c>
      <c r="GS2" s="20" t="s">
        <v>7092</v>
      </c>
      <c r="GT2" s="20" t="s">
        <v>7093</v>
      </c>
      <c r="GU2" s="20" t="s">
        <v>7011</v>
      </c>
      <c r="GV2" s="20" t="s">
        <v>7012</v>
      </c>
      <c r="GW2" s="20" t="s">
        <v>7094</v>
      </c>
      <c r="GX2" s="20" t="s">
        <v>7016</v>
      </c>
      <c r="GY2" s="20" t="s">
        <v>7095</v>
      </c>
      <c r="GZ2" s="20" t="s">
        <v>7096</v>
      </c>
      <c r="HA2" s="20" t="s">
        <v>7097</v>
      </c>
      <c r="HB2" s="20" t="s">
        <v>7098</v>
      </c>
      <c r="HC2" s="20" t="s">
        <v>7099</v>
      </c>
      <c r="HD2" s="20" t="s">
        <v>7017</v>
      </c>
      <c r="HE2" s="20" t="s">
        <v>7100</v>
      </c>
      <c r="HF2" s="20" t="s">
        <v>7101</v>
      </c>
      <c r="HG2" s="20" t="s">
        <v>7102</v>
      </c>
      <c r="HH2" s="20" t="s">
        <v>7018</v>
      </c>
      <c r="HI2" s="20" t="s">
        <v>7103</v>
      </c>
      <c r="HJ2" s="20" t="s">
        <v>7104</v>
      </c>
      <c r="HK2" s="20" t="s">
        <v>7019</v>
      </c>
      <c r="HL2" s="20" t="s">
        <v>7105</v>
      </c>
      <c r="HM2" s="20" t="s">
        <v>7020</v>
      </c>
      <c r="HN2" s="20" t="s">
        <v>7106</v>
      </c>
      <c r="HO2" s="20" t="s">
        <v>7107</v>
      </c>
      <c r="HP2" s="20" t="s">
        <v>7108</v>
      </c>
      <c r="HQ2" s="20" t="s">
        <v>7109</v>
      </c>
      <c r="HR2" s="20" t="s">
        <v>7110</v>
      </c>
      <c r="HS2" s="20" t="s">
        <v>7111</v>
      </c>
      <c r="HT2" s="20" t="s">
        <v>7021</v>
      </c>
      <c r="HU2" s="20" t="s">
        <v>7112</v>
      </c>
      <c r="HV2" s="20" t="s">
        <v>7113</v>
      </c>
      <c r="HW2" s="20" t="s">
        <v>7114</v>
      </c>
    </row>
    <row r="3" spans="1:231" s="29" customFormat="1" ht="58.5" hidden="1" customHeight="1" x14ac:dyDescent="0.15">
      <c r="O3" s="29" t="str">
        <f>IF(COUNTA(O4:O65536)=0,"","04")</f>
        <v/>
      </c>
      <c r="P3" s="29" t="str">
        <f>IF(COUNTA(P4:P65536)=0,"","05")</f>
        <v/>
      </c>
      <c r="Q3" s="29" t="str">
        <f t="shared" ref="Q3:R3" si="0">IF(COUNTA(Q4:Q65536)=0,"","05")</f>
        <v/>
      </c>
      <c r="R3" s="29" t="str">
        <f t="shared" si="0"/>
        <v/>
      </c>
      <c r="S3" s="29" t="str">
        <f>IF(COUNTA(S4:S65536)=0,"","06")</f>
        <v>06</v>
      </c>
      <c r="T3" s="29" t="str">
        <f t="shared" ref="T3:CE3" si="1">IF(COUNTA(T4:T65536)=0,"","06")</f>
        <v/>
      </c>
      <c r="U3" s="29" t="str">
        <f t="shared" si="1"/>
        <v/>
      </c>
      <c r="V3" s="29" t="str">
        <f t="shared" si="1"/>
        <v/>
      </c>
      <c r="W3" s="29" t="str">
        <f t="shared" si="1"/>
        <v/>
      </c>
      <c r="X3" s="29" t="str">
        <f t="shared" si="1"/>
        <v/>
      </c>
      <c r="Y3" s="29" t="str">
        <f t="shared" si="1"/>
        <v/>
      </c>
      <c r="Z3" s="29" t="str">
        <f t="shared" si="1"/>
        <v/>
      </c>
      <c r="AA3" s="29" t="str">
        <f t="shared" si="1"/>
        <v/>
      </c>
      <c r="AB3" s="29" t="str">
        <f t="shared" si="1"/>
        <v/>
      </c>
      <c r="AC3" s="29" t="str">
        <f t="shared" si="1"/>
        <v/>
      </c>
      <c r="AD3" s="29" t="str">
        <f t="shared" si="1"/>
        <v/>
      </c>
      <c r="AE3" s="29" t="str">
        <f t="shared" si="1"/>
        <v/>
      </c>
      <c r="AF3" s="29" t="str">
        <f t="shared" si="1"/>
        <v/>
      </c>
      <c r="AG3" s="29" t="str">
        <f t="shared" si="1"/>
        <v/>
      </c>
      <c r="AH3" s="29" t="str">
        <f t="shared" si="1"/>
        <v/>
      </c>
      <c r="AI3" s="29" t="str">
        <f t="shared" si="1"/>
        <v/>
      </c>
      <c r="AJ3" s="29" t="str">
        <f t="shared" si="1"/>
        <v/>
      </c>
      <c r="AK3" s="29" t="str">
        <f t="shared" si="1"/>
        <v/>
      </c>
      <c r="AL3" s="29" t="str">
        <f t="shared" si="1"/>
        <v/>
      </c>
      <c r="AM3" s="29" t="str">
        <f t="shared" si="1"/>
        <v/>
      </c>
      <c r="AN3" s="29" t="str">
        <f t="shared" si="1"/>
        <v/>
      </c>
      <c r="AO3" s="29" t="str">
        <f t="shared" si="1"/>
        <v/>
      </c>
      <c r="AP3" s="29" t="str">
        <f t="shared" si="1"/>
        <v/>
      </c>
      <c r="AQ3" s="29" t="str">
        <f t="shared" si="1"/>
        <v/>
      </c>
      <c r="AR3" s="29" t="str">
        <f t="shared" si="1"/>
        <v/>
      </c>
      <c r="AS3" s="29" t="str">
        <f t="shared" si="1"/>
        <v/>
      </c>
      <c r="AT3" s="29" t="str">
        <f t="shared" si="1"/>
        <v/>
      </c>
      <c r="AU3" s="29" t="str">
        <f t="shared" si="1"/>
        <v/>
      </c>
      <c r="AV3" s="29" t="str">
        <f t="shared" si="1"/>
        <v/>
      </c>
      <c r="AW3" s="29" t="str">
        <f t="shared" si="1"/>
        <v/>
      </c>
      <c r="AX3" s="29" t="str">
        <f t="shared" si="1"/>
        <v>06</v>
      </c>
      <c r="AY3" s="29" t="str">
        <f t="shared" si="1"/>
        <v/>
      </c>
      <c r="AZ3" s="29" t="str">
        <f t="shared" si="1"/>
        <v/>
      </c>
      <c r="BA3" s="29" t="str">
        <f t="shared" si="1"/>
        <v/>
      </c>
      <c r="BB3" s="29" t="str">
        <f t="shared" si="1"/>
        <v>06</v>
      </c>
      <c r="BC3" s="29" t="str">
        <f t="shared" si="1"/>
        <v/>
      </c>
      <c r="BD3" s="29" t="str">
        <f t="shared" si="1"/>
        <v>06</v>
      </c>
      <c r="BE3" s="29" t="str">
        <f t="shared" si="1"/>
        <v>06</v>
      </c>
      <c r="BF3" s="29" t="str">
        <f t="shared" si="1"/>
        <v>06</v>
      </c>
      <c r="BG3" s="29" t="str">
        <f t="shared" si="1"/>
        <v/>
      </c>
      <c r="BH3" s="29" t="str">
        <f t="shared" si="1"/>
        <v>06</v>
      </c>
      <c r="BI3" s="29" t="str">
        <f t="shared" si="1"/>
        <v/>
      </c>
      <c r="BJ3" s="29" t="str">
        <f t="shared" si="1"/>
        <v>06</v>
      </c>
      <c r="BK3" s="29" t="str">
        <f t="shared" si="1"/>
        <v/>
      </c>
      <c r="BL3" s="29" t="str">
        <f t="shared" si="1"/>
        <v/>
      </c>
      <c r="BM3" s="29" t="str">
        <f t="shared" si="1"/>
        <v/>
      </c>
      <c r="BN3" s="29" t="str">
        <f t="shared" si="1"/>
        <v>06</v>
      </c>
      <c r="BO3" s="29" t="str">
        <f t="shared" si="1"/>
        <v/>
      </c>
      <c r="BP3" s="29" t="str">
        <f t="shared" si="1"/>
        <v/>
      </c>
      <c r="BQ3" s="29" t="str">
        <f t="shared" si="1"/>
        <v/>
      </c>
      <c r="BR3" s="29" t="str">
        <f t="shared" si="1"/>
        <v/>
      </c>
      <c r="BS3" s="29" t="str">
        <f t="shared" si="1"/>
        <v/>
      </c>
      <c r="BT3" s="29" t="str">
        <f t="shared" si="1"/>
        <v/>
      </c>
      <c r="BU3" s="29" t="str">
        <f t="shared" si="1"/>
        <v/>
      </c>
      <c r="BV3" s="29" t="str">
        <f t="shared" si="1"/>
        <v/>
      </c>
      <c r="BW3" s="29" t="str">
        <f t="shared" si="1"/>
        <v/>
      </c>
      <c r="BX3" s="29" t="str">
        <f t="shared" si="1"/>
        <v/>
      </c>
      <c r="BY3" s="29" t="str">
        <f t="shared" si="1"/>
        <v/>
      </c>
      <c r="BZ3" s="29" t="str">
        <f t="shared" si="1"/>
        <v/>
      </c>
      <c r="CA3" s="29" t="str">
        <f t="shared" si="1"/>
        <v/>
      </c>
      <c r="CB3" s="29" t="str">
        <f t="shared" si="1"/>
        <v/>
      </c>
      <c r="CC3" s="29" t="str">
        <f t="shared" si="1"/>
        <v/>
      </c>
      <c r="CD3" s="29" t="str">
        <f t="shared" si="1"/>
        <v/>
      </c>
      <c r="CE3" s="29" t="str">
        <f t="shared" si="1"/>
        <v/>
      </c>
      <c r="CF3" s="29" t="str">
        <f t="shared" ref="CF3:EQ3" si="2">IF(COUNTA(CF4:CF65536)=0,"","06")</f>
        <v/>
      </c>
      <c r="CG3" s="29" t="str">
        <f t="shared" si="2"/>
        <v/>
      </c>
      <c r="CH3" s="29" t="str">
        <f t="shared" si="2"/>
        <v/>
      </c>
      <c r="CI3" s="29" t="str">
        <f t="shared" si="2"/>
        <v/>
      </c>
      <c r="CJ3" s="29" t="str">
        <f t="shared" si="2"/>
        <v/>
      </c>
      <c r="CK3" s="29" t="str">
        <f t="shared" si="2"/>
        <v/>
      </c>
      <c r="CL3" s="29" t="str">
        <f t="shared" si="2"/>
        <v/>
      </c>
      <c r="CM3" s="29" t="str">
        <f t="shared" si="2"/>
        <v/>
      </c>
      <c r="CN3" s="29" t="str">
        <f t="shared" si="2"/>
        <v/>
      </c>
      <c r="CO3" s="29" t="str">
        <f t="shared" si="2"/>
        <v/>
      </c>
      <c r="CP3" s="29" t="str">
        <f t="shared" si="2"/>
        <v/>
      </c>
      <c r="CQ3" s="29" t="str">
        <f t="shared" si="2"/>
        <v/>
      </c>
      <c r="CR3" s="29" t="str">
        <f t="shared" si="2"/>
        <v/>
      </c>
      <c r="CS3" s="29" t="str">
        <f t="shared" si="2"/>
        <v/>
      </c>
      <c r="CT3" s="29" t="str">
        <f t="shared" si="2"/>
        <v/>
      </c>
      <c r="CU3" s="29" t="str">
        <f t="shared" si="2"/>
        <v/>
      </c>
      <c r="CV3" s="29" t="str">
        <f t="shared" si="2"/>
        <v/>
      </c>
      <c r="CW3" s="29" t="str">
        <f t="shared" si="2"/>
        <v/>
      </c>
      <c r="CX3" s="29" t="str">
        <f t="shared" si="2"/>
        <v/>
      </c>
      <c r="CY3" s="29" t="str">
        <f t="shared" si="2"/>
        <v/>
      </c>
      <c r="CZ3" s="29" t="str">
        <f t="shared" si="2"/>
        <v/>
      </c>
      <c r="DA3" s="29" t="str">
        <f t="shared" si="2"/>
        <v/>
      </c>
      <c r="DB3" s="29" t="str">
        <f t="shared" si="2"/>
        <v/>
      </c>
      <c r="DC3" s="29" t="str">
        <f t="shared" si="2"/>
        <v/>
      </c>
      <c r="DD3" s="29" t="str">
        <f t="shared" si="2"/>
        <v/>
      </c>
      <c r="DE3" s="29" t="str">
        <f t="shared" si="2"/>
        <v/>
      </c>
      <c r="DF3" s="29" t="str">
        <f t="shared" si="2"/>
        <v/>
      </c>
      <c r="DG3" s="29" t="str">
        <f t="shared" si="2"/>
        <v/>
      </c>
      <c r="DH3" s="29" t="str">
        <f t="shared" si="2"/>
        <v/>
      </c>
      <c r="DI3" s="29" t="str">
        <f t="shared" si="2"/>
        <v/>
      </c>
      <c r="DJ3" s="29" t="str">
        <f t="shared" si="2"/>
        <v/>
      </c>
      <c r="DK3" s="29" t="str">
        <f t="shared" si="2"/>
        <v/>
      </c>
      <c r="DL3" s="29" t="str">
        <f t="shared" si="2"/>
        <v/>
      </c>
      <c r="DM3" s="29" t="str">
        <f t="shared" si="2"/>
        <v/>
      </c>
      <c r="DN3" s="29" t="str">
        <f t="shared" si="2"/>
        <v/>
      </c>
      <c r="DO3" s="29" t="str">
        <f t="shared" si="2"/>
        <v/>
      </c>
      <c r="DP3" s="29" t="str">
        <f t="shared" si="2"/>
        <v/>
      </c>
      <c r="DQ3" s="29" t="str">
        <f t="shared" si="2"/>
        <v/>
      </c>
      <c r="DR3" s="29" t="str">
        <f t="shared" si="2"/>
        <v/>
      </c>
      <c r="DS3" s="29" t="str">
        <f t="shared" si="2"/>
        <v/>
      </c>
      <c r="DT3" s="29" t="str">
        <f t="shared" si="2"/>
        <v/>
      </c>
      <c r="DU3" s="29" t="str">
        <f t="shared" si="2"/>
        <v/>
      </c>
      <c r="DV3" s="29" t="str">
        <f t="shared" si="2"/>
        <v/>
      </c>
      <c r="DW3" s="29" t="str">
        <f t="shared" si="2"/>
        <v/>
      </c>
      <c r="DX3" s="29" t="str">
        <f t="shared" si="2"/>
        <v/>
      </c>
      <c r="DY3" s="29" t="str">
        <f t="shared" si="2"/>
        <v/>
      </c>
      <c r="DZ3" s="29" t="str">
        <f t="shared" si="2"/>
        <v/>
      </c>
      <c r="EA3" s="29" t="str">
        <f t="shared" si="2"/>
        <v/>
      </c>
      <c r="EB3" s="29" t="str">
        <f t="shared" si="2"/>
        <v/>
      </c>
      <c r="EC3" s="29" t="str">
        <f t="shared" si="2"/>
        <v/>
      </c>
      <c r="ED3" s="29" t="str">
        <f t="shared" si="2"/>
        <v/>
      </c>
      <c r="EE3" s="29" t="str">
        <f t="shared" si="2"/>
        <v/>
      </c>
      <c r="EF3" s="29" t="str">
        <f t="shared" si="2"/>
        <v/>
      </c>
      <c r="EG3" s="29" t="str">
        <f t="shared" si="2"/>
        <v/>
      </c>
      <c r="EH3" s="29" t="str">
        <f t="shared" si="2"/>
        <v/>
      </c>
      <c r="EI3" s="29" t="str">
        <f t="shared" si="2"/>
        <v/>
      </c>
      <c r="EJ3" s="29" t="str">
        <f t="shared" si="2"/>
        <v/>
      </c>
      <c r="EK3" s="29" t="str">
        <f t="shared" si="2"/>
        <v/>
      </c>
      <c r="EL3" s="29" t="str">
        <f t="shared" si="2"/>
        <v/>
      </c>
      <c r="EM3" s="29" t="str">
        <f t="shared" si="2"/>
        <v/>
      </c>
      <c r="EN3" s="29" t="str">
        <f t="shared" si="2"/>
        <v/>
      </c>
      <c r="EO3" s="29" t="str">
        <f t="shared" si="2"/>
        <v/>
      </c>
      <c r="EP3" s="29" t="str">
        <f t="shared" si="2"/>
        <v/>
      </c>
      <c r="EQ3" s="29" t="str">
        <f t="shared" si="2"/>
        <v/>
      </c>
      <c r="ER3" s="29" t="str">
        <f t="shared" ref="ER3:HC3" si="3">IF(COUNTA(ER4:ER65536)=0,"","06")</f>
        <v/>
      </c>
      <c r="ES3" s="29" t="str">
        <f t="shared" si="3"/>
        <v/>
      </c>
      <c r="ET3" s="29" t="str">
        <f t="shared" si="3"/>
        <v/>
      </c>
      <c r="EU3" s="29" t="str">
        <f t="shared" si="3"/>
        <v/>
      </c>
      <c r="EV3" s="29" t="str">
        <f t="shared" si="3"/>
        <v/>
      </c>
      <c r="EW3" s="29" t="str">
        <f t="shared" si="3"/>
        <v/>
      </c>
      <c r="EX3" s="29" t="str">
        <f t="shared" si="3"/>
        <v/>
      </c>
      <c r="EY3" s="29" t="str">
        <f t="shared" si="3"/>
        <v/>
      </c>
      <c r="EZ3" s="29" t="str">
        <f t="shared" si="3"/>
        <v/>
      </c>
      <c r="FA3" s="29" t="str">
        <f t="shared" si="3"/>
        <v/>
      </c>
      <c r="FB3" s="29" t="str">
        <f t="shared" si="3"/>
        <v/>
      </c>
      <c r="FC3" s="29" t="str">
        <f t="shared" si="3"/>
        <v/>
      </c>
      <c r="FD3" s="29" t="str">
        <f t="shared" si="3"/>
        <v/>
      </c>
      <c r="FE3" s="29" t="str">
        <f t="shared" si="3"/>
        <v/>
      </c>
      <c r="FF3" s="29" t="str">
        <f t="shared" si="3"/>
        <v/>
      </c>
      <c r="FG3" s="29" t="str">
        <f t="shared" si="3"/>
        <v/>
      </c>
      <c r="FH3" s="29" t="str">
        <f t="shared" si="3"/>
        <v/>
      </c>
      <c r="FI3" s="29" t="str">
        <f t="shared" si="3"/>
        <v/>
      </c>
      <c r="FJ3" s="29" t="str">
        <f t="shared" si="3"/>
        <v/>
      </c>
      <c r="FK3" s="29" t="str">
        <f t="shared" si="3"/>
        <v/>
      </c>
      <c r="FL3" s="29" t="str">
        <f t="shared" si="3"/>
        <v/>
      </c>
      <c r="FM3" s="29" t="str">
        <f t="shared" si="3"/>
        <v/>
      </c>
      <c r="FN3" s="29" t="str">
        <f t="shared" si="3"/>
        <v/>
      </c>
      <c r="FO3" s="29" t="str">
        <f t="shared" si="3"/>
        <v/>
      </c>
      <c r="FP3" s="29" t="str">
        <f t="shared" si="3"/>
        <v/>
      </c>
      <c r="FQ3" s="29" t="str">
        <f t="shared" si="3"/>
        <v/>
      </c>
      <c r="FR3" s="29" t="str">
        <f t="shared" si="3"/>
        <v/>
      </c>
      <c r="FS3" s="29" t="str">
        <f t="shared" si="3"/>
        <v/>
      </c>
      <c r="FT3" s="29" t="str">
        <f t="shared" si="3"/>
        <v/>
      </c>
      <c r="FU3" s="29" t="str">
        <f t="shared" si="3"/>
        <v/>
      </c>
      <c r="FV3" s="29" t="str">
        <f t="shared" si="3"/>
        <v/>
      </c>
      <c r="FW3" s="29" t="str">
        <f t="shared" si="3"/>
        <v/>
      </c>
      <c r="FX3" s="29" t="str">
        <f t="shared" si="3"/>
        <v/>
      </c>
      <c r="FY3" s="29" t="str">
        <f t="shared" si="3"/>
        <v/>
      </c>
      <c r="FZ3" s="29" t="str">
        <f t="shared" si="3"/>
        <v/>
      </c>
      <c r="GA3" s="29" t="str">
        <f t="shared" si="3"/>
        <v/>
      </c>
      <c r="GB3" s="29" t="str">
        <f t="shared" si="3"/>
        <v/>
      </c>
      <c r="GC3" s="29" t="str">
        <f t="shared" si="3"/>
        <v/>
      </c>
      <c r="GD3" s="29" t="str">
        <f t="shared" si="3"/>
        <v/>
      </c>
      <c r="GE3" s="29" t="str">
        <f t="shared" si="3"/>
        <v/>
      </c>
      <c r="GF3" s="29" t="str">
        <f t="shared" si="3"/>
        <v/>
      </c>
      <c r="GG3" s="29" t="str">
        <f t="shared" si="3"/>
        <v/>
      </c>
      <c r="GH3" s="29" t="str">
        <f t="shared" si="3"/>
        <v/>
      </c>
      <c r="GI3" s="29" t="str">
        <f t="shared" si="3"/>
        <v/>
      </c>
      <c r="GJ3" s="29" t="str">
        <f t="shared" si="3"/>
        <v/>
      </c>
      <c r="GK3" s="29" t="str">
        <f t="shared" si="3"/>
        <v/>
      </c>
      <c r="GL3" s="29" t="str">
        <f t="shared" si="3"/>
        <v/>
      </c>
      <c r="GM3" s="29" t="str">
        <f t="shared" si="3"/>
        <v/>
      </c>
      <c r="GN3" s="29" t="str">
        <f t="shared" si="3"/>
        <v/>
      </c>
      <c r="GO3" s="29" t="str">
        <f t="shared" si="3"/>
        <v/>
      </c>
      <c r="GP3" s="29" t="str">
        <f t="shared" si="3"/>
        <v/>
      </c>
      <c r="GQ3" s="29" t="str">
        <f t="shared" si="3"/>
        <v/>
      </c>
      <c r="GR3" s="29" t="str">
        <f t="shared" si="3"/>
        <v/>
      </c>
      <c r="GS3" s="29" t="str">
        <f t="shared" si="3"/>
        <v/>
      </c>
      <c r="GT3" s="29" t="str">
        <f t="shared" si="3"/>
        <v/>
      </c>
      <c r="GU3" s="29" t="str">
        <f t="shared" si="3"/>
        <v/>
      </c>
      <c r="GV3" s="29" t="str">
        <f t="shared" si="3"/>
        <v/>
      </c>
      <c r="GW3" s="29" t="str">
        <f t="shared" si="3"/>
        <v/>
      </c>
      <c r="GX3" s="29" t="str">
        <f t="shared" si="3"/>
        <v/>
      </c>
      <c r="GY3" s="29" t="str">
        <f t="shared" si="3"/>
        <v/>
      </c>
      <c r="GZ3" s="29" t="str">
        <f t="shared" si="3"/>
        <v/>
      </c>
      <c r="HA3" s="29" t="str">
        <f t="shared" si="3"/>
        <v/>
      </c>
      <c r="HB3" s="29" t="str">
        <f t="shared" si="3"/>
        <v/>
      </c>
      <c r="HC3" s="29" t="str">
        <f t="shared" si="3"/>
        <v/>
      </c>
      <c r="HD3" s="29" t="str">
        <f t="shared" ref="HD3:HS3" si="4">IF(COUNTA(HD4:HD65536)=0,"","06")</f>
        <v/>
      </c>
      <c r="HE3" s="29" t="str">
        <f t="shared" si="4"/>
        <v/>
      </c>
      <c r="HF3" s="29" t="str">
        <f t="shared" si="4"/>
        <v/>
      </c>
      <c r="HG3" s="29" t="str">
        <f t="shared" si="4"/>
        <v/>
      </c>
      <c r="HH3" s="29" t="str">
        <f t="shared" si="4"/>
        <v/>
      </c>
      <c r="HI3" s="29" t="str">
        <f t="shared" si="4"/>
        <v/>
      </c>
      <c r="HJ3" s="29" t="str">
        <f t="shared" si="4"/>
        <v/>
      </c>
      <c r="HK3" s="29" t="str">
        <f t="shared" si="4"/>
        <v/>
      </c>
      <c r="HL3" s="29" t="str">
        <f t="shared" si="4"/>
        <v/>
      </c>
      <c r="HM3" s="29" t="str">
        <f t="shared" si="4"/>
        <v/>
      </c>
      <c r="HN3" s="29" t="str">
        <f t="shared" si="4"/>
        <v/>
      </c>
      <c r="HO3" s="29" t="str">
        <f t="shared" si="4"/>
        <v/>
      </c>
      <c r="HP3" s="29" t="str">
        <f t="shared" si="4"/>
        <v/>
      </c>
      <c r="HQ3" s="29" t="str">
        <f t="shared" si="4"/>
        <v/>
      </c>
      <c r="HR3" s="29" t="str">
        <f t="shared" si="4"/>
        <v/>
      </c>
      <c r="HS3" s="29" t="str">
        <f t="shared" si="4"/>
        <v/>
      </c>
      <c r="HT3" s="29" t="str">
        <f>IF(COUNTA(HT4:HT65536)=0,"","06")</f>
        <v/>
      </c>
      <c r="HU3" s="29" t="str">
        <f>IF(COUNTA(HU4:HU65536)=0,"","06")</f>
        <v/>
      </c>
      <c r="HV3" s="29" t="str">
        <f>IF(COUNTA(HV4:HV65536)=0,"","06")</f>
        <v/>
      </c>
      <c r="HW3" s="29" t="str">
        <f>IF(COUNTA(HW4:HW65536)=0,"","06")</f>
        <v/>
      </c>
    </row>
    <row r="4" spans="1:231" s="11" customFormat="1" x14ac:dyDescent="0.2">
      <c r="A4" s="10" t="s">
        <v>7541</v>
      </c>
      <c r="B4" s="11" t="s">
        <v>6176</v>
      </c>
      <c r="D4" s="11" t="s">
        <v>6340</v>
      </c>
      <c r="E4" s="11" t="s">
        <v>7</v>
      </c>
      <c r="F4" s="11" t="s">
        <v>6341</v>
      </c>
      <c r="G4" s="11" t="s">
        <v>6179</v>
      </c>
      <c r="J4" s="11" t="s">
        <v>6180</v>
      </c>
      <c r="K4" s="11">
        <v>1989</v>
      </c>
      <c r="L4" s="11" t="s">
        <v>6181</v>
      </c>
      <c r="M4" s="11" t="s">
        <v>6182</v>
      </c>
      <c r="N4" s="11">
        <v>1.1000000000000001</v>
      </c>
      <c r="S4" s="11">
        <v>78</v>
      </c>
      <c r="AX4" s="13">
        <v>7</v>
      </c>
      <c r="AY4" s="13"/>
      <c r="AZ4" s="13"/>
      <c r="BA4" s="13"/>
      <c r="BB4" s="11">
        <v>0.3</v>
      </c>
      <c r="BD4" s="11">
        <v>455</v>
      </c>
      <c r="BE4" s="12">
        <v>14</v>
      </c>
      <c r="BF4" s="11">
        <v>0.17</v>
      </c>
      <c r="BG4" s="12"/>
      <c r="BH4" s="11">
        <v>9</v>
      </c>
      <c r="BJ4" s="11">
        <v>40</v>
      </c>
      <c r="BN4" s="11">
        <v>0.3</v>
      </c>
    </row>
    <row r="5" spans="1:231" s="11" customFormat="1" x14ac:dyDescent="0.2">
      <c r="A5" s="10" t="s">
        <v>7542</v>
      </c>
      <c r="B5" s="11" t="s">
        <v>6176</v>
      </c>
      <c r="D5" s="11" t="s">
        <v>6342</v>
      </c>
      <c r="E5" s="11" t="s">
        <v>7</v>
      </c>
      <c r="F5" s="11" t="s">
        <v>6343</v>
      </c>
      <c r="G5" s="11" t="s">
        <v>6179</v>
      </c>
      <c r="J5" s="11" t="s">
        <v>6180</v>
      </c>
      <c r="K5" s="11">
        <v>1989</v>
      </c>
      <c r="L5" s="11" t="s">
        <v>6181</v>
      </c>
      <c r="M5" s="11" t="s">
        <v>6182</v>
      </c>
      <c r="N5" s="11">
        <v>1.1000000000000001</v>
      </c>
      <c r="S5" s="11">
        <v>72</v>
      </c>
      <c r="AX5" s="13">
        <v>9</v>
      </c>
      <c r="AY5" s="13"/>
      <c r="AZ5" s="13"/>
      <c r="BA5" s="13"/>
      <c r="BE5" s="12"/>
      <c r="BF5" s="11">
        <v>0.74</v>
      </c>
      <c r="BG5" s="12"/>
      <c r="BJ5" s="11">
        <v>26</v>
      </c>
      <c r="BN5" s="11">
        <v>0.2</v>
      </c>
    </row>
    <row r="6" spans="1:231" s="11" customFormat="1" x14ac:dyDescent="0.2">
      <c r="A6" s="10" t="s">
        <v>7543</v>
      </c>
      <c r="B6" s="11" t="s">
        <v>6176</v>
      </c>
      <c r="D6" s="11" t="s">
        <v>6344</v>
      </c>
      <c r="E6" s="11" t="s">
        <v>7</v>
      </c>
      <c r="F6" s="11" t="s">
        <v>6345</v>
      </c>
      <c r="G6" s="11" t="s">
        <v>6179</v>
      </c>
      <c r="J6" s="11" t="s">
        <v>6180</v>
      </c>
      <c r="K6" s="11">
        <v>1989</v>
      </c>
      <c r="L6" s="11" t="s">
        <v>6181</v>
      </c>
      <c r="M6" s="11" t="s">
        <v>6182</v>
      </c>
      <c r="N6" s="11">
        <v>1.1000000000000001</v>
      </c>
      <c r="S6" s="11">
        <v>72</v>
      </c>
      <c r="AX6" s="13">
        <v>67</v>
      </c>
      <c r="AY6" s="13"/>
      <c r="AZ6" s="13"/>
      <c r="BA6" s="13"/>
      <c r="BB6" s="11">
        <v>0.7</v>
      </c>
      <c r="BD6" s="11">
        <v>434</v>
      </c>
      <c r="BE6" s="12">
        <v>40</v>
      </c>
      <c r="BF6" s="11">
        <v>2.44</v>
      </c>
      <c r="BG6" s="12"/>
      <c r="BH6" s="11">
        <v>11</v>
      </c>
      <c r="BJ6" s="11">
        <v>45</v>
      </c>
      <c r="BN6" s="11">
        <v>0.6</v>
      </c>
    </row>
    <row r="7" spans="1:231" s="11" customFormat="1" x14ac:dyDescent="0.2">
      <c r="A7" s="10" t="s">
        <v>7544</v>
      </c>
      <c r="B7" s="11" t="s">
        <v>6176</v>
      </c>
      <c r="D7" s="11" t="s">
        <v>6346</v>
      </c>
      <c r="E7" s="11" t="s">
        <v>7</v>
      </c>
      <c r="F7" s="11" t="s">
        <v>6347</v>
      </c>
      <c r="G7" s="11" t="s">
        <v>6179</v>
      </c>
      <c r="J7" s="11" t="s">
        <v>6180</v>
      </c>
      <c r="K7" s="11">
        <v>1989</v>
      </c>
      <c r="L7" s="11" t="s">
        <v>6181</v>
      </c>
      <c r="M7" s="11" t="s">
        <v>6182</v>
      </c>
      <c r="N7" s="11">
        <v>1.1000000000000001</v>
      </c>
      <c r="S7" s="11">
        <v>83</v>
      </c>
      <c r="AX7" s="13">
        <v>7</v>
      </c>
      <c r="AY7" s="13"/>
      <c r="AZ7" s="13"/>
      <c r="BA7" s="13"/>
      <c r="BB7" s="11">
        <v>0.1</v>
      </c>
      <c r="BD7" s="11">
        <v>282</v>
      </c>
      <c r="BE7" s="12">
        <v>18</v>
      </c>
      <c r="BF7" s="11">
        <v>0.09</v>
      </c>
      <c r="BG7" s="12"/>
      <c r="BH7" s="11">
        <v>7</v>
      </c>
      <c r="BJ7" s="11">
        <v>28</v>
      </c>
      <c r="BN7" s="11">
        <v>0.2</v>
      </c>
    </row>
    <row r="8" spans="1:231" s="11" customFormat="1" x14ac:dyDescent="0.2">
      <c r="A8" s="10" t="s">
        <v>7545</v>
      </c>
      <c r="B8" s="11" t="s">
        <v>6176</v>
      </c>
      <c r="D8" s="11" t="s">
        <v>6348</v>
      </c>
      <c r="E8" s="11" t="s">
        <v>7</v>
      </c>
      <c r="F8" s="11" t="s">
        <v>6349</v>
      </c>
      <c r="G8" s="11" t="s">
        <v>6179</v>
      </c>
      <c r="J8" s="11" t="s">
        <v>6180</v>
      </c>
      <c r="K8" s="11">
        <v>1989</v>
      </c>
      <c r="L8" s="11" t="s">
        <v>6181</v>
      </c>
      <c r="M8" s="11" t="s">
        <v>6182</v>
      </c>
      <c r="N8" s="11">
        <v>1.1000000000000001</v>
      </c>
      <c r="S8" s="11">
        <v>82</v>
      </c>
      <c r="AX8" s="13">
        <v>12</v>
      </c>
      <c r="AY8" s="13"/>
      <c r="AZ8" s="13"/>
      <c r="BA8" s="13"/>
      <c r="BB8" s="11">
        <v>0.1</v>
      </c>
      <c r="BE8" s="12"/>
      <c r="BF8" s="11">
        <v>0.2</v>
      </c>
      <c r="BG8" s="12"/>
      <c r="BJ8" s="11">
        <v>26</v>
      </c>
      <c r="BN8" s="11">
        <v>0.1</v>
      </c>
    </row>
    <row r="9" spans="1:231" s="11" customFormat="1" x14ac:dyDescent="0.2">
      <c r="A9" s="10" t="s">
        <v>7546</v>
      </c>
      <c r="B9" s="11" t="s">
        <v>6176</v>
      </c>
      <c r="D9" s="11" t="s">
        <v>6350</v>
      </c>
      <c r="E9" s="11" t="s">
        <v>11</v>
      </c>
      <c r="F9" s="11" t="s">
        <v>6349</v>
      </c>
      <c r="G9" s="11" t="s">
        <v>6179</v>
      </c>
      <c r="J9" s="11" t="s">
        <v>6180</v>
      </c>
      <c r="K9" s="11">
        <v>1989</v>
      </c>
      <c r="L9" s="11" t="s">
        <v>6181</v>
      </c>
      <c r="M9" s="11" t="s">
        <v>6182</v>
      </c>
      <c r="N9" s="11">
        <v>1.1000000000000001</v>
      </c>
      <c r="S9" s="11">
        <v>86</v>
      </c>
      <c r="AX9" s="13">
        <v>11</v>
      </c>
      <c r="AY9" s="13"/>
      <c r="AZ9" s="13"/>
      <c r="BA9" s="13"/>
      <c r="BB9" s="11">
        <v>0.1</v>
      </c>
      <c r="BE9" s="12"/>
      <c r="BF9" s="11">
        <v>0.22</v>
      </c>
      <c r="BG9" s="12"/>
      <c r="BJ9" s="11">
        <v>16</v>
      </c>
      <c r="BN9" s="11">
        <v>0.1</v>
      </c>
    </row>
    <row r="10" spans="1:231" s="11" customFormat="1" x14ac:dyDescent="0.2">
      <c r="A10" s="10" t="s">
        <v>7547</v>
      </c>
      <c r="B10" s="11" t="s">
        <v>6248</v>
      </c>
      <c r="D10" s="11" t="s">
        <v>6342</v>
      </c>
      <c r="E10" s="11" t="s">
        <v>7</v>
      </c>
      <c r="F10" s="11" t="s">
        <v>6351</v>
      </c>
      <c r="G10" s="11" t="s">
        <v>6179</v>
      </c>
      <c r="J10" s="11" t="s">
        <v>6180</v>
      </c>
      <c r="K10" s="11">
        <v>1989</v>
      </c>
      <c r="L10" s="11" t="s">
        <v>6181</v>
      </c>
      <c r="M10" s="11" t="s">
        <v>6182</v>
      </c>
      <c r="N10" s="11">
        <v>1.1000000000000001</v>
      </c>
      <c r="S10" s="11">
        <v>72</v>
      </c>
      <c r="AX10" s="11">
        <v>7</v>
      </c>
      <c r="BB10" s="11">
        <v>0.13</v>
      </c>
      <c r="BD10" s="11">
        <v>423</v>
      </c>
      <c r="BE10" s="12">
        <v>36</v>
      </c>
      <c r="BF10" s="11">
        <v>0.15</v>
      </c>
      <c r="BG10" s="12"/>
      <c r="BH10" s="13">
        <v>3</v>
      </c>
      <c r="BI10" s="13"/>
      <c r="BJ10" s="11">
        <v>27</v>
      </c>
      <c r="BN10" s="11">
        <v>0.25</v>
      </c>
    </row>
    <row r="11" spans="1:231" s="11" customFormat="1" x14ac:dyDescent="0.2">
      <c r="A11" s="10" t="s">
        <v>7548</v>
      </c>
      <c r="B11" s="11" t="s">
        <v>6248</v>
      </c>
      <c r="D11" s="11" t="s">
        <v>6346</v>
      </c>
      <c r="E11" s="11" t="s">
        <v>7</v>
      </c>
      <c r="F11" s="11" t="s">
        <v>6347</v>
      </c>
      <c r="G11" s="11" t="s">
        <v>6179</v>
      </c>
      <c r="J11" s="11" t="s">
        <v>6180</v>
      </c>
      <c r="K11" s="11">
        <v>1989</v>
      </c>
      <c r="L11" s="11" t="s">
        <v>6181</v>
      </c>
      <c r="M11" s="11" t="s">
        <v>6182</v>
      </c>
      <c r="N11" s="11">
        <v>1.1000000000000001</v>
      </c>
      <c r="S11" s="11">
        <v>84</v>
      </c>
      <c r="AX11" s="11">
        <v>17</v>
      </c>
      <c r="BB11" s="11">
        <v>0.12</v>
      </c>
      <c r="BD11" s="11">
        <v>343</v>
      </c>
      <c r="BE11" s="12">
        <v>27</v>
      </c>
      <c r="BF11" s="11">
        <v>0.1</v>
      </c>
      <c r="BG11" s="12"/>
      <c r="BH11" s="13">
        <v>4</v>
      </c>
      <c r="BI11" s="13"/>
      <c r="BJ11" s="11">
        <v>36</v>
      </c>
      <c r="BN11" s="11">
        <v>0.21</v>
      </c>
    </row>
    <row r="12" spans="1:231" s="11" customFormat="1" x14ac:dyDescent="0.2">
      <c r="A12" s="10" t="s">
        <v>7549</v>
      </c>
      <c r="B12" s="11" t="s">
        <v>6248</v>
      </c>
      <c r="D12" s="11" t="s">
        <v>6352</v>
      </c>
      <c r="E12" s="11" t="s">
        <v>7</v>
      </c>
      <c r="F12" s="11" t="s">
        <v>6353</v>
      </c>
      <c r="G12" s="11" t="s">
        <v>6179</v>
      </c>
      <c r="J12" s="11" t="s">
        <v>6180</v>
      </c>
      <c r="K12" s="11">
        <v>1989</v>
      </c>
      <c r="L12" s="11" t="s">
        <v>6181</v>
      </c>
      <c r="M12" s="11" t="s">
        <v>6182</v>
      </c>
      <c r="N12" s="11">
        <v>1.1000000000000001</v>
      </c>
      <c r="S12" s="11">
        <v>59</v>
      </c>
      <c r="AX12" s="11">
        <v>44</v>
      </c>
      <c r="BB12" s="11">
        <v>0.23</v>
      </c>
      <c r="BD12" s="11">
        <v>527</v>
      </c>
      <c r="BE12" s="12">
        <v>71</v>
      </c>
      <c r="BF12" s="11">
        <v>0.12</v>
      </c>
      <c r="BG12" s="12"/>
      <c r="BH12" s="13">
        <v>4</v>
      </c>
      <c r="BI12" s="13"/>
      <c r="BJ12" s="11">
        <v>136</v>
      </c>
      <c r="BN12" s="11">
        <v>0.36</v>
      </c>
    </row>
    <row r="13" spans="1:231" s="11" customFormat="1" x14ac:dyDescent="0.2">
      <c r="A13" s="10" t="s">
        <v>7550</v>
      </c>
      <c r="B13" s="11" t="s">
        <v>6248</v>
      </c>
      <c r="D13" s="11" t="s">
        <v>6354</v>
      </c>
      <c r="E13" s="11" t="s">
        <v>7</v>
      </c>
      <c r="F13" s="11" t="s">
        <v>6355</v>
      </c>
      <c r="G13" s="11" t="s">
        <v>6179</v>
      </c>
      <c r="J13" s="11" t="s">
        <v>6180</v>
      </c>
      <c r="K13" s="11">
        <v>1989</v>
      </c>
      <c r="L13" s="11" t="s">
        <v>6181</v>
      </c>
      <c r="M13" s="11" t="s">
        <v>6182</v>
      </c>
      <c r="N13" s="11">
        <v>1.1000000000000001</v>
      </c>
      <c r="S13" s="11">
        <v>70</v>
      </c>
      <c r="AX13" s="11">
        <v>5</v>
      </c>
      <c r="BB13" s="11">
        <v>0.24</v>
      </c>
      <c r="BD13" s="11">
        <v>335</v>
      </c>
      <c r="BE13" s="12">
        <v>33</v>
      </c>
      <c r="BF13" s="11">
        <v>0.25</v>
      </c>
      <c r="BG13" s="12"/>
      <c r="BH13" s="13" t="s">
        <v>6183</v>
      </c>
      <c r="BI13" s="13"/>
      <c r="BJ13" s="11">
        <v>55</v>
      </c>
      <c r="BN13" s="11">
        <v>0.45</v>
      </c>
    </row>
    <row r="14" spans="1:231" s="11" customFormat="1" x14ac:dyDescent="0.2">
      <c r="A14" s="10" t="s">
        <v>7551</v>
      </c>
      <c r="B14" s="11" t="s">
        <v>6248</v>
      </c>
      <c r="D14" s="11" t="s">
        <v>6356</v>
      </c>
      <c r="E14" s="11" t="s">
        <v>7</v>
      </c>
      <c r="F14" s="11" t="s">
        <v>6357</v>
      </c>
      <c r="G14" s="11" t="s">
        <v>6179</v>
      </c>
      <c r="J14" s="11" t="s">
        <v>6180</v>
      </c>
      <c r="K14" s="11">
        <v>1989</v>
      </c>
      <c r="L14" s="11" t="s">
        <v>6181</v>
      </c>
      <c r="M14" s="11" t="s">
        <v>6182</v>
      </c>
      <c r="N14" s="11">
        <v>1.1000000000000001</v>
      </c>
      <c r="S14" s="11">
        <v>89</v>
      </c>
      <c r="BB14" s="11">
        <v>7.0000000000000007E-2</v>
      </c>
      <c r="BE14" s="12"/>
      <c r="BF14" s="11">
        <v>0.13</v>
      </c>
      <c r="BG14" s="12"/>
      <c r="BN14" s="11">
        <v>0.28000000000000003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Copyright</vt:lpstr>
      <vt:lpstr>Codes</vt:lpstr>
      <vt:lpstr>Food groups</vt:lpstr>
      <vt:lpstr>01 Cereals</vt:lpstr>
      <vt:lpstr>02 Starchy Roots &amp; Tubers</vt:lpstr>
      <vt:lpstr>03 Legumes</vt:lpstr>
      <vt:lpstr>04 Nuts &amp; Seeds</vt:lpstr>
      <vt:lpstr>05 Vegetables</vt:lpstr>
      <vt:lpstr>06 Fruits</vt:lpstr>
      <vt:lpstr>07 Meat</vt:lpstr>
      <vt:lpstr>08 Eggs</vt:lpstr>
      <vt:lpstr>09 Fish &amp; Shellfish</vt:lpstr>
      <vt:lpstr>09 Fish &amp; Shellfish_fatty acids</vt:lpstr>
      <vt:lpstr>10 Milk</vt:lpstr>
      <vt:lpstr>11 Herbs &amp; Spices</vt:lpstr>
      <vt:lpstr>12 Miscellaneous</vt:lpstr>
      <vt:lpstr>Components</vt:lpstr>
      <vt:lpstr>Bibliography</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Doris Rittenschober (AGND)</dc:creator>
  <cp:lastModifiedBy>Marie Gutgesell</cp:lastModifiedBy>
  <dcterms:created xsi:type="dcterms:W3CDTF">2012-12-19T10:57:26Z</dcterms:created>
  <dcterms:modified xsi:type="dcterms:W3CDTF">2024-12-05T23:08:56Z</dcterms:modified>
</cp:coreProperties>
</file>